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Weapons" sheetId="2" r:id="rId5"/>
    <sheet state="visible" name="Camp ClothesJewelry" sheetId="3" r:id="rId6"/>
    <sheet state="visible" name="ArmorShieldsClothes" sheetId="4" r:id="rId7"/>
    <sheet state="visible" name="Consumables" sheetId="5" r:id="rId8"/>
    <sheet state="visible" name="KeysStory" sheetId="6" r:id="rId9"/>
    <sheet state="visible" name="AlchemyDyes" sheetId="7" r:id="rId10"/>
    <sheet state="visible" name="ContainersValuables" sheetId="8" r:id="rId11"/>
    <sheet state="visible" name="Sets" sheetId="9" r:id="rId12"/>
  </sheets>
  <definedNames/>
  <calcPr/>
</workbook>
</file>

<file path=xl/sharedStrings.xml><?xml version="1.0" encoding="utf-8"?>
<sst xmlns="http://schemas.openxmlformats.org/spreadsheetml/2006/main" count="5678" uniqueCount="2549">
  <si>
    <r>
      <rPr>
        <rFont val="Arial"/>
        <color theme="1"/>
        <sz val="10.0"/>
      </rPr>
      <t xml:space="preserve">This spreadsheet has been created by web crawling all equipment pages on the Bg3wiki using a python script.
This means, all UUID's that were listed on the bg3wiki had been captured here. I manually looked for all the missing UUID's ingame, but only found a few. Some are still missing.
Some items in this list do not even exist on the wiki yet, such as the "Heavy Crossbow +2" or the "Shield belonging to Selune's Silvers". I have added the ones i am aware of.
</t>
    </r>
    <r>
      <rPr>
        <rFont val="Arial"/>
        <color theme="1"/>
        <sz val="8.0"/>
      </rPr>
      <t>If you know of any UUID's that i am missing (</t>
    </r>
    <r>
      <rPr>
        <rFont val="Arial"/>
        <b/>
        <color theme="1"/>
        <sz val="8.0"/>
      </rPr>
      <t>Not local ones</t>
    </r>
    <r>
      <rPr>
        <rFont val="Arial"/>
        <color theme="1"/>
        <sz val="8.0"/>
      </rPr>
      <t>) Write a comment on the Steam Guide page. I do not check Nexus/Reddit often enough.</t>
    </r>
  </si>
  <si>
    <t>Find items by using Ctrl+F, or browsing this sheet like a catalogue.
Copy one or more Spawn Commands into the Bg3Se console to spawn the item(s) you want.</t>
  </si>
  <si>
    <t>Usage:</t>
  </si>
  <si>
    <r>
      <rPr>
        <sz val="10.0"/>
      </rPr>
      <t xml:space="preserve">This list is only really relevant if either the </t>
    </r>
    <r>
      <rPr>
        <color rgb="FF1155CC"/>
        <sz val="10.0"/>
        <u/>
      </rPr>
      <t>Easy cheat</t>
    </r>
    <r>
      <rPr>
        <sz val="10.0"/>
      </rPr>
      <t xml:space="preserve"> spawn menu can not find an entity, or if you specifically want to spawn multiple items at once.
For any of this to be useful, you must use Bg3 Script Extender, which can be downloaded </t>
    </r>
    <r>
      <rPr>
        <color rgb="FF1155CC"/>
        <sz val="10.0"/>
        <u/>
      </rPr>
      <t>here</t>
    </r>
    <r>
      <rPr>
        <sz val="10.0"/>
      </rPr>
      <t xml:space="preserve">
You must manually enable console of BG3SE, by creating a text file called </t>
    </r>
    <r>
      <rPr>
        <b/>
        <sz val="10.0"/>
      </rPr>
      <t>ScriptExtenderSettings.json</t>
    </r>
    <r>
      <rPr>
        <sz val="10.0"/>
      </rPr>
      <t xml:space="preserve"> in the folder </t>
    </r>
    <r>
      <rPr>
        <b/>
        <sz val="10.0"/>
      </rPr>
      <t>...\steamapps\common\Baldurs Gate 3\bin</t>
    </r>
    <r>
      <rPr>
        <sz val="10.0"/>
      </rPr>
      <t xml:space="preserve">
</t>
    </r>
    <r>
      <rPr>
        <b/>
        <color rgb="FFFF0000"/>
        <sz val="10.0"/>
      </rPr>
      <t xml:space="preserve">Make sure it actually is a .json file. NOT a .json.txt file. This can be achieved by either enabling all file endings, or saving a new file with Notepad++ with the file type "*.* any"
</t>
    </r>
    <r>
      <rPr>
        <sz val="10.0"/>
      </rPr>
      <t xml:space="preserve">inside this json file, you must write the following:                                                                                                                                                                                                        </t>
    </r>
  </si>
  <si>
    <t>{
  "CreateConsole": true
}</t>
  </si>
  <si>
    <t>Once Bg3 is launched, a CMD prompt window will open. This is the console. 
You may paste any amount of "spawn commands" (Osi.TemplateAddTo*****) into this console and hit enter. The item(s) will then be added to your inventory.</t>
  </si>
  <si>
    <r>
      <rPr>
        <rFont val="Arial"/>
        <color theme="1"/>
        <sz val="10.0"/>
      </rPr>
      <t xml:space="preserve">Here is a "Starter Kit" of items i always give myself on every new character. You can copy multiple SpawnCommands at once by sleecting any you want, then copying them into the console.
</t>
    </r>
    <r>
      <rPr>
        <rFont val="Arial"/>
        <i/>
        <color theme="1"/>
        <sz val="10.0"/>
      </rPr>
      <t>Select an empty box last, to avoid having to press enter with every paste.</t>
    </r>
  </si>
  <si>
    <t>Name</t>
  </si>
  <si>
    <t>Rarity</t>
  </si>
  <si>
    <t>Raw UUID</t>
  </si>
  <si>
    <t>Spawn Command</t>
  </si>
  <si>
    <t>Common</t>
  </si>
  <si>
    <t>398e7328-ce90-4c02-94a2-93341fac499a</t>
  </si>
  <si>
    <t>1c3c9c74-34a1-4685-989e-410dc080be6f</t>
  </si>
  <si>
    <t>73efd1f7-5616-4ca8-84e6-6128aa6efaea</t>
  </si>
  <si>
    <t>22c74b5e-bef2-41b1-b9ed-f4acc766d4ee</t>
  </si>
  <si>
    <t>e32a200c-5b63-414d-ae57-00e7b38f125b</t>
  </si>
  <si>
    <t>Uncommon</t>
  </si>
  <si>
    <t>338848e7-b2c6-4f97-879b-cb3439b4f959</t>
  </si>
  <si>
    <t>Very Rare</t>
  </si>
  <si>
    <t>f3d8ff49-eaac-4c10-9421-3fd2180c7b39</t>
  </si>
  <si>
    <t>45d888b5-e002-4bb8-85d7-6df569aceaa4</t>
  </si>
  <si>
    <t>f746397f-c489-4121-8499-40017981e290</t>
  </si>
  <si>
    <t>Heavy Crossbow +2</t>
  </si>
  <si>
    <t>Rare</t>
  </si>
  <si>
    <t>59c190d2-4b91-44f5-a720-f75d338dd341</t>
  </si>
  <si>
    <t>Not yet on Wiki.</t>
  </si>
  <si>
    <t>4cf7bbbb-1d1b-4bec-b82a-cdc3cce33f7a</t>
  </si>
  <si>
    <t>0788a2bb-c732-4ebb-abf9-2ef150f509be</t>
  </si>
  <si>
    <t>For easier navigation, Melee weapons are orange, ranged weapons are blue, throwables are green, Arrows are on the very bottom in bundles of 50</t>
  </si>
  <si>
    <t>Battleaxes</t>
  </si>
  <si>
    <t>a086b825-8f17-4f0e-855b-178f8cdc515a</t>
  </si>
  <si>
    <t>c17ee133-cbb5-418f-88be-5ef27991cf50</t>
  </si>
  <si>
    <t>35465a58-d21d-46b4-a429-64d187b0781f</t>
  </si>
  <si>
    <t>407954e3-71e4-4611-9221-0ba3ea71d6e8</t>
  </si>
  <si>
    <t>d2d5141a-9804-49b6-96e2-5738d85feffa</t>
  </si>
  <si>
    <t>6364a270-0ca4-45e2-aab2-7673bb5c156e</t>
  </si>
  <si>
    <t>b8f28da8-f8f5-4679-8c5f-ecc505811208</t>
  </si>
  <si>
    <t>3ff89075-1ef3-487e-b456-a1b536fd681a</t>
  </si>
  <si>
    <t>c77553e2-f192-4835-baa9-bdfb63521532</t>
  </si>
  <si>
    <t>Clubs</t>
  </si>
  <si>
    <t>0ca0e540-dabe-4bf4-9e23-c006f03ffae2</t>
  </si>
  <si>
    <t>d9c87013-1f41-4c17-b71d-f353ec0d64e8</t>
  </si>
  <si>
    <t>b30dca22-22bc-496e-b3b6-dd5744b73869</t>
  </si>
  <si>
    <t>768010ce-dcfe-43bb-8398-2d681d4fa6eb</t>
  </si>
  <si>
    <t>28373d60-893f-411c-a029-35c31665c821</t>
  </si>
  <si>
    <t>d3cd1f93-64bb-4d57-bafc-19ee1cefc564</t>
  </si>
  <si>
    <t>67ce5d1a-e0cd-48ce-94a9-9a17615e13d9</t>
  </si>
  <si>
    <t>e082f373-81ec-4f4b-818b-9ee86952e2fa</t>
  </si>
  <si>
    <t>c71e2798-31ae-4f57-8073-c6195c2e9d02</t>
  </si>
  <si>
    <t>3a9e4e60-9f58-4fb9-8a16-4cf784ad6f0d</t>
  </si>
  <si>
    <t>Light sources (In code they're clubs)</t>
  </si>
  <si>
    <t>4668297e-7fc8-4384-af34-165813e9abe1</t>
  </si>
  <si>
    <t>f7c72034-b7ed-459f-9f2f-3c42144271ef</t>
  </si>
  <si>
    <t>81705db9-5b32-4ccd-91be-f8bad863ec48</t>
  </si>
  <si>
    <t>Story Item</t>
  </si>
  <si>
    <t>9aca1109-a59d-47d3-8f35-f248b70518f9</t>
  </si>
  <si>
    <t>fabf8b48-9c73-498a-a4ad-f9bf07024f19</t>
  </si>
  <si>
    <t>c9ebcfae-8c9a-4acc-8a30-da7830b32121</t>
  </si>
  <si>
    <t>50c43f27-a12e-412c-88f0-56e15eba692a</t>
  </si>
  <si>
    <t>88be0257-cd9a-4922-85c9-178ad8579af2</t>
  </si>
  <si>
    <t>Daggers</t>
  </si>
  <si>
    <t>cf89e4d8-485c-4cef-8098-959834cc8ac1</t>
  </si>
  <si>
    <t>81158eec-1fd0-4fd7-8b02-ce7f5e45f8b5</t>
  </si>
  <si>
    <t>a27e3e3a-ef55-4733-9655-29c7913d26d5</t>
  </si>
  <si>
    <t>520d3f36-af72-4385-89af-f585c8edc9cf</t>
  </si>
  <si>
    <t>Legendary</t>
  </si>
  <si>
    <t>d90abf24-3c4e-4bbf-84aa-def05ca9962a</t>
  </si>
  <si>
    <t>a8661143-d94d-4f49-a92f-cbd0a9a500a1</t>
  </si>
  <si>
    <t>569b0f3d-abcd-4b01-aaf0-979091288163</t>
  </si>
  <si>
    <t>258ce9f3-3f32-4546-ae6e-196b3e8e91b5</t>
  </si>
  <si>
    <t>1eab180b-5bf9-48ea-aece-7ba20d1deb78</t>
  </si>
  <si>
    <t>c68026c8-8af9-4a05-b77a-246a01bafe61</t>
  </si>
  <si>
    <t>12f1e6ce-7042-481b-879b-fa81c7688c7d</t>
  </si>
  <si>
    <t>d3e121fb-09c0-4478-84f1-f4f3e28cd50f</t>
  </si>
  <si>
    <t>9829ba14-b236-4e50-ad54-426ff618074b</t>
  </si>
  <si>
    <t>3d449afb-b99a-492c-b636-85ced6b39e69</t>
  </si>
  <si>
    <t>529fe100-de0b-4a34-a669-4861ee4538a2</t>
  </si>
  <si>
    <t>e101101e-e4ba-48b6-9f82-267ca1cd84dc</t>
  </si>
  <si>
    <t>33e89c49-6e6f-4143-a57e-c53344422dbf</t>
  </si>
  <si>
    <t>2384a69e-7d7d-4052-84ee-2f53fa45320f</t>
  </si>
  <si>
    <t>0eadec28-a9ce-4dbf-be86-63f58a49b902</t>
  </si>
  <si>
    <t>7dbbded9-04fa-4b70-8b5a-131beedc1479</t>
  </si>
  <si>
    <t>26398e41-8636-4fd5-bc12-d7971dfe1ca8</t>
  </si>
  <si>
    <t>9e31fd58-c2a6-487c-9054-913aecd5ce32</t>
  </si>
  <si>
    <t>c5375a2c-f03c-464b-a482-5251debbfabb</t>
  </si>
  <si>
    <t>11aa209f-6e42-40bd-a12c-aa33445c21ea</t>
  </si>
  <si>
    <t>2b07d6f1-d698-47e2-9531-500cbffd9853</t>
  </si>
  <si>
    <t>b51adef1-b17e-463b-b009-c71db48bd195</t>
  </si>
  <si>
    <t>6a321455-d00f-4164-ab12-3601fef2ae6e</t>
  </si>
  <si>
    <t>3d01cf80-2d13-4225-a520-6558a7f407cd</t>
  </si>
  <si>
    <t>00353281-1abb-4de6-893b-d6bf7f748da8</t>
  </si>
  <si>
    <t>7773610f-f246-4837-a75f-2d260f815718</t>
  </si>
  <si>
    <t>0cfbd2ef-6eb3-4283-b0c9-8e23a4f9bf8c</t>
  </si>
  <si>
    <t>8733edb7-f04e-4b6d-ad48-7d49fb782bef</t>
  </si>
  <si>
    <t>75cea463-4395-4600-ad93-7017415b16e3</t>
  </si>
  <si>
    <t>95c3af3c-83b9-4cc0-b633-1493b7daca4d</t>
  </si>
  <si>
    <t>4a997f13-4fb8-4aca-b3f1-cf206b108805</t>
  </si>
  <si>
    <t>hb31cf979gfaf2g4dd6ga4degcd3517187b06</t>
  </si>
  <si>
    <t>Darts. (Don't actually exist ingame, but you can spawn them still)</t>
  </si>
  <si>
    <t>fb08eef6-f6a0-454e-ab14-c1470f3ba18d</t>
  </si>
  <si>
    <t>5557cbf6-ce24-48de-beed-3be1a77e1c82</t>
  </si>
  <si>
    <t>e292c502-b116-4a46-a232-dd53f7838f6f</t>
  </si>
  <si>
    <t>Flails</t>
  </si>
  <si>
    <t>608e265d-f81b-4c13-a786-e5602852fcf4</t>
  </si>
  <si>
    <t>0a44de18-b355-4692-9256-d920b9bb25b7</t>
  </si>
  <si>
    <t>cf19058b-2be6-411c-9227-7058053fa37a</t>
  </si>
  <si>
    <t>9eadef92-5dd0-408e-9b55-1cf791cafe9d</t>
  </si>
  <si>
    <t>4ef7dcd7-3328-4218-b0d3-520f2afaa529</t>
  </si>
  <si>
    <t>9076abf1-1029-4be9-a7cf-428d2b6fdea5</t>
  </si>
  <si>
    <t>23ab9011-ef66-463e-a8ee-012321be6d1c</t>
  </si>
  <si>
    <t>01338cbe-9ff6-485e-9052-838c82a2a753</t>
  </si>
  <si>
    <t>b551469c-5a53-4df3-a2c9-91516ef55695</t>
  </si>
  <si>
    <t>4c86f6ac-5829-41f2-a3f0-d3e893334961</t>
  </si>
  <si>
    <t>8f8ad4f1-ee45-45f5-9368-3da979ada65a</t>
  </si>
  <si>
    <t>05ca18da-41f4-4385-b370-0f75a989e119</t>
  </si>
  <si>
    <t>02376e06-56bf-429b-890f-e52f5d275262</t>
  </si>
  <si>
    <t>8c733d14-6cbc-4227-9d87-0e42ce0965c4</t>
  </si>
  <si>
    <t>Glaives</t>
  </si>
  <si>
    <t>89f511d6-6d36-4480-9ee8-6e0145c960ef</t>
  </si>
  <si>
    <t>99f3b2d9-e03d-4cd5-9a67-5435a95682da</t>
  </si>
  <si>
    <t>15d2830c-ac76-4b5b-969d-05197875b1c2</t>
  </si>
  <si>
    <t>0c3fcc8d-bf4b-4f65-95ec-a5d1030afe66</t>
  </si>
  <si>
    <t>24f276e7-f08f-44f1-ab97-3df34fd52add</t>
  </si>
  <si>
    <t>e7dab8bd-8037-4d8e-9c4e-ebec705912aa</t>
  </si>
  <si>
    <t>be861724-206e-483e-a42d-9dd131030ad</t>
  </si>
  <si>
    <t>3112f0f5-4073-45d2-8e37-eeafa1558896</t>
  </si>
  <si>
    <t>0de9e072-7048-4d07-8bbe-79e0591674c2</t>
  </si>
  <si>
    <t>0a6e5a22-414d-4f4e-b9e1-6083822648c4</t>
  </si>
  <si>
    <t>Greataxes</t>
  </si>
  <si>
    <t>e1e090ec-ab8c-4db4-a0c3-8b7ab24bb181</t>
  </si>
  <si>
    <t>560fa90c-942b-4661-a86b-e20f9362c9ba</t>
  </si>
  <si>
    <t>6e05319b-d8c4-4dbc-b0f4-cea561810fa6</t>
  </si>
  <si>
    <t>d5712e24-ce9e-42ce-8fad-6e049b62c28c</t>
  </si>
  <si>
    <t>9fffd630-0361-4a3e-95b1-67bcfd43ca9b</t>
  </si>
  <si>
    <t>afbfaee7-e2cd-48e7-8c46-d2377c7320e3</t>
  </si>
  <si>
    <t>ce8a894c-3dc6-48dc-bb8f-af5390890d43</t>
  </si>
  <si>
    <t>dd0e9fa2-e012-454d-9f2d-53c0a0776015</t>
  </si>
  <si>
    <t>7bbc2408-14de-4129-bab0-db29927b7f43</t>
  </si>
  <si>
    <t>9a81cb70-6a5c-465b-b4b9-0931d544095c</t>
  </si>
  <si>
    <t>b3ed22d9-dd32-46c3-928a-e7253a843dfc</t>
  </si>
  <si>
    <t>Greatclubs</t>
  </si>
  <si>
    <t>fddc251b-22d8-4036-a9fb-85fba8635cf0</t>
  </si>
  <si>
    <t>01da5a5b-97cd-4989-9ae3-af646eb35bc9</t>
  </si>
  <si>
    <t>19ce6720-03b6-4d22-bf35-4963b510d1da</t>
  </si>
  <si>
    <t>d64e1a13-18a5-4cdc-ac02-977523435f8f</t>
  </si>
  <si>
    <t>20bd2850-f6b3-4f13-bf96-c566d8df0de4</t>
  </si>
  <si>
    <t>1fdc0473-8d0f-4e59-8ef8-9bd67568c002</t>
  </si>
  <si>
    <t>82029987-a77c-4bb5-99b9-3b513cb551f1</t>
  </si>
  <si>
    <t>7ee0b513-403b-4fe3-a445-b599defa9331</t>
  </si>
  <si>
    <t>Greatswords</t>
  </si>
  <si>
    <t>7219fca3-5f41-43a0-8253-f4c09d8b6308</t>
  </si>
  <si>
    <t>660483f6-8eb3-45be-88a4-327f9d417026</t>
  </si>
  <si>
    <t>d1082e88-b1e2-479d-913f-1413784d95a1</t>
  </si>
  <si>
    <t>769adbf8-d3bf-48f7-8c2b-21fb892b1d33</t>
  </si>
  <si>
    <t>ecfb9f69-5bc3-402e-acd8-c91d57e28403</t>
  </si>
  <si>
    <t>5e8597e6-7695-4333-8895-1ffe7a47db1d</t>
  </si>
  <si>
    <t>1a2a58b7-4bd5-44d5-b1fe-8cd7e5b53def</t>
  </si>
  <si>
    <t>ToDo: Find UUID. Not on Wiki/Easycheat</t>
  </si>
  <si>
    <t>26ac9758-19f4-4867-9d5d-57437d6b9794</t>
  </si>
  <si>
    <t>e90936db-7f65-446c-819d-c7fc6ba44d6c</t>
  </si>
  <si>
    <t>0bf738cf-c0b7-471c-b66e-91578a6f657f</t>
  </si>
  <si>
    <t>82311843-dae9-4bda-86fb-40b722daf82e</t>
  </si>
  <si>
    <t>f01c3f5d-c542-420f-86c5-bdddf7819e29</t>
  </si>
  <si>
    <t>523a959d-4101-4beb-9a8e-276c3f687c02</t>
  </si>
  <si>
    <t>44dedec0-df82-4ed3-b9ca-147bd830e312</t>
  </si>
  <si>
    <t>56316970-8adb-4936-8c73-9d8a7c41a8a4</t>
  </si>
  <si>
    <t>e76b0896-dc70-4fb9-b202-cf5efc2de15a</t>
  </si>
  <si>
    <t>455383a5-1211-4500-85f9-b71fad3fbf15</t>
  </si>
  <si>
    <t>ebdf1022-bb30-4a03-ac29-82f488bfce4f</t>
  </si>
  <si>
    <t>Halberts</t>
  </si>
  <si>
    <t>f928a70d-5b23-4605-9cae-5342f9ed206e</t>
  </si>
  <si>
    <t>d1019d9d-e5ae-4601-8a63-1b33421926e1</t>
  </si>
  <si>
    <t>187691ba-7027-49a8-ba74-d0dc5cafbe12</t>
  </si>
  <si>
    <t>1060b5af-6119-4237-9e8f-b3a1a054d8c9</t>
  </si>
  <si>
    <t>35682866-bd23-44a2-9a25-6a3ba2ee2b48</t>
  </si>
  <si>
    <t>1534c8ee-3651-477d-999c-b22efc9f850d</t>
  </si>
  <si>
    <t>c86a3bf4-16b4-4d76-a33d-3df5c265aca8</t>
  </si>
  <si>
    <t>7addb7c0-f428-4033-9065-f4ad6e4c7e81</t>
  </si>
  <si>
    <t>64cdd668-5c09-48f3-a064-d4581156ca31</t>
  </si>
  <si>
    <t>Handaxes</t>
  </si>
  <si>
    <t>b6b4ac25-e54b-441f-b6d3-423ea728cfb1</t>
  </si>
  <si>
    <t>82999790-f80d-47f7-9383-9bb6cf57a10b</t>
  </si>
  <si>
    <t>b7d2149f-dcd4-4244-858c-aaae7af6e9b3</t>
  </si>
  <si>
    <t>4f67b6cb-ccc4-497e-b5d3-2804726e8706</t>
  </si>
  <si>
    <t>46b64a36-8446-45bd-98e8-ee81e3136baa</t>
  </si>
  <si>
    <t>7a05135d-b285-4186-8a32-a870f1684b60</t>
  </si>
  <si>
    <t>5c996c03-99e9-40c1-8acf-d761550d26f5</t>
  </si>
  <si>
    <t>2c362536-7ffa-43f4-926c-70dc682ffbff</t>
  </si>
  <si>
    <t>Javelins</t>
  </si>
  <si>
    <t>8fdd7b33-6740-4d15-935c-9e54f54e16d4</t>
  </si>
  <si>
    <t>0a7adc8d-b561-4f81-a8f2-ec07b5d54955</t>
  </si>
  <si>
    <t>b908f109-b379-4a49-8f41-5b7f154d9b76</t>
  </si>
  <si>
    <t>Light Hammers</t>
  </si>
  <si>
    <t>96df6fd6-a688-47ab-b448-0b6d27d1cf1d</t>
  </si>
  <si>
    <t>494f21ac-5a1b-4e91-bd30-551b79532516</t>
  </si>
  <si>
    <t>d0bf4aef-e423-49ab-9177-c86b2a8efc9a</t>
  </si>
  <si>
    <t>d0419aaf-9e20-4029-b8e9-9e1a62661b13</t>
  </si>
  <si>
    <t>0c8a9530-273d-4f64-81b9-0d169d890483</t>
  </si>
  <si>
    <t>b76baf78-5aaf-4c15-9468-6333a0eb4b92</t>
  </si>
  <si>
    <t>733a70a1-2e0f-46f4-aca1-037c0335dc72</t>
  </si>
  <si>
    <t>b6925b99-4b14-48a1-89ca-eb328bb746df</t>
  </si>
  <si>
    <t>Longswords</t>
  </si>
  <si>
    <t>d116f35c-4399-408c-ba90-b455a5d29a1f</t>
  </si>
  <si>
    <t>d4cb8410-096a-480e-88fb-7224c6b654f6</t>
  </si>
  <si>
    <t>269fc6e6-3870-412a-a60a-2357e49a3d5b</t>
  </si>
  <si>
    <t>0a11f6f4-5605-4dff-a3e6-b172e4dba555</t>
  </si>
  <si>
    <t>0a024202-84d0-4466-a958-76b2a163781c</t>
  </si>
  <si>
    <t>faf8d98c-103d-4524-b609-41d3f1790c5a</t>
  </si>
  <si>
    <t>b9739be6-7c2b-4fe9-be36-13ff1094e79c</t>
  </si>
  <si>
    <t>81177d6e-6761-4f8e-9bbe-1e291dd18664</t>
  </si>
  <si>
    <t>3fc2ba50-3070-4caa-abe8-3bf885969bde</t>
  </si>
  <si>
    <t>67ae6ce9-08fd-4ee7-9343-9a408f8ad9fa</t>
  </si>
  <si>
    <t>06fbf04c-41be-4709-91df-76b4cbc9ccf5</t>
  </si>
  <si>
    <t>907a794b-b089-406b-880d-6f2df2bb3f13</t>
  </si>
  <si>
    <t>0553ced5-00b0-4c39-8ee4-519f6401f44a</t>
  </si>
  <si>
    <t>e1c37edf-ad63-44a5-8fd4-44687169747e</t>
  </si>
  <si>
    <t>7050c02e-f0e1-46b8-9400-2514805ecd2e</t>
  </si>
  <si>
    <t>5908898d-5d9e-40de-ab07-3f8fb5f0174c</t>
  </si>
  <si>
    <t>56a7539c-7c5c-4c44-b8e0-5ff2e5beb4e9</t>
  </si>
  <si>
    <t>1865323f-b428-4791-a0a9-578841e57463</t>
  </si>
  <si>
    <t>2af7255d-bae1-4d4c-a8ba-4a2b5909a794</t>
  </si>
  <si>
    <t>Longsword (Death Knight)</t>
  </si>
  <si>
    <t>a4338d7c-5b70-4076-9711-d3803fab2e1b</t>
  </si>
  <si>
    <t>Not on Wiki yet.</t>
  </si>
  <si>
    <t>Longsword (Moonlight Silvers)</t>
  </si>
  <si>
    <t>a96c763c-db4e-4fc3-968b-ebed9d404aee</t>
  </si>
  <si>
    <r>
      <rPr/>
      <t xml:space="preserve">Not on Wiki yet. Worn by Moonlight Silvers </t>
    </r>
    <r>
      <rPr>
        <color rgb="FF1155CC"/>
        <u/>
      </rPr>
      <t>&lt;image link&gt;</t>
    </r>
  </si>
  <si>
    <t>e3b2adb6-7493-466e-9c65-4281fb74e83f</t>
  </si>
  <si>
    <t>9046e0e3-1e70-4267-9430-3901201e8cbd</t>
  </si>
  <si>
    <t>6d0d3206-50b5-48ed-af92-a146ed6b98f2</t>
  </si>
  <si>
    <t>5c41bb72-9a50-4d98-a12a-0de374c43f19</t>
  </si>
  <si>
    <t>dddd2204-0ee3-47b0-a7ea-6b5216a65e89</t>
  </si>
  <si>
    <t>5e7030e9-d59c-4edf-8278-8981a8e8baef</t>
  </si>
  <si>
    <t>777cb3d5-0689-4cfd-9719-b460897cb9e6</t>
  </si>
  <si>
    <t>20c66f8d-f455-42fc-8e48-543512247e75</t>
  </si>
  <si>
    <t>Maces</t>
  </si>
  <si>
    <t>df08ec01-52f0-4fdf-b5e7-4fa0970a480a</t>
  </si>
  <si>
    <t>5a948b12-ca43-4256-9821-0d151036dbd1</t>
  </si>
  <si>
    <t>7ebf3d2b-39ff-4a18-9114-4d09d17f432f</t>
  </si>
  <si>
    <t>c0fb0a11-1f29-470c-a95b-102377ef2356</t>
  </si>
  <si>
    <t>f8578a13-a857-4043-91e4-8101c9e7c004</t>
  </si>
  <si>
    <t>c31d6b30-2377-4e3c-a602-d5d527defc11</t>
  </si>
  <si>
    <t>70909020-27ff-4a63-a03f-30d4818dd1c3</t>
  </si>
  <si>
    <t>8e13f737-40e5-4be5-817e-1c5d6199b08b</t>
  </si>
  <si>
    <t>b1dc33ba-c595-4036-9683-26635f297e44</t>
  </si>
  <si>
    <t>3186796d-3ab3-4d49-bfc2-cba1aff0cf5a</t>
  </si>
  <si>
    <t>f203a318-ea9a-4117-8d27-299dabafd1d3</t>
  </si>
  <si>
    <t>ce1c45a5-5606-4604-9afa-beca19fd03e1</t>
  </si>
  <si>
    <t>8a527abd-a2ff-4267-a067-d26bdf6742ee</t>
  </si>
  <si>
    <t>7b961f08-46c1-46b1-99bc-c59283831a0b</t>
  </si>
  <si>
    <t>4b0131e0-875a-4f3c-8b41-dbf653857d00</t>
  </si>
  <si>
    <t>Mauls</t>
  </si>
  <si>
    <t>c1aa1bf6-2bb8-4472-9e18-b5285101c4b3</t>
  </si>
  <si>
    <t>2f481fef-1877-4eac-820d-dc3210ff0b36</t>
  </si>
  <si>
    <t>89eacf71-5bf6-4e7f-ac9d-e2d7d1d6bcb0</t>
  </si>
  <si>
    <t>efb003c3-af98-43d7-bcf4-af29702fb531</t>
  </si>
  <si>
    <t>5487ceb4-b009-46ae-8ed6-cd3baaf0a18d</t>
  </si>
  <si>
    <t>7e8ef269-0e7b-4352-8828-89c5fced943c</t>
  </si>
  <si>
    <t>b92fcaf1-2895-4faa-b952-1d21bf94acba</t>
  </si>
  <si>
    <t>67e97333-2225-4797-9c06-0a0e08e6edd7</t>
  </si>
  <si>
    <t>9c0b228c-8330-4407-9877-3b980810a1ae</t>
  </si>
  <si>
    <t>Morningstars</t>
  </si>
  <si>
    <t>26a9fba6-1a60-4691-84ea-da7ffcb304e0</t>
  </si>
  <si>
    <t>deea755b-5335-49d9-bd0e-dbaab9eaf94c</t>
  </si>
  <si>
    <t>83715b12-8d39-48b7-a981-fe50a4ec2d4e</t>
  </si>
  <si>
    <t>f8856d2d-ffda-417c-b7a8-c7aa757903b7</t>
  </si>
  <si>
    <t>5637bf93-ebd4-4170-a251-d77d9687c58a</t>
  </si>
  <si>
    <t>907df6ab-93ab-4f51-bf57-ac767d48e382</t>
  </si>
  <si>
    <t>12e19834-cf53-4207-93c3-5f0facef5889</t>
  </si>
  <si>
    <t>Pikes</t>
  </si>
  <si>
    <t>661ac892-ee92-46ca-b1b4-1c1df10c7bf0</t>
  </si>
  <si>
    <t>8454a13e-291f-47ec-a600-d41c32391064</t>
  </si>
  <si>
    <t>c6323431-6efc-4fb6-af72-75f0a056a449</t>
  </si>
  <si>
    <t>baa5b139-42ad-40fd-b6c3-6b52b092c48e</t>
  </si>
  <si>
    <t>40fa8049-b6c1-4463-b212-52ad13b5d687</t>
  </si>
  <si>
    <t>1047ac9f-7860-44fd-9154-0f06fe64936c</t>
  </si>
  <si>
    <t>0eddcd68-36fb-4c9f-8cbb-66513d8d718e</t>
  </si>
  <si>
    <t>53023726-12bd-4871-805a-66744321dfdb</t>
  </si>
  <si>
    <t>cd6c6adc-8792-4378-8c63-8169cfad6c55</t>
  </si>
  <si>
    <t>Quarterstaves</t>
  </si>
  <si>
    <t>59cd94ae-c26c-459a-89d8-a1f1ebdd13ba</t>
  </si>
  <si>
    <t>4708068e-542a-4dfb-b8a0-56e1ee371600</t>
  </si>
  <si>
    <t>518d1630-d2bf-4dca-8c24-9d7ba9d529f3</t>
  </si>
  <si>
    <t>48b4f49b-2937-4664-ac87-7db2c64d09c9</t>
  </si>
  <si>
    <t>62da3651-f2e4-4371-b5f2-fd06dd705030</t>
  </si>
  <si>
    <t>e8eca87d-e01f-40d3-8097-a787602f1dc9</t>
  </si>
  <si>
    <t>b5c85eb7-ed4f-4e90-a317-5547ddaf3650</t>
  </si>
  <si>
    <t>8aaf86a8-c884-4368-bcc5-1f91fd210624</t>
  </si>
  <si>
    <t>111e30c6-ced0-478b-9922-3428cb50b7e1</t>
  </si>
  <si>
    <t>bb1fef3b-ac2b-427e-9b6f-273a8c7e4ff8</t>
  </si>
  <si>
    <t>b2758975-82c2-4405-ad2d-99cfa21059ff</t>
  </si>
  <si>
    <t>7e39ad11-f8c3-421a-940c-05348c420c7d</t>
  </si>
  <si>
    <t>1e8e2d4d-904d-4367-ad28-30012915f458</t>
  </si>
  <si>
    <t>cab10a42-8c85-459a-9d68-b4836388c022</t>
  </si>
  <si>
    <t>4893bf4e-97e1-48e0-ada8-6bbf115ad68b</t>
  </si>
  <si>
    <t>13f6ff0c-08c4-4e9f-a624-511389b68dc2</t>
  </si>
  <si>
    <t>96e2abaf-78ff-4dcb-a6a3-a5f0c348bd9f</t>
  </si>
  <si>
    <t>f99fe985-168c-4ab6-8c21-8fbd1ef16a1a</t>
  </si>
  <si>
    <t>2fa18ee4-92df-486f-97d2-dd0a720b6fad</t>
  </si>
  <si>
    <t>e1e112b2-5465-4e37-acdc-372666ec1521</t>
  </si>
  <si>
    <t>28b38ae1-8d66-4d8e-a4f0-5d4c6c342c59</t>
  </si>
  <si>
    <t>58c90cf9-5541-4909-a853-d1a0ca31c046</t>
  </si>
  <si>
    <t>be06b20a-a551-4cd5-82d0-e7a952e28584</t>
  </si>
  <si>
    <t>baa8bd91-09ec-4c92-a0e1-4a5a9d4ea8ed</t>
  </si>
  <si>
    <t>48318705-311a-4b4c-b911-18d260d6db0f</t>
  </si>
  <si>
    <t>26c24ccf-8f4a-44a9-ba56-e1d8e9d49ae3</t>
  </si>
  <si>
    <t>da0ba39a-366d-456b-8dbd-1c5790ca40bf</t>
  </si>
  <si>
    <t>ecb02247-a407-445e-8046-856133d198bf</t>
  </si>
  <si>
    <t>544e81be-cc28-4fdf-aea7-9a31940af4d0</t>
  </si>
  <si>
    <t>fcbb2c63-ac59-42e0-ad0b-d91cf9a47b60</t>
  </si>
  <si>
    <t>d09685e8-0122-4ecb-8e9d-2f6f1850427e</t>
  </si>
  <si>
    <t>cd8e6f82-d128-4077-916e-a6179fd1d190</t>
  </si>
  <si>
    <t>ff63ca4a-a990-43dc-a28b-c6bed7bfa617</t>
  </si>
  <si>
    <t>4f0bc5b8-ff1e-49cd-b1f0-ee45c1ae4a9e</t>
  </si>
  <si>
    <t xml:space="preserve">f6b9701c-66ca-43d1-adea-2e5b443fa35d </t>
  </si>
  <si>
    <t>Local Item. UUID might not work</t>
  </si>
  <si>
    <t>53d6be1b-eac1-4b88-83ab-ba17956eca57</t>
  </si>
  <si>
    <t>b61f3c6e-a224-4af8-ad16-51b3799e7715</t>
  </si>
  <si>
    <t>cf42b0d0-89d8-4756-b6d7-1e258dceeab0</t>
  </si>
  <si>
    <t>Rapiers</t>
  </si>
  <si>
    <t>d49bf05e-4f94-4860-bd8c-ae63dae811be</t>
  </si>
  <si>
    <t>530a5c21-0f52-428f-bf41-ef33fd6c447b</t>
  </si>
  <si>
    <t>e925fb75-96a5-4634-9e0b-a239e48da115</t>
  </si>
  <si>
    <t>705662e8-2a7f-4c7e-b0a0-e505395a45e3</t>
  </si>
  <si>
    <t>467b9a2e-b7e8-4c01-b744-fae8e3b960fd</t>
  </si>
  <si>
    <t>7061f489-4b13-4982-aa09-cf0ad961e75f</t>
  </si>
  <si>
    <t>5a6cea10-b3f6-4370-8eed-0b69b4ba531a</t>
  </si>
  <si>
    <t>5c572e8e-8693-48cf-b494-2df0341f7ced</t>
  </si>
  <si>
    <t>2d55309e-52ab-4270-9211-e432e4d8fc59</t>
  </si>
  <si>
    <t>a8dc9927-1aa3-45ee-8fea-4106e431c194</t>
  </si>
  <si>
    <t>df6698d2-b690-4aea-be83-956d3b2ea97e</t>
  </si>
  <si>
    <t>31a0245d-48fe-462e-b4bc-4bfe906e49fd</t>
  </si>
  <si>
    <t>Scimitars</t>
  </si>
  <si>
    <t>503b4f8d-da61-4fc1-a4b7-cad124a10c69</t>
  </si>
  <si>
    <t>d60524f4-583e-4b16-91b2-871221d441cf</t>
  </si>
  <si>
    <t>96f7647b-7485-4c0c-aaad-73a332d8e626</t>
  </si>
  <si>
    <t>dfb5a6ef-baee-4c0e-9b9d-7f5bd9458131</t>
  </si>
  <si>
    <t>288356cc-0c6b-43c1-b049-dde418faf1f2</t>
  </si>
  <si>
    <t>74ecc6e4-ee5d-4cd8-96cb-dd677a4acc82</t>
  </si>
  <si>
    <t>d5b4619a-c65f-42eb-b5bb-055aa1249a38</t>
  </si>
  <si>
    <t>134cca90-23ea-497d-8698-b7a66bab59d3</t>
  </si>
  <si>
    <t>f9100179-19f6-49f9-8ad5-bda4d21220bc</t>
  </si>
  <si>
    <t>868217db-9dcb-414c-bb88-e321ab3e0349</t>
  </si>
  <si>
    <t>7cc7a0e1-d0b8-4569-afb2-d538e8941894</t>
  </si>
  <si>
    <t>5193af64-48c1-406f-90bf-87f7f01b4684</t>
  </si>
  <si>
    <t>1576903a-cb77-4a05-be24-1714d8c61e34</t>
  </si>
  <si>
    <t>afdc3411-7dad-4483-8ee1-e6a8f37b3ee4</t>
  </si>
  <si>
    <t>cac16ce7-f5fd-4314-8b79-94b56d6a8a09</t>
  </si>
  <si>
    <t>4456e2ec-ba1f-4f53-aab8-847249cabc09</t>
  </si>
  <si>
    <t>b9656931-da39-4024-92a2-f45264593b14</t>
  </si>
  <si>
    <t>517231eb-e812-43ed-9ce3-482ba7ed31e6</t>
  </si>
  <si>
    <t>3b44007e-eb36-4c03-b367-6619299b6994</t>
  </si>
  <si>
    <t>Shortswords</t>
  </si>
  <si>
    <t>7a96f6cc-c6bb-4caf-a1ab-a86af3fa21a5</t>
  </si>
  <si>
    <t>3c14116f-43da-4e73-92d1-903f46a9d55d</t>
  </si>
  <si>
    <t>c03b08dc-9e1f-46fa-b67f-7136c1ea5fe5</t>
  </si>
  <si>
    <t>5961d027-75fd-4ad7-964c-8b786b5839fb</t>
  </si>
  <si>
    <t>3fab682c-abc7-43f0-b9bb-9faa9f612d8d</t>
  </si>
  <si>
    <t>3db6b7be-1e36-405e-94fd-cf5a9f0e4b68</t>
  </si>
  <si>
    <t>4b54911a-a32d-48ad-8691-ff28801e1275</t>
  </si>
  <si>
    <t>Githyanki Shortsword (Psychic)</t>
  </si>
  <si>
    <t>824a370a-5fc6-4435-b58f-33a0d91f5b08</t>
  </si>
  <si>
    <t xml:space="preserve">Not on Wiki yet. </t>
  </si>
  <si>
    <t>Doesn't exist? Perhaps above is what wiki meant? But stats are different.</t>
  </si>
  <si>
    <t>ae92ab6e-f0dc-4d4c-a1b2-b84f01325db6</t>
  </si>
  <si>
    <t>75654556-d676-4fb5-b553-bef42fbf0fbb</t>
  </si>
  <si>
    <t>025e162a-45ec-4f4c-89da-04d8e8dfe606</t>
  </si>
  <si>
    <t>5e651778-cc78-425e-b27d-483b1c8afa82</t>
  </si>
  <si>
    <t>f06c0554-bba8-4036-ac92-1b225a578f57</t>
  </si>
  <si>
    <t>9d66df2d-8e8f-4798-8684-77b738d26704</t>
  </si>
  <si>
    <t>66d6cbd5-c231-4fc4-a3b7-80f781b579f7</t>
  </si>
  <si>
    <t>467ddb4f-6791-41fa-99f7-ee8620d63bbe</t>
  </si>
  <si>
    <t>261b946f-154b-4f75-8985-cab6531034a2</t>
  </si>
  <si>
    <t>0839fb15-24ab-4c3a-b168-413a47ed710a</t>
  </si>
  <si>
    <t>0d5e17a5-510d-468a-8607-77a326bc453c</t>
  </si>
  <si>
    <t>1e172d76-3433-4ee7-ae1a-9e7d8ae0f12b</t>
  </si>
  <si>
    <t>de0e16f6-6dbb-4edd-8ba5-106486b05552</t>
  </si>
  <si>
    <t>65b41886-823d-416b-b53e-c332a3aad530</t>
  </si>
  <si>
    <t>82afffba-16cb-47ff-8520-bac8b9c46ad3</t>
  </si>
  <si>
    <t>2b5243b8-658e-4ff2-bccf-0f39e5c53f3e</t>
  </si>
  <si>
    <t>3b578a43-222e-480b-8a22-2c424471099f</t>
  </si>
  <si>
    <t>764dcd70-9206-457c-9366-7aa9e3370514</t>
  </si>
  <si>
    <t>8fee8eb3-f16b-4b9a-85a0-d46a9cd4937e</t>
  </si>
  <si>
    <t>Sickles</t>
  </si>
  <si>
    <t>b4941ecd-87ba-497d-a9ec-a270f5301738</t>
  </si>
  <si>
    <t>1d75dc84-b276-47b0-a0be-a5b25dfcb086</t>
  </si>
  <si>
    <t>50d677ed-3a0e-40e9-8291-ee6823af5672</t>
  </si>
  <si>
    <t>a07f2e91-e084-4fe5-9dbb-ef7de76a3c0a</t>
  </si>
  <si>
    <t>6b95bb45-41c3-4954-ac2f-ef1aa169b0b6</t>
  </si>
  <si>
    <t>5b4b10cd-089f-4675-8392-5bfa6749d79c</t>
  </si>
  <si>
    <t>Spears</t>
  </si>
  <si>
    <t>846c9caf-1099-4e50-bb9d-d628d02a70ad</t>
  </si>
  <si>
    <t>e8f6c0aa-de5c-45a5-97fd-599addc036f1</t>
  </si>
  <si>
    <t>1fea9dfa-96a6-43c5-bce8-34452baa073e</t>
  </si>
  <si>
    <t>5dc55fa5-40df-4e67-ab78-d9320176e614</t>
  </si>
  <si>
    <t>81b017b5-d185-4026-8871-a053aca8648c</t>
  </si>
  <si>
    <t>c8274575-61a2-43a7-bde0-65a278dde287</t>
  </si>
  <si>
    <t>86450ec8-d876-457f-92c0-7bb11e8f38f8</t>
  </si>
  <si>
    <t>b8878c58-e510-4c2f-97f0-da9cc442a75f</t>
  </si>
  <si>
    <t>2eeabe97-8f29-4f4f-827e-6cfcd8fd1779</t>
  </si>
  <si>
    <t>61f31bf6-47ec-41e1-9385-2f6c26facc87</t>
  </si>
  <si>
    <t>9f0f1c0e-012d-44e1-9b29-86c64d2bf675</t>
  </si>
  <si>
    <t>158e6f29-89e9-4279-8f8f-85078f047225</t>
  </si>
  <si>
    <t>74d9758a-84e9-4244-9ae8-14acee76acb3</t>
  </si>
  <si>
    <t>d590884d-55a2-4136-9777-531ee7d53f7e</t>
  </si>
  <si>
    <t>7fdf8022-629a-4b34-b0c0-3295bfb2903d</t>
  </si>
  <si>
    <t>a2f4c951-7db4-4d60-9888-f2ad50af7110</t>
  </si>
  <si>
    <t>Tridents</t>
  </si>
  <si>
    <t>503d3d60-8798-4c65-bec1-347392733c86</t>
  </si>
  <si>
    <t>daf0be7f-87d9-448a-b94e-471ffec40ac5</t>
  </si>
  <si>
    <t>fd1b4c45-e2df-4add-bc56-697d0339c4bd</t>
  </si>
  <si>
    <t>27ef84b1-ea40-4f06-a013-f6281511f0e9</t>
  </si>
  <si>
    <t>cfdc8fdc-9f59-415f-8098-70035585eadb</t>
  </si>
  <si>
    <t>d3807461-7c32-44ae-9aba-49ef4d3bf35e</t>
  </si>
  <si>
    <t>2fab5801-76b1-4669-95d9-7df76bed12dd</t>
  </si>
  <si>
    <t>6cf827d6-5bae-480a-a1b4-d7fdb0e68801</t>
  </si>
  <si>
    <t>ba86b029-9232-4ad2-9e2d-9edcdd1d728b</t>
  </si>
  <si>
    <t>657678f2-5924-4d8e-b8ce-a2079154c91b</t>
  </si>
  <si>
    <t>War picks</t>
  </si>
  <si>
    <t>a42bf0f7-3a78-4aae-b94f-ed92a89e847c</t>
  </si>
  <si>
    <t>1a0860bf-aa35-4ac4-b98b-2f9fb04426bd</t>
  </si>
  <si>
    <t>8693aa7e-cd47-4990-80e7-51041f036400</t>
  </si>
  <si>
    <t>a088775a-8f75-42f2-aa74-76a3f80701fa</t>
  </si>
  <si>
    <t>75586d3e-21b2-4d94-ac99-99a6b0e8c3dd</t>
  </si>
  <si>
    <t>Warhammers</t>
  </si>
  <si>
    <t>22baa548-56a4-494c-a9d0-4880d6f1da91</t>
  </si>
  <si>
    <t>3e1b3db9-036e-4931-ab92-c3730a1c3d5f</t>
  </si>
  <si>
    <t>50940e05-ba59-4569-a71f-79af34b605a8</t>
  </si>
  <si>
    <t>72207448-c6b6-42fc-b9ef-a34fdd3c1265</t>
  </si>
  <si>
    <t>596202a9-7d6b-4bcf-8748-dbf6aa55b002</t>
  </si>
  <si>
    <t>37a29c63-3fcd-43bd-8021-c363dcc852bc</t>
  </si>
  <si>
    <t>d0b0b019-5954-4e80-97f5-4206ac1bc0db</t>
  </si>
  <si>
    <t>855f49c9-5724-4df9-a23d-0af82116af76</t>
  </si>
  <si>
    <t>4d1f9bce-1884-47d0-a420-69417f397139</t>
  </si>
  <si>
    <t>1f8252a3-3227-48a3-b500-996e571cac68</t>
  </si>
  <si>
    <t>9ff968d4-08ff-4da1-a288-959ac8d7abe1</t>
  </si>
  <si>
    <t>fdaf8461-4d1a-4364-8d7d-4dd9ce824a1e</t>
  </si>
  <si>
    <t>6b17998d-2e79-405d-8b1f-beb53658312f</t>
  </si>
  <si>
    <t>e6b027a7-40bb-445e-b199-38b08d2b4832</t>
  </si>
  <si>
    <t>Grenades / Trowables</t>
  </si>
  <si>
    <t>3850ec1a-d951-45b7-9363-dc82e20bd28a</t>
  </si>
  <si>
    <t>0b1aa718-fe45-4e4c-8811-ced51c581075</t>
  </si>
  <si>
    <t>11f7c9b6-6210-44f2-ae59-2f61f6ad7563</t>
  </si>
  <si>
    <t>Unknown</t>
  </si>
  <si>
    <t>1fd5d25c-806e-44ea-9f52-20df63a44e98</t>
  </si>
  <si>
    <t>98f2cb6a-e268-4f99-aac3-62edabd8774c</t>
  </si>
  <si>
    <t>a0b56e94-bd59-4cfd-af1b-bb07ff95f931</t>
  </si>
  <si>
    <t>5e282d02-6a10-44cb-9737-9d52aab0701c</t>
  </si>
  <si>
    <t>cbc47f2b-b88a-4bd8-99cd-aacc2dc2ea44</t>
  </si>
  <si>
    <t>e2968a2e-bc83-4d50-99ef-39ce78d2d630</t>
  </si>
  <si>
    <t>df5f8cbf-42c5-4c0d-a0ec-ce5046474d8e</t>
  </si>
  <si>
    <t>b09296f1-2bc3-422e-8735-c13e83ac8801</t>
  </si>
  <si>
    <t>6008231b-9f5a-44f6-8050-14586b7626fd</t>
  </si>
  <si>
    <t>c3236e6e-21e4-4e39-a5b4-fda105d8ce3f</t>
  </si>
  <si>
    <t>b878380f-7248-4b06-83f8-2d26055497c8</t>
  </si>
  <si>
    <t>369c04b5-992b-4bde-8451-1eac0a3376ea</t>
  </si>
  <si>
    <t>cb2e851f-8a75-4899-b705-0f079e8e55bc</t>
  </si>
  <si>
    <t>ac9e04d9-c43c-45f2-9922-a17675ef98b5</t>
  </si>
  <si>
    <t>9320005f-18c6-4c2b-be7f-e168d3b15573</t>
  </si>
  <si>
    <t>91947f48-4368-4794-8429-2f57172dc53d</t>
  </si>
  <si>
    <t>b9eeaebb-9b00-4552-940f-5d829a66e8cb</t>
  </si>
  <si>
    <t>29d32b36-390f-4fe8-b27b-931393d76c2a</t>
  </si>
  <si>
    <t>f36d0687-46e4-4899-930e-8f635e50948e</t>
  </si>
  <si>
    <t>dfafe6b2-fa8a-49c2-bf93-1966736a7ce9</t>
  </si>
  <si>
    <t>e5544395-3752-463c-80a8-e9b9b7ed1263</t>
  </si>
  <si>
    <t>9220d896-4ff3-430f-9523-00d2a4dfbc17</t>
  </si>
  <si>
    <t>7821978d-c720-4651-9693-936960145636</t>
  </si>
  <si>
    <t>21756f85-a506-4e80-bdec-50bdbcbacab4</t>
  </si>
  <si>
    <t>278271f9-3fbc-4cf7-a5dc-b36527f521b2</t>
  </si>
  <si>
    <t>08c75e58-6e70-469a-a22e-44c184995e6c</t>
  </si>
  <si>
    <t>249ff64e-818b-4dc8-919b-7f297f64a2a3</t>
  </si>
  <si>
    <t>8cc1c07f-398c-42fb-9cdf-76ef052bdaa6</t>
  </si>
  <si>
    <t>e077ef28-5de9-439d-bbaf-59536585c938</t>
  </si>
  <si>
    <t>10b6acda-aa4e-46b1-aa9a-e45ab914a28d</t>
  </si>
  <si>
    <t>a4d98266-948b-4467-96cd-6a316f37ceda</t>
  </si>
  <si>
    <t>2f900203-cbe9-4b6c-8d63-1a9a873a13ff</t>
  </si>
  <si>
    <t>Darts. (Cut, but usable)</t>
  </si>
  <si>
    <t>Hand Crossbows</t>
  </si>
  <si>
    <t>3c9f6e52-1597-4ba6-ae36-d532c0e8bad5</t>
  </si>
  <si>
    <t>a5d843ab-c3af-4e60-a925-bb2e15828938</t>
  </si>
  <si>
    <t>d2f396c2-9b1b-4eea-bf21-2f25934f092d</t>
  </si>
  <si>
    <t>ab150a98-0a8e-4ee2-9dca-580d77f99be3</t>
  </si>
  <si>
    <t>7f2203f8-0162-4c3d-8635-c700fa2982ab</t>
  </si>
  <si>
    <t>f5b3b579-3569-4f6d-835c-9c19245152d6</t>
  </si>
  <si>
    <t>759a080f-bd13-4cd8-a417-1677b8ee9d73</t>
  </si>
  <si>
    <t>c9dcf78e-a46c-4959-aade-707d9dd2c51a</t>
  </si>
  <si>
    <t>Heavy Crossbows</t>
  </si>
  <si>
    <t>b11756a8-519a-406c-be36-c3603c3edae1</t>
  </si>
  <si>
    <t>12710611-6c85-4280-a597-8286e18f5740</t>
  </si>
  <si>
    <t>260a44f7-9ce6-4c8c-bcc8-2eb018c00590</t>
  </si>
  <si>
    <t>b674ea52-2b6f-4977-b6d5-98810304a98b</t>
  </si>
  <si>
    <t>22bf3680-a37f-4a04-b036-2865805f3d60</t>
  </si>
  <si>
    <t>04622e3d-5b3f-4f2c-a0db-513a717d911f</t>
  </si>
  <si>
    <t>6af59cba-cc38-4511-9c3b-75caac4b96b5</t>
  </si>
  <si>
    <t>181104f6-6423-42de-b624-e225e5fb8a4d</t>
  </si>
  <si>
    <t>b2fb13a7-ce3e-4721-b2ea-1dee303707ed</t>
  </si>
  <si>
    <t>Local UUID. might not work</t>
  </si>
  <si>
    <t>e2391c41-845c-4d8e-9aba-d2392e193bfd</t>
  </si>
  <si>
    <t>Light Crossbows</t>
  </si>
  <si>
    <t>43b7fbf5-7f6e-4e9e-bce7-c679eea44593</t>
  </si>
  <si>
    <t>509dd5c3-7c72-4335-9b23-19a14a884f2e</t>
  </si>
  <si>
    <t>664ff469-770a-4597-9be2-506465e5486f</t>
  </si>
  <si>
    <t>Longbows</t>
  </si>
  <si>
    <t>7e81bb6a-f465-4fe9-b1db-7ce6198246ba</t>
  </si>
  <si>
    <t>75c90d55-c262-446d-937c-8adbef1e3e93</t>
  </si>
  <si>
    <t>f5a95e54-b4ff-482d-b5f4-392917125c86</t>
  </si>
  <si>
    <t>049173ec-636a-487e-a9ed-bfafeadf6bb7</t>
  </si>
  <si>
    <t>118967f7-14de-41fa-bec8-3ba383252e9a</t>
  </si>
  <si>
    <t>2b72f224-a182-43c7-97e9-dc9a6ba4f9f5</t>
  </si>
  <si>
    <t>db4a3e0f-6315-4337-abce-aad5f38513aa</t>
  </si>
  <si>
    <t>269b2b03-aaaf-4635-98e2-e9b32dab5ffa</t>
  </si>
  <si>
    <t>38b80bf8-9cf8-4495-8267-eb84c7779d0c</t>
  </si>
  <si>
    <t>13236988-83df-4bf2-8005-b4ac31f21ff4</t>
  </si>
  <si>
    <t>Shortbows</t>
  </si>
  <si>
    <t>9eed107f-ff11-4f50-ac7a-6a8b8344e148</t>
  </si>
  <si>
    <t>c57ba806-b340-4307-9c37-170792052b8d</t>
  </si>
  <si>
    <t>c040d1fc-4804-4774-8367-6dfa397e27e2</t>
  </si>
  <si>
    <t>9b5d79a8-98ad-4d67-9730-ba0453eee488</t>
  </si>
  <si>
    <t>fd6f48fc-b153-4e6b-9a7f-86ac2963c95f</t>
  </si>
  <si>
    <t>a1d1634c-02e6-4428-a822-7603e9163264</t>
  </si>
  <si>
    <t>2199a407-0ae8-4ada-b3cd-b19df5adeadd</t>
  </si>
  <si>
    <t>82992370-cb61-4381-b390-891a3a9bd075</t>
  </si>
  <si>
    <t>c5403c1d-f372-43e1-927a-9189e9e3545d</t>
  </si>
  <si>
    <t>a46173b7-afd6-48e0-9c76-817acd027574</t>
  </si>
  <si>
    <t>0a17e147-25bf-4ae5-b24a-3307db4bec56</t>
  </si>
  <si>
    <t>Slings (Cut, but usable)</t>
  </si>
  <si>
    <t>d31af642-ae35-4f22-b7a6-100f3048be33</t>
  </si>
  <si>
    <t>Arrows (Bundles of 50)</t>
  </si>
  <si>
    <t>1545f451-3fc5-4c1b-970e-572f9ace630c</t>
  </si>
  <si>
    <t>0bfb72d2-0e8e-4d16-aeae-3159b0d4b195</t>
  </si>
  <si>
    <t>c9871e4a-633e-4b81-9115-8ffd0f69ee6a</t>
  </si>
  <si>
    <t>86e46f4a-6789-47ef-ab85-449ca36b1b20</t>
  </si>
  <si>
    <t>f516862d-5a05-426a-a8a1-1486b35b68f8</t>
  </si>
  <si>
    <t>86a4dd98-80b1-4778-b498-e3a49b1dec37</t>
  </si>
  <si>
    <t>844c19ce-9e8f-4119-8856-8fa2029461b1</t>
  </si>
  <si>
    <t>437835b4-0d13-47b7-8aca-5da4f948783b</t>
  </si>
  <si>
    <t>0d81014f-cc7f-4c79-9477-b8cda9738c72</t>
  </si>
  <si>
    <t>21a2ef96-97ac-4372-95d7-676174610abc</t>
  </si>
  <si>
    <t>04ba10a0-ca33-47e6-9810-0b7234700c4a</t>
  </si>
  <si>
    <t>9a142fae-bcea-4e88-a407-16d3b27468b9</t>
  </si>
  <si>
    <t>a86bf6b2-2e75-4464-ad65-2bafa89e73aa</t>
  </si>
  <si>
    <t>3c2c6a61-e348-4222-9ba3-58a4d49d558c</t>
  </si>
  <si>
    <t>2e297d80-823b-4200-926e-6ca23f488090</t>
  </si>
  <si>
    <t>a61c8248-1595-450f-bcc9-2ed1d9853739</t>
  </si>
  <si>
    <t>1b0f095b-cb22-4bf9-aecf-4e5a26504ec8</t>
  </si>
  <si>
    <t>b11b3f7f-d8ec-41db-93b9-24474aea31e3</t>
  </si>
  <si>
    <t>d7645507-6c0c-48ff-aa1b-57092d139f22</t>
  </si>
  <si>
    <t>5931f0c7-ddd7-4e3b-aeef-64b0e7eefb70</t>
  </si>
  <si>
    <t>eee2f284-1a42-462a-8b38-50bd2e3885c5</t>
  </si>
  <si>
    <t>ab4ed528-cf26-417d-a751-981f7c83066f</t>
  </si>
  <si>
    <t>a0985797-4ec7-475c-8e11-0361e387f39a</t>
  </si>
  <si>
    <t>ac23602b-ceee-4ef3-a6b8-601e40a5aa6f</t>
  </si>
  <si>
    <t>ae58df6b-0fc9-48ff-9d36-52bf9bc22204</t>
  </si>
  <si>
    <t>682364ab-2849-4625-be84-5ca1900834ff</t>
  </si>
  <si>
    <t>NON-Armor camp clothing only.</t>
  </si>
  <si>
    <t>Camp Clothes</t>
  </si>
  <si>
    <t>ef840839-3516-43b1-823f-103b1e0b04bf</t>
  </si>
  <si>
    <t>0004915f-4399-4ae1-beab-85a62c11b674</t>
  </si>
  <si>
    <t>0e9c3ca7-070f-43e9-b642-bd0b21f76290</t>
  </si>
  <si>
    <t>62950ae1-b74f-46a6-bfd0-055c93bad651</t>
  </si>
  <si>
    <t>b7392453-6569-4c24-9a1b-cbaea7cebac8</t>
  </si>
  <si>
    <t>d0b540dd-c778-4573-b0cb-149a0309bfa2</t>
  </si>
  <si>
    <t>5efe9bb8-bffe-4c91-bbd6-bee4d5d0611c</t>
  </si>
  <si>
    <t>6f3c80a9-14f8-481d-ab27-5426a00329e1</t>
  </si>
  <si>
    <t>ab68a753-921f-4df5-9979-d9663cea078e</t>
  </si>
  <si>
    <t>edb02b0e-3d91-4a81-a37d-f151bad68c6d</t>
  </si>
  <si>
    <t>66685917-3cd9-4dc8-a792-319288dacb30</t>
  </si>
  <si>
    <t>f6af55dd-a75a-46ea-87f0-89ebf4e7b74e</t>
  </si>
  <si>
    <t>9dc4dafd-590a-44ec-8523-95136f46be9e</t>
  </si>
  <si>
    <t>3fc58d24-9743-4e82-a4bd-ad18eda257cb</t>
  </si>
  <si>
    <t>76e754a1-9559-4cb7-b11b-045f1b8aada1</t>
  </si>
  <si>
    <t>c65c5dd5-705c-4103-904c-0835d81bd846</t>
  </si>
  <si>
    <t>eff198aa-7040-4893-bde4-b0983c08142c</t>
  </si>
  <si>
    <t>d73c75f6-7fbf-4336-817e-aab883c47406</t>
  </si>
  <si>
    <t>516d4737-5f69-4083-8bae-3f09e5aab180</t>
  </si>
  <si>
    <t>4866f90d-ee70-43a8-96a4-35511f4b824e</t>
  </si>
  <si>
    <t>e03b6708-5865-409d-8855-67aa834c60bd</t>
  </si>
  <si>
    <t>9c035563-05ee-47e1-a3e0-e0420a07f534</t>
  </si>
  <si>
    <t>13084436-5d19-4cef-ae53-02857497fc28</t>
  </si>
  <si>
    <t>6f7d15a8-9bcb-45de-94c5-8c77424aaf42</t>
  </si>
  <si>
    <t>30c5721d-bdc3-4150-8cd1-d99197eb4870</t>
  </si>
  <si>
    <t>76f26388-daff-440a-a4f3-dba4f78e548c</t>
  </si>
  <si>
    <t>0469f558-e4f0-4eb5-b4b2-bf00b8e0aa15</t>
  </si>
  <si>
    <t>42c04143-38cb-4112-91de-0d5ed0ca7101</t>
  </si>
  <si>
    <t>a6e5ebd6-beb6-4d67-8aeb-254a2b063332</t>
  </si>
  <si>
    <t>c1212df0-3f47-4af7-b98a-164fca31da97</t>
  </si>
  <si>
    <t>7ab22473-bb9a-49f4-9890-4d3a691331b6</t>
  </si>
  <si>
    <t>7f89e3b8-61ef-498b-bd1b-77f996c5ec42</t>
  </si>
  <si>
    <t>79bb5a64-2019-4818-a898-de179b6bc44c</t>
  </si>
  <si>
    <t>2f7aadd5-65ea-4ab6-8c55-88ee584c72df</t>
  </si>
  <si>
    <t>1cb24313-5ed1-43b7-ab4a-cdf2118422ea</t>
  </si>
  <si>
    <t>c2024c47-967b-4d6b-bfb3-978f502d1321</t>
  </si>
  <si>
    <t>164ebd0f-432e-4aa6-8589-5dccafc8383e</t>
  </si>
  <si>
    <t>a38159ef-a981-4abd-bcdd-58e61558960e</t>
  </si>
  <si>
    <t>d873fb44-94c7-4b74-a272-1d2e5e43a7ef</t>
  </si>
  <si>
    <t>782e430e-caef-42eb-abc4-6406544e9714</t>
  </si>
  <si>
    <t>c56bbf29-2315-415e-a488-fada851828ea</t>
  </si>
  <si>
    <t>eedda7b5-c1f4-4633-8034-30e63f7ce581</t>
  </si>
  <si>
    <t>cf7e5e2f-d791-4929-b1bc-a7ba35db1687</t>
  </si>
  <si>
    <t>543d5c85-d5c5-4768-be78-b8173c4e6450</t>
  </si>
  <si>
    <t>bdc2247f-32a3-4ded-bffc-8aeb770f23d4</t>
  </si>
  <si>
    <t>dc74db6c-14b2-44fa-8415-0dd1194e90e2</t>
  </si>
  <si>
    <t>bdef460b-374e-45d6-86f7-d272a927b380</t>
  </si>
  <si>
    <t>f369f4fa-2da7-4693-a147-16cfaf02bca5</t>
  </si>
  <si>
    <t>24149d5d-c509-48dc-b026-491c11e60a5c</t>
  </si>
  <si>
    <t>0d0d9c0f-e9aa-4ba4-a0a9-1a0b7b7069ca</t>
  </si>
  <si>
    <t>5c79e518-2c59-41c5-84a7-d43a58e76d09</t>
  </si>
  <si>
    <t>e22c8a04-ab6b-4315-a784-81fabb2b8db9</t>
  </si>
  <si>
    <t>54de4a07-c57c-421e-912c-7e8bd93ca0c4</t>
  </si>
  <si>
    <t>82fa106f-3fb9-4c00-818f-5e5df5deb434</t>
  </si>
  <si>
    <t>1c6c44c6-4bc5-44f6-b5f6-8d3cc4654134</t>
  </si>
  <si>
    <t>91bb667d-239b-4d56-9287-c41124736872</t>
  </si>
  <si>
    <t>6cd27edd-fd6b-491b-8263-c01d9dd915aa</t>
  </si>
  <si>
    <t>2e3d2a61-a0ba-495c-80e2-faa452542035</t>
  </si>
  <si>
    <t>67f1d175-a03b-4cb0-bf3c-c7304b147aca</t>
  </si>
  <si>
    <t>c03c2a3c-9e84-4042-8267-189ccb2af715</t>
  </si>
  <si>
    <t>42ff9d36-849d-4777-968c-8cf9ca7d8027</t>
  </si>
  <si>
    <t>0ebb7321-c215-490f-b314-b1a3cd44b6fa</t>
  </si>
  <si>
    <t>29a31736-6f9d-46ef-880d-ac3157187202</t>
  </si>
  <si>
    <t>7d65044d-0d01-44c8-b665-165f0ecc768c</t>
  </si>
  <si>
    <t>5cdc0fe0-dbda-4f31-89f8-9e16782daef1</t>
  </si>
  <si>
    <t>9747dbb0-0f92-483e-80fc-391390d416f9</t>
  </si>
  <si>
    <t>f577a9be-8793-48da-a03d-e66d993dc4e7</t>
  </si>
  <si>
    <t>ffe2cacb-8073-4e6d-bf81-057da0c5030c</t>
  </si>
  <si>
    <t>220d0f79-5016-407d-aaa6-5fb4208dcc56</t>
  </si>
  <si>
    <t>22a80754-79f2-4b6a-9de4-3e619a80d5d4</t>
  </si>
  <si>
    <t>c9588fa5-3644-4c2d-8b8b-f0d4cdb3869e</t>
  </si>
  <si>
    <t>e6497a0d-94e6-41bd-8bbd-91885bf56313</t>
  </si>
  <si>
    <t>4880fb87-77b7-4931-a586-6909c4a5752a</t>
  </si>
  <si>
    <t>47e4e37b-d3fa-4e23-8d53-203804cd3b6e</t>
  </si>
  <si>
    <t>8fc09773-7083-466a-8988-e030b6d647e3</t>
  </si>
  <si>
    <t>c9d62e5b-2734-42cf-9069-6953b8060df0</t>
  </si>
  <si>
    <t>dfe7cf67-64b5-4b91-9ae2-50aea87493f9</t>
  </si>
  <si>
    <t>8c953ad4-1103-4215-9a09-ff95e51cc8e4</t>
  </si>
  <si>
    <t>7062410b-439c-4f2f-bc48-1c16ab1ace20</t>
  </si>
  <si>
    <t>8725508f-e47e-488f-8187-3d15ebb9c8e9</t>
  </si>
  <si>
    <t>39d87577-6f4f-438e-a5b7-abf387a6f0f1</t>
  </si>
  <si>
    <t>9a8a79fe-a9a2-466d-af06-f3973fe5b16b</t>
  </si>
  <si>
    <t>b3185288-bcb3-475d-aac1-7c34fa88898e</t>
  </si>
  <si>
    <t>168a676a-af4c-497c-8b98-76a0f6d20462</t>
  </si>
  <si>
    <t>a7b3f166-f909-4103-8c2c-b8559da749b5</t>
  </si>
  <si>
    <t>0650531b-3a2f-499e-bf4e-58488a14636f</t>
  </si>
  <si>
    <t>0d2cf317-1e3d-492b-8755-00f33cd3f24f</t>
  </si>
  <si>
    <t>5daa7ba8-8e8d-4e68-9f5a-3c9f89c32c89</t>
  </si>
  <si>
    <t>12c2f3d2-a4a6-47e6-a7aa-dfcced16add6</t>
  </si>
  <si>
    <t>3c8eca7a-8c7c-40a5-be4c-64455630f08f</t>
  </si>
  <si>
    <t>9c1fedb8-4262-4426-84cc-8ad8dc01be97</t>
  </si>
  <si>
    <t>efb49491-ca1d-4bab-a7a7-815f8d298ee0</t>
  </si>
  <si>
    <t>6909f7fa-6da9-40ea-898e-91cbaac9bf5c</t>
  </si>
  <si>
    <t>f4064489-adce-4b58-b664-311c6d476880</t>
  </si>
  <si>
    <t>52353c73-2c58-4dd7-8370-adb266a17fab</t>
  </si>
  <si>
    <t>58f9af08-f4ac-412d-ba38-f8b1d7db9e5f</t>
  </si>
  <si>
    <t>d9caff77-293c-4e8d-a721-3e17908490f8</t>
  </si>
  <si>
    <t>12c9ad5c-040f-44a5-ac30-d8ed4505d651</t>
  </si>
  <si>
    <t>8b9ee0cf-35a6-4439-9402-d5f829645e2a</t>
  </si>
  <si>
    <t>3dc4b718-0504-43e2-a88f-0d6736bf6b25</t>
  </si>
  <si>
    <t>98cdd18d-2d8a-4aca-a46b-c4829833482f</t>
  </si>
  <si>
    <t>2db4d06e-db75-4bcf-97a2-de4dff6939af</t>
  </si>
  <si>
    <t>46c97e62-7d3e-449f-a130-586e8e871947</t>
  </si>
  <si>
    <t>a5cc728e-6b8a-4458-86cd-7492f7c4a266</t>
  </si>
  <si>
    <t>54c4b72d-0f2d-40be-bab7-c70c5f3adb97</t>
  </si>
  <si>
    <t>1068659c-f12b-4930-ac4f-c4892af58cd7</t>
  </si>
  <si>
    <t>af6ffb20-cbdc-410c-9a12-6c217eb8aa9c</t>
  </si>
  <si>
    <t>bd2ac836-5584-41e5-b4ff-01782c0dec6d</t>
  </si>
  <si>
    <t>Camp Shoes</t>
  </si>
  <si>
    <t>773924ee-02cd-42e7-8480-0c42896f700e</t>
  </si>
  <si>
    <t>19963131-982a-44b2-afd8-c2edee9e1b3a</t>
  </si>
  <si>
    <t>697a6021-ff43-43d5-b9c9-a432bb3ea59d</t>
  </si>
  <si>
    <t>7dec9f3e-3a90-4588-a995-2986340866c6</t>
  </si>
  <si>
    <t>ba0fbaf7-324f-4f79-a124-66ba185faef9</t>
  </si>
  <si>
    <t>db2f2945-debc-4b18-b4f5-6456a11ecddb</t>
  </si>
  <si>
    <t>041882e7-cebb-4923-b284-7f2fed66ffe4</t>
  </si>
  <si>
    <t>7e633d92-271b-4aaf-9880-dd1643bd41a3</t>
  </si>
  <si>
    <t>8b6555b8-fcf1-4535-b9cd-7e94208ce840</t>
  </si>
  <si>
    <t>5272e57c-7ea0-4bda-aac5-449304f4f011</t>
  </si>
  <si>
    <t>64acdd3e-3813-4d54-90fd-36209d846147</t>
  </si>
  <si>
    <t>4aa0dbb1-f51a-45bc-8a58-814ac5063035</t>
  </si>
  <si>
    <t>dbe8fe69-736f-4ceb-8a98-57d1f9a639be</t>
  </si>
  <si>
    <t>d8bc3625-f1d8-4ad3-8cfd-23b6b496cf36</t>
  </si>
  <si>
    <t>d73378c9-fd89-43cf-bfa9-0a7c7c77324f</t>
  </si>
  <si>
    <t>aa1b4d17-528f-4934-b350-6b17f389b9dd</t>
  </si>
  <si>
    <t>810351d6-75ff-4c95-8f65-fcbfb5d0c19d</t>
  </si>
  <si>
    <t>f7018235-a244-43f0-86e9-25b38fcd11a6</t>
  </si>
  <si>
    <t>1856414d-8a47-4e41-8aee-55991b18f494</t>
  </si>
  <si>
    <t>e3b092c6-82e8-49df-843c-40d643410171</t>
  </si>
  <si>
    <t>00d8d8fc-1820-47de-9956-5d4a68a40700</t>
  </si>
  <si>
    <t>cba5d95b-d2a6-4253-abe1-c81da0391c0c</t>
  </si>
  <si>
    <t>16a8aee6-568c-458e-b006-cb3344cac4fb</t>
  </si>
  <si>
    <t>2290f957-2e17-4ceb-870f-bd53f81f866c</t>
  </si>
  <si>
    <t>b61e283d-eba5-4fd2-86a3-21e490ad16bf</t>
  </si>
  <si>
    <t>4f7febc5-fadd-45f2-96c1-d2447fec12bd</t>
  </si>
  <si>
    <t>a8f1228b-1cdc-4b5c-abf4-d19f41b6bc30</t>
  </si>
  <si>
    <t>ff7d64c3-3969-44f6-98ee-0add1fb69fef</t>
  </si>
  <si>
    <t>37ceb8fb-7d41-4373-b31b-6fcc602955b4</t>
  </si>
  <si>
    <t>14339654-a714-4341-b03f-62530508c8e3</t>
  </si>
  <si>
    <t>c6db137e-b61c-418f-9785-b0beb6e6de0f</t>
  </si>
  <si>
    <t>6a491be1-7480-4069-8ac2-277728652fbf</t>
  </si>
  <si>
    <t>4700fad1-769e-4831-9b3f-4ead08c49cfa</t>
  </si>
  <si>
    <t>cb28ea7d-2838-43e7-a807-11277c44facb</t>
  </si>
  <si>
    <t>42de5102-7a39-44d2-b1d8-645ec4d8b0ce</t>
  </si>
  <si>
    <t>556de2bd-99a6-4d62-b78c-d4681ce5bdfa</t>
  </si>
  <si>
    <t>b8f42945-a42e-46cb-a424-3a0a5e97157a</t>
  </si>
  <si>
    <t>836e13ab-78a6-4ca3-ba8e-adc4c25205f1</t>
  </si>
  <si>
    <t>f107cc6a-3a6e-4a58-be16-fbe73b3f7ae8</t>
  </si>
  <si>
    <t>e92e4dad-8e96-4f27-aacb-cc430df0bc75</t>
  </si>
  <si>
    <t>b307af36-a2da-4c01-aac3-a31771edd407</t>
  </si>
  <si>
    <t>212bf756-b237-4ede-9c67-e871fd60e788</t>
  </si>
  <si>
    <t>dc59e71e-a303-497d-9ab7-7354cf8897d8</t>
  </si>
  <si>
    <t>c36967e4-26c5-4f2f-b25b-f351a6bac804</t>
  </si>
  <si>
    <t>6d7169af-9b41-42dc-be4f-ece1486cd70e</t>
  </si>
  <si>
    <t>c3f02e6c-d519-40d1-b686-a241a9f9972e</t>
  </si>
  <si>
    <t>8a40655e-69df-45ab-b1cd-7164c2e29fd4</t>
  </si>
  <si>
    <t>5fdac3e9-455c-49e0-83a0-3222108f5651</t>
  </si>
  <si>
    <t>03855492-12d7-42bf-866f-8aeb8eae176f</t>
  </si>
  <si>
    <t>Underwear</t>
  </si>
  <si>
    <t>4b30a649-fd88-4f64-a57b-1149d7b9ac41</t>
  </si>
  <si>
    <t>9ebb9117-a0ae-46f2-a243-8d67650e9586</t>
  </si>
  <si>
    <t>91259e65-dd71-4312-ba3c-c55757978788</t>
  </si>
  <si>
    <t>e865db4c-4df3-48e9-8cf3-5abad75510ba</t>
  </si>
  <si>
    <t>185ab1be-e93d-4518-b053-d6d4d7168d68</t>
  </si>
  <si>
    <t>73874ef8-a3c4-4a68-8d2a-ed3d580dfb52</t>
  </si>
  <si>
    <t>bf974183-9bf5-4086-9742-a2deef9e7675</t>
  </si>
  <si>
    <t>b460bd0c-58fe-4a56-831c-af92fd4ba7e2</t>
  </si>
  <si>
    <t>e419b771-2ea2-439d-a9e9-c2796398dd09</t>
  </si>
  <si>
    <t>8494f6d9-d588-4d18-bb0d-c5a58e911771</t>
  </si>
  <si>
    <t>6d076cab-f23a-4a80-89b6-107be7f345bd</t>
  </si>
  <si>
    <t>9fecf84d-911f-4986-9454-0429ac437f45</t>
  </si>
  <si>
    <t>0ec7d956-e65f-4bfa-b677-22f399f81a32</t>
  </si>
  <si>
    <t>1cb3fb1b-2dfc-446a-9c9b-666eb0de05d6</t>
  </si>
  <si>
    <t>d692d48f-9a39-4001-8a38-c01e397953dc</t>
  </si>
  <si>
    <t>f328179e-f5e1-4fd4-bd41-efad411223e8</t>
  </si>
  <si>
    <t>3caad2f1-719f-4070-b7f0-887c49c773d3</t>
  </si>
  <si>
    <t>78063154-288f-41aa-a99f-e56cbf601129</t>
  </si>
  <si>
    <t>305718fa-de30-474f-97a8-41ae79b4919e</t>
  </si>
  <si>
    <t>d40b567d-6b66-447e-8923-2bbd0d7aea00</t>
  </si>
  <si>
    <t>5fa043bf-0445-49ad-9e82-0df77c639fe2</t>
  </si>
  <si>
    <t>82c84433-0464-442a-8e5a-0891d829f99a</t>
  </si>
  <si>
    <t>498c155f-8675-4a55-9cb0-89dd7270469f</t>
  </si>
  <si>
    <t>1930ceec-4a50-43d9-8589-94593c449be4</t>
  </si>
  <si>
    <t>Amulets and other neck wear</t>
  </si>
  <si>
    <t>1310524f-408e-405d-8d75-7a6d3cb18bcc</t>
  </si>
  <si>
    <t>95b04c9c-8b58-44c5-bf1f-7d4d1027d57e</t>
  </si>
  <si>
    <t>b4f88dd8-0a5b-4641-937e-a882bebc26b1</t>
  </si>
  <si>
    <t>16a632e2-45b1-4ff1-8250-513eb271abea</t>
  </si>
  <si>
    <t>894a6847-3d80-4368-86fb-354c8cb23525</t>
  </si>
  <si>
    <t>c1cb7388-bd2f-4cc7-8305-7d7a0651874f</t>
  </si>
  <si>
    <t>5ed63342-30c9-456d-9a57-a88c8596c0c9</t>
  </si>
  <si>
    <t>b648ee98-f648-411b-be7e-6c50ca9b463c</t>
  </si>
  <si>
    <t>e7bf966a-b611-4c36-89fe-0a3b28393d97</t>
  </si>
  <si>
    <t>c0b04c1c-afb5-4f02-b832-e12043a2d2c4</t>
  </si>
  <si>
    <t>489290fd-c517-4c26-83e8-db102d8db25b</t>
  </si>
  <si>
    <t>0b30d06e-5bd4-45e5-bb89-a0b167e06d06</t>
  </si>
  <si>
    <t>1acf71e6-6bca-4d9b-9d24-739823e10723</t>
  </si>
  <si>
    <t>b6510e39-54fc-45fa-a49e-e7d8cbfdafe6</t>
  </si>
  <si>
    <t>ddc9ac0b-8e68-422b-8d9d-c081629ab4ad</t>
  </si>
  <si>
    <t>b96d16dc-da98-4108-9a0e-5e55720dbf5c</t>
  </si>
  <si>
    <t>37ce3317-3504-4e85-8457-c83c628bd046</t>
  </si>
  <si>
    <t>01d74aea-9e8a-4d03-9b55-e43458b61163</t>
  </si>
  <si>
    <t>fa28af9d-f179-4eeb-9780-a4cde893ac1f</t>
  </si>
  <si>
    <t>fda631e5-83f5-4ae4-b28f-cf4da102e3be</t>
  </si>
  <si>
    <t>15be2ce4-3f2c-4b75-8068-bd13fd69a3d5</t>
  </si>
  <si>
    <t>21abc023-343a-4693-b63f-3ba07a231864</t>
  </si>
  <si>
    <t>032c0c5e-158f-4c51-8fbe-f7658f43c853</t>
  </si>
  <si>
    <t>f6963e1e-b95a-496d-9d57-d4ad79a4394c</t>
  </si>
  <si>
    <t>49c2d3d1-f489-4433-8f9a-bdef766ee9f1</t>
  </si>
  <si>
    <t>95f850c6-ccaf-4f37-8c7a-33f740765ec0</t>
  </si>
  <si>
    <t>a67c7aa5-7b3f-4222-a655-6e4217d3b8e6</t>
  </si>
  <si>
    <t>2071b74c-95b4-4490-91b7-cf5e250f22ab</t>
  </si>
  <si>
    <t>f5e6c5d5-7361-446f-aa78-d394b2e4042c</t>
  </si>
  <si>
    <t>5556b0c1-5b0a-47f9-8bc6-91c8f293f83e</t>
  </si>
  <si>
    <t>e4d2562d-2789-4598-befe-d46b255f551a</t>
  </si>
  <si>
    <t>ad278f33-7c10-4779-88fc-d1448f25ae72</t>
  </si>
  <si>
    <t>6cc1bd88-9ff8-42bc-ac63-495d0cc027e4</t>
  </si>
  <si>
    <t>c612c1e6-0ff0-40a1-b199-b25db1c9808e</t>
  </si>
  <si>
    <t>fc44cf0e-04dc-4feb-b143-b1c52cffe252</t>
  </si>
  <si>
    <t>9c65cbd0-6349-4055-b5d9-892d70e9d3dd</t>
  </si>
  <si>
    <t>17a817b0-ea8b-492c-8925-402ad5cd84d5</t>
  </si>
  <si>
    <t>49a3a5ac-4e04-497a-a721-1decf89ea077</t>
  </si>
  <si>
    <t>64b31781-85f6-4266-8fac-430d79bcbdb4</t>
  </si>
  <si>
    <t>47af23c3-7eb0-4a49-a4a4-f2ee5ab521c0</t>
  </si>
  <si>
    <t>be745c7b-f5a0-48cb-a7bd-3b7713f6e702</t>
  </si>
  <si>
    <t>52503330-69de-427a-a443-b49ab748fc1c</t>
  </si>
  <si>
    <t>99864ac4-824c-4049-8933-e81667c4a408</t>
  </si>
  <si>
    <t>0ecfe9e6-f7f9-45a4-89b0-1db1ed8e8c56</t>
  </si>
  <si>
    <t>5bf24229-7a46-46d7-94d7-766ea5591ec2</t>
  </si>
  <si>
    <t>a92cec2f-3a86-4aa1-a7e9-1d6dc9e12957</t>
  </si>
  <si>
    <t>5fb93f62-06fa-4dc1-9c59-ff3fd48043d4</t>
  </si>
  <si>
    <t>Uncommon/RareHHonour</t>
  </si>
  <si>
    <t>6b8fcc06-fa6a-4a11-8318-075d90d8e909</t>
  </si>
  <si>
    <t>716e94de-130b-4f54-84d9-a14fc60adcfb</t>
  </si>
  <si>
    <t>912bbc6f-f4f0-4815-9ed5-d914289402e6</t>
  </si>
  <si>
    <t>4a9f0479-954f-486c-9534-d7d72c11f919</t>
  </si>
  <si>
    <t>9086724b-f0d6-4607-8b7c-b7fc64b71010</t>
  </si>
  <si>
    <t>7107c86e-ec6a-4bd8-bc93-8147412fc501</t>
  </si>
  <si>
    <t>50777efe-56f5-4b51-9998-576985e5f0b8</t>
  </si>
  <si>
    <t>086ae8fd-c44e-43a7-b8be-777b551a06d6</t>
  </si>
  <si>
    <t>7eaa1331-877c-40d7-9811-8238aee09f68</t>
  </si>
  <si>
    <t>9c10ac72-da07-4aca-a2ce-3d04d1ce3485</t>
  </si>
  <si>
    <t>51873c0d-f319-45e6-a6a2-79164cd8f3db</t>
  </si>
  <si>
    <t>88417607-71f0-4bdc-9c7b-ca5a18ba6b59</t>
  </si>
  <si>
    <t>50d054ee-4982-46eb-8f16-7a1c71ec8e28</t>
  </si>
  <si>
    <t>8b5fb90f-f957-4a1a-b8eb-2baff0c3b40b</t>
  </si>
  <si>
    <t>a3964bb7-abe5-49f3-a1b1-30ff160ecbf3</t>
  </si>
  <si>
    <t>ba147dc7-98bc-4bfb-9fbc-efa1735d0841</t>
  </si>
  <si>
    <t>203321f7-74f6-428c-90be-5d8b12da23ec</t>
  </si>
  <si>
    <t>757d37d1-a225-448f-a25b-02daffbdec97</t>
  </si>
  <si>
    <t>d6db1ae8-8e8e-49d1-8968-5cdb7fa3a02a</t>
  </si>
  <si>
    <t>28daf3e2-18c6-479d-82f6-54041596980e</t>
  </si>
  <si>
    <t>6d02f3e8-9c0e-49ce-993e-035e433d02b2</t>
  </si>
  <si>
    <t>8bba4a7c-a7df-4d1f-b202-286522a028fa</t>
  </si>
  <si>
    <t>e89d55a7-9a68-445a-bac9-b4a02654f0c7</t>
  </si>
  <si>
    <t>c2bbb262-34ee-4483-a0f8-f72cb7794ff1</t>
  </si>
  <si>
    <t>3af0e44d-309a-4a42-818a-288af77a7350</t>
  </si>
  <si>
    <t>6fe3b3f6-22f4-4745-9be0-25d0e36a1a4f</t>
  </si>
  <si>
    <t>20beaa42-f9fb-4b53-9c86-b971059b845b</t>
  </si>
  <si>
    <t>7d4b8a5c-7748-4021-a760-4bf646518a88</t>
  </si>
  <si>
    <t>cfbda235-8cb7-4ee7-bd94-b9a2249ed82e</t>
  </si>
  <si>
    <t>ed529c1b-abb0-4efa-8f5b-c4ed8560dfd3</t>
  </si>
  <si>
    <t>5561e219-895e-4144-8865-86d37826a2af</t>
  </si>
  <si>
    <t>Rings</t>
  </si>
  <si>
    <t>eb4e9410-3d33-4986-a5c2-8642ca5bbfc4</t>
  </si>
  <si>
    <t>5c8235c3-1aad-4b6d-bd0c-9753c77da5d2</t>
  </si>
  <si>
    <t>f09b6c2f-e5f3-43df-82c7-9ed5862a7421</t>
  </si>
  <si>
    <t>d874115c-6b92-4222-b1a2-594cf111b075</t>
  </si>
  <si>
    <t>a9f741f6-a758-47ea-bb21-9a37d3ddfe42</t>
  </si>
  <si>
    <t>5b74c9d8-cb88-4a29-99c4-25d98c7d88f7</t>
  </si>
  <si>
    <t>49114c66-a7cc-48d5-895f-9a31c71c4675</t>
  </si>
  <si>
    <t>c714fc94-eeaf-4622-9375-545261867514</t>
  </si>
  <si>
    <t>9e1ef422-c33e-4429-a197-abc07a02d767</t>
  </si>
  <si>
    <t>7902afa6-2b17-4052-beb2-2a1bced5c6e6</t>
  </si>
  <si>
    <t>afdcde80-f976-4781-86be-75a5fb0ae05e</t>
  </si>
  <si>
    <t>d4d7ed7f-3b51-4be4-8b3c-15dcd4f9de91</t>
  </si>
  <si>
    <t>463b0a81-1fc3-4db1-bafe-a915f9a8e028</t>
  </si>
  <si>
    <t>5f2b3262-bc71-4873-beb5-b51968e565ee</t>
  </si>
  <si>
    <t>8b1c2137-76e4-4a47-bebb-cf50847aca08</t>
  </si>
  <si>
    <t>3bd041cf-bff5-4464-9002-5c17b957b3c7</t>
  </si>
  <si>
    <t>3023d5a5-14f0-4549-8ff2-1f34336c243c</t>
  </si>
  <si>
    <t>e86c0cbb-9791-4cc7-95ba-9821902119fa</t>
  </si>
  <si>
    <t>5b22795e-8193-4933-98f9-9667d6f60b53</t>
  </si>
  <si>
    <t>258f4d35-959c-497b-a38a-df3a1e71f3a0</t>
  </si>
  <si>
    <t>4090ca27-dcca-4028-a887-173e87b602da</t>
  </si>
  <si>
    <t>7ff7d7b1-6fdd-44b7-b0ca-d9f4ebf5bb72</t>
  </si>
  <si>
    <t>0661eb9b-0924-450d-923b-1e371de444ae</t>
  </si>
  <si>
    <t>Doesn't work?</t>
  </si>
  <si>
    <t>046598e3-8cb4-497c-bfd2-866ff88b50db</t>
  </si>
  <si>
    <t>d337a7fe-dcbf-446c-a595-00b30f8f2e58</t>
  </si>
  <si>
    <t>f2b2327e-0aae-4389-87fb-cc999f7121ed</t>
  </si>
  <si>
    <t>148ab978-d44c-4c5d-895d-1ca1c1680012</t>
  </si>
  <si>
    <t>f284c260-84d9-45d6-8a15-257401f361dc</t>
  </si>
  <si>
    <t>b72c3fb7-c172-4dfa-81bb-f924a3c1ec19</t>
  </si>
  <si>
    <t>173aad0e-0db4-4f2f-8f24-49e6898b8f90</t>
  </si>
  <si>
    <t>70ad7889-e1e2-4c2f-980f-28eaa02c2022</t>
  </si>
  <si>
    <t>46b1d5d4-34e0-467e-b1b8-a43ae33f7541</t>
  </si>
  <si>
    <t>139a436b-120a-413e-a36e-c0e2c970439c</t>
  </si>
  <si>
    <t>75a84557-5cc5-4e74-83a8-1353f84116ef</t>
  </si>
  <si>
    <t>2f2d4bf3-6a14-43f5-81fe-e14aa9871215</t>
  </si>
  <si>
    <t>4b6d7c53-43b5-4c17-8139-732ca0fc2972</t>
  </si>
  <si>
    <t>fc5dbbb6-10ec-427d-abe5-a04f5182e332</t>
  </si>
  <si>
    <t>1789fae7-b4c9-48a6-8886-cd96687bf45f</t>
  </si>
  <si>
    <t>9c147265-5b32-44fe-af57-fa0d3f6c5712</t>
  </si>
  <si>
    <t>c4f364cc-daa1-4783-a474-b7ff394d2157</t>
  </si>
  <si>
    <t>efe2746c-10d4-4082-9133-d05b6f7fa291</t>
  </si>
  <si>
    <t>c7a58f48-f24f-4139-b0f0-8b12e1bf074e</t>
  </si>
  <si>
    <t>fa7b47e8-d411-4379-b68a-8ceb26891265</t>
  </si>
  <si>
    <t>931bdffe-0a36-4645-89f9-5ea7ec2eeb7f</t>
  </si>
  <si>
    <t>1abd032b-c138-45ee-b85e-62b5bbb6ea2d</t>
  </si>
  <si>
    <t>ec81c059-7d71-42ba-8970-cc77b9864967</t>
  </si>
  <si>
    <t>eadad0c4-d4a5-45cb-b4c3-e16a9b3ebe0a</t>
  </si>
  <si>
    <t>d5c32289-4fcc-483c-885c-1b8ddd519d44</t>
  </si>
  <si>
    <t>9ce563ca-82b0-4c28-bd82-8640fd0a5be3</t>
  </si>
  <si>
    <t>57e350dc-5156-49a7-8994-0f6a8eca08ea</t>
  </si>
  <si>
    <t>6594c1e3-0868-4efd-a93c-b6f4b3bd034d</t>
  </si>
  <si>
    <t>a4813d7b-2ff0-488b-8152-a27cb75e8d8e</t>
  </si>
  <si>
    <t>146e88ea-85ca-469b-9ce0-60be52613f2d</t>
  </si>
  <si>
    <t>4aba2198-98f9-4ec8-8a1b-bbd9ed864856</t>
  </si>
  <si>
    <t>50379f58-7892-44cb-be6e-146a60070055</t>
  </si>
  <si>
    <t>6c6c956e-80d3-4382-b651-b647ed0a998b</t>
  </si>
  <si>
    <t>1f2df119-5ca2-4860-ba0c-ecbb9c140e37</t>
  </si>
  <si>
    <t>cddea208-03cc-4b67-969d-a038bb233e5d</t>
  </si>
  <si>
    <t>70893b6f-b0de-4f4e-af9f-f10e2c09bd1e</t>
  </si>
  <si>
    <t>c8f05ff8-58f9-49f9-8ea7-abda1fea27d6</t>
  </si>
  <si>
    <t>b9ed80b2-cedd-4008-a0d9-7ccf016a7bbf</t>
  </si>
  <si>
    <t>35688051-90df-40e1-890b-c3cde2c82fde</t>
  </si>
  <si>
    <t>1352a999-76cc-46c5-a67a-26edc2011911</t>
  </si>
  <si>
    <t>d6ee2594-7373-4fed-a167-f9d95cb4ecfd</t>
  </si>
  <si>
    <t>4ca7ff5f-2c7b-407c-b754-b227d6e4fc31</t>
  </si>
  <si>
    <t>a6fe2fbc-b0f8-4c35-a3ab-d5deb6aa2978</t>
  </si>
  <si>
    <t>69362d04-4569-4ec8-8946-c20ee2dc1490</t>
  </si>
  <si>
    <t>c0bce741-9829-49c5-9778-426f2b00a642</t>
  </si>
  <si>
    <t>5c05ff73-9d0d-4d58-b93a-e4b448a1e388</t>
  </si>
  <si>
    <t>Doesn't Work?</t>
  </si>
  <si>
    <t>d897788f-6bed-498a-a87d-c205c7195525</t>
  </si>
  <si>
    <t>252584f5-e8b8-4ad8-8776-b3a2bb9e0823</t>
  </si>
  <si>
    <t>46e1228a-6682-4766-af76-bf5a42fe8611</t>
  </si>
  <si>
    <t>6fa51fb6-0c99-4e2e-bf3c-f4fe18fd64a7</t>
  </si>
  <si>
    <t>81d843ad-2343-4964-b5d0-3db44dfee4e1</t>
  </si>
  <si>
    <t>bf2949fe-6739-4149-ac68-106a00eec905</t>
  </si>
  <si>
    <t>743984c8-55a8-4045-9904-f0c84a0cf692</t>
  </si>
  <si>
    <t>9297096d-98d6-4637-9b7c-843af752505e</t>
  </si>
  <si>
    <t>8cc165d7-0372-4f4b-b4ac-f424f4069af1</t>
  </si>
  <si>
    <t>6853e585-e9c7-4f26-918e-995342b19d1a</t>
  </si>
  <si>
    <t>959e9aa6-b12b-4b71-83b4-0debdf647e9c</t>
  </si>
  <si>
    <t>34dceb64-7246-4a2a-b7c0-411725ce468e</t>
  </si>
  <si>
    <t>1b47637d-fdea-431f-a828-7ff8d9b4341e</t>
  </si>
  <si>
    <t>ee8d0bb8-ee1c-437c-b8e0-a9671b865c48</t>
  </si>
  <si>
    <t>699135e9-8932-4bde-8a17-8be5e11d873f</t>
  </si>
  <si>
    <t>c4194cee-6f9a-4c5e-8327-816d44c86316</t>
  </si>
  <si>
    <t>e8b6eb1d-c4f2-4b46-979c-ad3b9469030e</t>
  </si>
  <si>
    <t>846d27b5-c247-4049-9872-86171c172015</t>
  </si>
  <si>
    <t>5e309a15-0f33-4343-b0f5-e98ff71219fc</t>
  </si>
  <si>
    <t>a72120e6-aa1c-4a2b-89ae-a0469fb5b088</t>
  </si>
  <si>
    <t>4aef9bb0-38a8-428e-8b87-6e462d612dd6</t>
  </si>
  <si>
    <t>d5617279-2a10-4749-9d2d-686144178689</t>
  </si>
  <si>
    <t>49b84359-6a28-460e-af98-4526c5fca6fd</t>
  </si>
  <si>
    <t>bf59a1e5-e3d1-48f1-9970-4aa3fdcaa780</t>
  </si>
  <si>
    <t>7becedf0-a90a-40d3-a726-e4e671f3d73f</t>
  </si>
  <si>
    <t>5cd7c5d3-fb97-4757-b5fd-dcc7a43110a7</t>
  </si>
  <si>
    <t>Helmets/Hats/Circlets</t>
  </si>
  <si>
    <t>6958285e-808f-429d-8fa1-48684ea5e2f8</t>
  </si>
  <si>
    <t>6cbcac3c-9861-44ab-9322-89b00b287bf3</t>
  </si>
  <si>
    <t>d5d22dfc-bba4-4e2c-ba71-c804d3b47919</t>
  </si>
  <si>
    <t>d7696865-e8c2-4c44-a890-a43f5b6f9752</t>
  </si>
  <si>
    <t>76ce9b38-9203-437f-9962-4be4c4ad1193</t>
  </si>
  <si>
    <t>952d6b81-3562-4d07-ae10-385a9a2318f6</t>
  </si>
  <si>
    <t>72152951-3670-4004-b275-6b722c498bbc</t>
  </si>
  <si>
    <t>b8bd447c-eef3-441e-9fb8-303b5b926432</t>
  </si>
  <si>
    <t>4def305d-0141-4811-b1d1-353d323f5f2a</t>
  </si>
  <si>
    <t>a05f4468-4e26-4856-b996-ba8ab8e55a14</t>
  </si>
  <si>
    <t>56769fcd-f35c-4569-b7ef-9a974fd2e226</t>
  </si>
  <si>
    <t>cfbd013c-f24d-4430-be13-d7bfafd48709</t>
  </si>
  <si>
    <t>b2ac96aa-5f04-49fb-800c-ab51a2bdb3c6</t>
  </si>
  <si>
    <t>d2a4e407-b5de-4f0b-ab7a-75f9bf5041dd</t>
  </si>
  <si>
    <t>437aede9-dea6-46fd-ade2-fc9cfef16c3d</t>
  </si>
  <si>
    <t>3abdbb8a-4701-4397-8fce-7a8dd8a0bb84</t>
  </si>
  <si>
    <t>1e59513c-a787-4f77-bcef-675ac4199daf</t>
  </si>
  <si>
    <t>Circlet of Inner Turmoil</t>
  </si>
  <si>
    <t>5cd6935a-4be9-4018-9fc2-e340b96ac519</t>
  </si>
  <si>
    <t>4b3d2d3d-3dd5-4872-af6c-7acb3756b6c7</t>
  </si>
  <si>
    <t>8a17f2b1-5c5d-4bb0-8b2e-408e837c4d1f</t>
  </si>
  <si>
    <t>d8ef5f3c-cada-42f8-a947-c3a3f62e569d</t>
  </si>
  <si>
    <t>8aaf7649-5bee-442a-9192-5e8abd723c55</t>
  </si>
  <si>
    <t>ec9d4bd6-343d-4f75-ac71-af2447a82661</t>
  </si>
  <si>
    <t>27f1c6cd-c716-440d-ba7c-795c431ce5a3</t>
  </si>
  <si>
    <t>3523b640-e9da-4d89-b031-6ffe1d5fd3ed</t>
  </si>
  <si>
    <t>58968403-4dd6-4611-a7a2-a293ae7cf0b0</t>
  </si>
  <si>
    <t>b2409a86-dc0d-4193-9985-4f11419c64be</t>
  </si>
  <si>
    <t>f6585fc7-22bb-4e58-b4a6-bbb56e48a86f</t>
  </si>
  <si>
    <t>694320b7-726b-4804-9dd6-fbc8a307a05f</t>
  </si>
  <si>
    <t>e24d6a8b-5489-4c5c-b133-b435fda3918a</t>
  </si>
  <si>
    <t>e9d1d363-5ebc-41ef-bb87-0db20780765d</t>
  </si>
  <si>
    <t>413aa89a-4350-487a-b9ec-a354d035981b</t>
  </si>
  <si>
    <t>8eece655-bd99-4451-8ce0-f763edec09a4</t>
  </si>
  <si>
    <t>83219bb0-800e-46fe-9dd8-24d98ae63f3c</t>
  </si>
  <si>
    <t>6d60fcbb-e7a5-47ad-9cca-44565cbc0856</t>
  </si>
  <si>
    <t>d073de26-1257-479d-9890-adb8da6ff168</t>
  </si>
  <si>
    <t>85f6aec3-a6df-458c-8ef4-b3fa58d85a56</t>
  </si>
  <si>
    <t>4d2e0931-3a01-4759-834b-8ae36749daab</t>
  </si>
  <si>
    <t>14b2e775-9734-4fa0-82c3-2e560b8f2e2f</t>
  </si>
  <si>
    <t>d5e939c3-3a79-4ab8-b96c-9ded16f714a9</t>
  </si>
  <si>
    <t>6b1c4d55-e0d1-4b58-a26d-57d807bca488</t>
  </si>
  <si>
    <t>94cc605d-e407-408d-acb6-9e2e31dfb283</t>
  </si>
  <si>
    <t>42aa49c5-8ad2-4c2d-bb60-16016fa53205</t>
  </si>
  <si>
    <t>545faeb8-78a1-447c-9a75-f1c23683e599</t>
  </si>
  <si>
    <t>dbd8a255-771c-4c3e-b3d6-65d744b2cbd8</t>
  </si>
  <si>
    <t>fa68c8ad-67d7-4680-88bc-f0b066e71761</t>
  </si>
  <si>
    <t>4d444e63-152c-48b7-a198-7027fb5904f0</t>
  </si>
  <si>
    <t>5be5a605-ddeb-4244-ba05-551ec86297fa</t>
  </si>
  <si>
    <t>1c198060-6b6a-41c5-82ce-a3d3c3d76404</t>
  </si>
  <si>
    <t>fef0dda1-1d06-45b5-a302-a31e545b8ede</t>
  </si>
  <si>
    <t>0a64283a-1fc4-45cd-9e5e-f463f6b762ea</t>
  </si>
  <si>
    <t>67a87879-533e-4f9b-8274-f5bd37748ace</t>
  </si>
  <si>
    <t>b1ae374f-9c03-40ee-8c87-a99ff9a69484</t>
  </si>
  <si>
    <t>df71a665-a179-43b3-89ee-2e355166fa9b</t>
  </si>
  <si>
    <t>a47c13a1-1a8e-4b3b-9cd9-53cf9c7058f0</t>
  </si>
  <si>
    <t>d98595e1-0722-4200-ab73-5e88269519fa</t>
  </si>
  <si>
    <t>0ae1e62c-b36a-4dbc-97fb-e0658b454974</t>
  </si>
  <si>
    <t>5b3c40c5-b0c0-44b5-9b75-e642069fd2cc</t>
  </si>
  <si>
    <t>c5a627ff-7fc5-4cde-81ca-e4fb57cb38d6</t>
  </si>
  <si>
    <t>271af9f0-409d-4b14-8277-95a36b8dd543</t>
  </si>
  <si>
    <t>90008c9b-ca19-46c1-9c2b-7164983de6da</t>
  </si>
  <si>
    <t>520666df-5f1b-4fd9-983e-c0753f224855</t>
  </si>
  <si>
    <t>62189421-f3e5-4ebc-927a-26bc0ebf844a</t>
  </si>
  <si>
    <t>59b54a3c-1825-49a3-b216-830edfd388ab</t>
  </si>
  <si>
    <t>c58a1f91-ec1b-49c8-96ab-d94d4be4b584</t>
  </si>
  <si>
    <t>70a220aa-071c-4138-a50b-4dacf20dc7a8</t>
  </si>
  <si>
    <t>f67b0733-ad73-4d1b-94fd-e3e0236623ca</t>
  </si>
  <si>
    <t>bfd9ef48-7251-4259-86b0-6646f5f99d72</t>
  </si>
  <si>
    <t>5d66776d-0650-4512-b300-b2ac38e2be3a</t>
  </si>
  <si>
    <t>197c32e4-6693-4d0e-846e-c5e1dc085010</t>
  </si>
  <si>
    <t>Oathbreaker Knight Helmet</t>
  </si>
  <si>
    <t>common</t>
  </si>
  <si>
    <t>ae1dc399-3706-447e-8c79-f8a35c035ec4</t>
  </si>
  <si>
    <t>Not yet on Wiki</t>
  </si>
  <si>
    <t>65f78de8-f6aa-4080-84de-73e654b02883</t>
  </si>
  <si>
    <t>d5e4dce0-4385-4fae-a601-22a11fe0b2af</t>
  </si>
  <si>
    <t>d88ba1f3-e0a7-45cb-861c-72eaf123f83d</t>
  </si>
  <si>
    <t>87ca1f21-6b02-438d-b19d-2fbd3e275455</t>
  </si>
  <si>
    <t>910ed403-38b3-4128-b07b-0de5d14da8f8</t>
  </si>
  <si>
    <t>267fc69a-f7e4-4c68-ae7e-f053bdbe08e7</t>
  </si>
  <si>
    <t>3d3c949f-8fff-4133-b12e-3c739dbd6428</t>
  </si>
  <si>
    <t>139b28dc-7db0-40b2-a383-3a4ce4c09812</t>
  </si>
  <si>
    <t>48920bf4-85b0-44a1-9f6a-0ad8b493fa47</t>
  </si>
  <si>
    <t>15b4c55e-ba08-4318-a598-5ac30e9e29a5</t>
  </si>
  <si>
    <t>39f85c55-fea3-4ba1-8cd3-2b226e4fee67</t>
  </si>
  <si>
    <t>d46206c9-fb4f-44a4-a4f4-f70f8cd2a64c</t>
  </si>
  <si>
    <t>e3720399-7a78-4073-aff7-cb0fb37b13eb</t>
  </si>
  <si>
    <t>5af1725a-45f5-4f56-924a-76cd1dc1e50b</t>
  </si>
  <si>
    <t>4a4e2cf1-a02f-41c4-b68f-5f5301f74577</t>
  </si>
  <si>
    <t>c2ef4013-e6d1-48da-99f0-db486c223a90</t>
  </si>
  <si>
    <t>3ccc28a3-faa5-4664-a46a-39300b2d3803</t>
  </si>
  <si>
    <t>6c2e4f84-a8f2-4a91-81bf-488b497718a2</t>
  </si>
  <si>
    <t>f0e42b7e-4d6b-46fb-85d6-d577afc72040</t>
  </si>
  <si>
    <t>5ac19da8-48bf-4a75-b312-430c1ab7cb41</t>
  </si>
  <si>
    <t>1d00212d-e58f-4967-b378-acf214a370b3</t>
  </si>
  <si>
    <t>e305c00e-a231-41e4-86de-cbb320bafbc8</t>
  </si>
  <si>
    <t>8f4876f1-44d9-4bb8-802e-907c6b0a0dba</t>
  </si>
  <si>
    <t>673f429b-cc2e-411e-92a8-6b07e1410fd5</t>
  </si>
  <si>
    <t>2b916559-bf24-4889-b988-08e1cbd8ac68</t>
  </si>
  <si>
    <t>73690248-deea-4713-84d6-c1c8fb045869</t>
  </si>
  <si>
    <t>ff47e1c4-f49f-460c-b6a6-dce635fa48c4</t>
  </si>
  <si>
    <t>07ad0e9f-7fb4-418f-a1ef-06b431c252be</t>
  </si>
  <si>
    <t>Cloaks</t>
  </si>
  <si>
    <t>1b4d85b9-eefd-4629-9985-db3cb5365e8f</t>
  </si>
  <si>
    <t>be8f2382-576f-426f-ae90-45544b507e07</t>
  </si>
  <si>
    <t>8a31c554-1545-4647-b24d-93cf5d81df18</t>
  </si>
  <si>
    <t>a1978b4d-3d93-49ec-9a8b-d19171ed35d5</t>
  </si>
  <si>
    <t>c2f0ea14-9384-4b5e-a0eb-81909ce72d38</t>
  </si>
  <si>
    <t>465340b0-523f-48ac-a832-4db4a1183c74</t>
  </si>
  <si>
    <t>c7774285-21b3-44fc-bae0-0b893a6a3549</t>
  </si>
  <si>
    <t>4b8ea38f-d0c0-4c29-a66f-bea71219f8a3</t>
  </si>
  <si>
    <t>257aed3e-370d-40b3-b464-de10257dd82b</t>
  </si>
  <si>
    <t>811ab129-2fb2-49ed-af29-5042197022fe</t>
  </si>
  <si>
    <t>602f62dd-0fba-4438-ad68-b846f17ac538</t>
  </si>
  <si>
    <t>58c9bc94-b0ac-4ab9-a005-28cc445186f8</t>
  </si>
  <si>
    <t>857d9a3c-5a40-4dfa-a634-99629095248b</t>
  </si>
  <si>
    <t>a927e273-3385-4a11-8941-e952d0ddfd38</t>
  </si>
  <si>
    <t>f1fdb8db-e754-4ea9-b6ce-440db6b776ac</t>
  </si>
  <si>
    <t>0bd70497-f7b4-4ea0-8be0-21a0c66f0576</t>
  </si>
  <si>
    <t>6062db99-6719-44e2-9d01-9a99131d1ba7</t>
  </si>
  <si>
    <t>c70ae037-f787-4db6-bb16-e0bbc0fdad4a</t>
  </si>
  <si>
    <t>fc9f7223-6b39-4734-b600-820fad6c4a08</t>
  </si>
  <si>
    <t>aff94826-0ea4-42e3-8855-aa2002c01b76</t>
  </si>
  <si>
    <t>dff731f7-d6da-403d-80cf-7f3d9cc7345b</t>
  </si>
  <si>
    <t>c4c5150c-0931-4d9e-b7b2-36f40d56c290</t>
  </si>
  <si>
    <t>62a89e3a-ef88-457a-8219-0cefae6dec92</t>
  </si>
  <si>
    <t>e36702e9-10e5-4964-b254-7ff0659f9bb5</t>
  </si>
  <si>
    <t>Clothes (Armor slot clothes)</t>
  </si>
  <si>
    <t>ab7f13b8-3b3f-49be-8708-4d52b9690e45</t>
  </si>
  <si>
    <t>f6599c3f-cfcd-4721-9cc2-1df5d8ff0154</t>
  </si>
  <si>
    <t>2e3a2651-18ce-44b0-b7bd-3e2565bf666c</t>
  </si>
  <si>
    <t>9e8f0ce6-c344-47f9-bb99-202cdd2f7d73</t>
  </si>
  <si>
    <t>5fc2fcce-810d-47d2-824c-f6acf7b81a22</t>
  </si>
  <si>
    <t>7cca51a5-bfa6-4c65-b2d9-ef0167762a19</t>
  </si>
  <si>
    <t>11efdb40-8246-4707-b40c-1e57635dfbc1</t>
  </si>
  <si>
    <t>8b868b78-320b-43d0-b5a8-5e52669fc11e</t>
  </si>
  <si>
    <t>686a3c43-b494-4fcd-bda7-acb399cdee5a</t>
  </si>
  <si>
    <t>652c5cb5-b03b-4bd4-8993-3d4f07ed215c</t>
  </si>
  <si>
    <t>3a213e92-1714-4f11-9726-ca762943d2cc</t>
  </si>
  <si>
    <t>dbe75b4c-d23a-4a19-b630-34de519750c6</t>
  </si>
  <si>
    <t>50faa322-b43d-475a-91b7-25d390ac3ef6</t>
  </si>
  <si>
    <t>b2de6dee-50c1-45b9-b35d-7d5e8d53135f</t>
  </si>
  <si>
    <t>063ea449-a0ba-4749-b9b5-869b2c0ebf92</t>
  </si>
  <si>
    <t>3b498702-834f-4989-a9d1-c0f3b38fbcfc</t>
  </si>
  <si>
    <t>0629b687-0f66-4555-9612-0a787e14545c</t>
  </si>
  <si>
    <t>63df7557-efe6-4e11-8a0d-10ab211ac1b8</t>
  </si>
  <si>
    <t>0db056b3-23d1-4873-883d-482b5d9337b5</t>
  </si>
  <si>
    <t>1e64badf-4898-4169-9b02-3910518dc73d</t>
  </si>
  <si>
    <t>69302808-57a0-4fbb-9938-137bce5421d1</t>
  </si>
  <si>
    <t>1f038181-a534-434b-b447-7c4084636cc3</t>
  </si>
  <si>
    <t>c3309d8f-8cff-4418-b064-bca8bd77700c</t>
  </si>
  <si>
    <t>ffed890a-69fe-4798-8c71-1bd3b72369bc</t>
  </si>
  <si>
    <t>f3e90ffd-1559-4915-8829-740f55741c92</t>
  </si>
  <si>
    <t>56906f41-61a3-4c23-aa46-2295e08d9add</t>
  </si>
  <si>
    <t>09e5d397-bcf6-456a-be6e-e6b474721f1c</t>
  </si>
  <si>
    <t>168b9099-19f5-44e4-b55c-e64ceb60b71f</t>
  </si>
  <si>
    <t>9410a467-3e49-4b14-b067-ea8ad6a0d431</t>
  </si>
  <si>
    <t>3ae83f97-63f4-4dab-848f-0b8ac5c26649</t>
  </si>
  <si>
    <t>799fd23a-8e18-4642-8650-521dd7880c2b</t>
  </si>
  <si>
    <t>7ec40cde-4d96-4352-b93e-cdcab6383337</t>
  </si>
  <si>
    <t>4ba55c6f-1302-4069-9e04-ff0bf2a7ede2</t>
  </si>
  <si>
    <t>5ebd4ed6-17e6-4787-86d6-bbcaad8c6565</t>
  </si>
  <si>
    <t>a81be340-0706-4201-bb4c-da52920574cf</t>
  </si>
  <si>
    <t>b18ef236-44dc-43cd-8f6e-51ae785fae4d</t>
  </si>
  <si>
    <t>48215bcb-b4a2-48cb-bfbe-8b601e678032</t>
  </si>
  <si>
    <t>f28c3264-8cdb-46c1-800f-a47a01e49efc</t>
  </si>
  <si>
    <t>fe48d485-1563-4172-952c-7eb53d9faca8</t>
  </si>
  <si>
    <t>1c69a87e-9136-4e13-90af-c0f02d0fc81f</t>
  </si>
  <si>
    <t>bf59b289-5603-479f-8fd3-7cb258d31ba5</t>
  </si>
  <si>
    <t>56a26829-5103-49e7-8f5a-b88381a86903</t>
  </si>
  <si>
    <t>Gloves</t>
  </si>
  <si>
    <t>7ef359b6-79af-4414-99bc-f93bc5eeed77</t>
  </si>
  <si>
    <t>Not Working?</t>
  </si>
  <si>
    <t>afd74d05-7c24-45ec-8033-84f365e6ea5f</t>
  </si>
  <si>
    <t>65c65d78-1786-4a78-9a43-96c19849b6f3</t>
  </si>
  <si>
    <t>7e32e812-b79d-4bdb-a7c6-ee6778e893ec</t>
  </si>
  <si>
    <t>58315437-f06a-4797-a26a-6bbcff80c4fe</t>
  </si>
  <si>
    <t>0071fe71-ad1e-4be0-9ca3-cdfdc558b571</t>
  </si>
  <si>
    <t>9e90efe2-200a-4923-a597-ddc044e704f2</t>
  </si>
  <si>
    <t>761d719f-dade-4f61-9d23-cc378f9d2f0c</t>
  </si>
  <si>
    <t>556c4071-7d59-4cb7-ad84-9fa0efcd535f</t>
  </si>
  <si>
    <t>c9f03464-488c-4f3f-aa2f-6d4c8e48a106</t>
  </si>
  <si>
    <t>48c5fe1f-c058-4b47-9a36-024f89a5b0f7</t>
  </si>
  <si>
    <t>73a443e0-2056-4e4c-b8d2-d4283d8d3595</t>
  </si>
  <si>
    <t>518a925b-eb77-44e7-999d-e8c195b2261d</t>
  </si>
  <si>
    <t>e07fb5cb-4276-4ecd-8758-7bb9b172372b</t>
  </si>
  <si>
    <t>69e57d02-44a2-4e39-8b2a-502413761219</t>
  </si>
  <si>
    <t>0d9cf507-148d-4dda-8477-fb0ea531d38b</t>
  </si>
  <si>
    <t>cbc9b5dd-76e5-4e22-b0cf-26e957033a9d</t>
  </si>
  <si>
    <t>df7093d7-efdd-4153-bfb6-b2a6350fb3c2</t>
  </si>
  <si>
    <t>6ea2650e-c12b-43d9-873e-f3d426d30d18</t>
  </si>
  <si>
    <t>9481aa27-ce9c-414c-84ff-5e974fd64d89</t>
  </si>
  <si>
    <t>7529f6ba-6fff-4224-bdd9-e10538a96528</t>
  </si>
  <si>
    <t>85865321-5feb-447f-92e7-5c04359fe3af</t>
  </si>
  <si>
    <t>fc4fd633-bc45-4ff4-90e6-2e454f7ceaa0</t>
  </si>
  <si>
    <t>49214667-75eb-4880-b210-97e9056d84ce</t>
  </si>
  <si>
    <t>ff2db301-84a9-4449-a85e-babe48f10c02</t>
  </si>
  <si>
    <t>6d84b9e5-e9e4-477c-8d5b-a3f232a4415a</t>
  </si>
  <si>
    <t>9e259ea7-291f-41bd-b275-cc49edba3bb6</t>
  </si>
  <si>
    <t>15381544-e616-46e6-a881-0af793971863</t>
  </si>
  <si>
    <t>c987b6e4-adcb-47d6-8dfd-6d4d2f15a381</t>
  </si>
  <si>
    <t>663e4a1a-5f0d-4e2e-8dcf-0fb515fc2e0f</t>
  </si>
  <si>
    <t>a8d15838-5721-4a3f-bfbd-f51c58c2fde3</t>
  </si>
  <si>
    <t>f3775096-0055-4d35-8cc0-f5765284bc7d</t>
  </si>
  <si>
    <t>9c888908-04d0-4047-bf9d-02d3cecb08d6</t>
  </si>
  <si>
    <t>88225372-376e-42fb-a028-65ac3d0dd864</t>
  </si>
  <si>
    <t>69271c04-ab3d-4efc-ab3c-4ca6c5ec7db3</t>
  </si>
  <si>
    <t>110144ac-db1d-4db8-a907-92f642086d0d</t>
  </si>
  <si>
    <t>687cc55b-77a3-4893-a7d7-cfbafdc2737c</t>
  </si>
  <si>
    <t>d22e2679-aff0-4244-9ed2-7aac981b82cf</t>
  </si>
  <si>
    <t>c1342b19-c898-451c-b2e8-6eb6666fe1c2</t>
  </si>
  <si>
    <t>97e362b2-e2aa-4703-9840-6824d7068334</t>
  </si>
  <si>
    <t>5a2d9181-8179-46cc-a5f8-d5bae909d8e0</t>
  </si>
  <si>
    <t>3e088120-9a4f-4e94-9d1e-23fae8616cd4</t>
  </si>
  <si>
    <t>d10ec0b7-5868-4563-9a34-e1ab72d50269</t>
  </si>
  <si>
    <t>7ffce863-d530-4492-a455-a8f11c53d6c3</t>
  </si>
  <si>
    <t>1001f28b-5ea3-4257-864c-f60c812aecf0</t>
  </si>
  <si>
    <t>ad219a90-ab3d-4821-8206-011293f5837b</t>
  </si>
  <si>
    <t>db4d4560-dc72-4d64-b552-5caf442c0927</t>
  </si>
  <si>
    <t>f3ff7066-f407-41c7-b936-0aff066c08e4</t>
  </si>
  <si>
    <t>4be77d67-2310-44fc-bdaf-81cffb411467</t>
  </si>
  <si>
    <t>ca7a96f9-594c-4ed3-afd3-aed0094c383c</t>
  </si>
  <si>
    <t>79741a3c-730a-4e9d-a3fe-ec39df64af0f</t>
  </si>
  <si>
    <t>31809893-c293-4c89-b6b6-437a3c49b604</t>
  </si>
  <si>
    <t>49bc2435-0566-4244-9e47-b025cb338e31</t>
  </si>
  <si>
    <t>8e34fd76-8b6d-48a5-89e3-942289bec31e</t>
  </si>
  <si>
    <t>5d3b434b-4448-47c3-8dc3-92e1ca946e29</t>
  </si>
  <si>
    <t>8ee5bdde-c22f-452f-add9-2d82ec3dc390</t>
  </si>
  <si>
    <t>1dc6610c-0dbf-4b5a-b671-2af3a7c80a8e</t>
  </si>
  <si>
    <t>992d9eb6-0dda-46b8-95cc-f71c4bced905</t>
  </si>
  <si>
    <t>abdcc7a4-db92-4eca-8afc-6b180ce861aa</t>
  </si>
  <si>
    <t>615092b5-91d5-4144-8e0f-d0fdd4d3c862</t>
  </si>
  <si>
    <t>c9ea7679-d30a-481f-b45b-c0427d569ec7</t>
  </si>
  <si>
    <t>e8a72355-b81f-484e-bc7d-945ec81c04a3</t>
  </si>
  <si>
    <t>Rare/Very</t>
  </si>
  <si>
    <t>2c6da257-8ca8-4e7c-847d-3e03bb32f260</t>
  </si>
  <si>
    <t>1dcdf52e-b596-4e3a-8d1c-8fff17ed8c2c</t>
  </si>
  <si>
    <t>f7d87a7a-e5aa-4bc9-ba51-4e2df3e0bae0</t>
  </si>
  <si>
    <t>2e887881-1c52-45cd-aa81-c01c86bfaa67</t>
  </si>
  <si>
    <t>a46fd5d8-57d8-4f47-ae21-aa15d6ffb90b</t>
  </si>
  <si>
    <t>fbc9b0ad-f31e-4cdc-a1cc-1e2204cb46c5</t>
  </si>
  <si>
    <t>Oathbreaker Knight Gloves</t>
  </si>
  <si>
    <t>f66431d0-08a6-4b15-b8a4-7154fc1e5f47</t>
  </si>
  <si>
    <t>69d30b5a-1fcc-4d66-88a2-6f021ae8f010</t>
  </si>
  <si>
    <t>49c8234e-3134-40f0-8001-e221114b1d2a</t>
  </si>
  <si>
    <t>4b1b3dcd-dcbc-4a93-a848-f16510d76d82</t>
  </si>
  <si>
    <t>ce92a056-0754-4e8a-b3b7-5d6cbb844c65</t>
  </si>
  <si>
    <t>b51863cc-f8de-4945-a062-6bda2a35cdbc</t>
  </si>
  <si>
    <t>59fcc2e4-5897-4e0d-a9ca-4d9234f85af8</t>
  </si>
  <si>
    <t>106d74f9-5341-478e-a8d5-feaef5624675</t>
  </si>
  <si>
    <t>6ba63a43-5322-4a03-b82f-46eb6bf9cf4f</t>
  </si>
  <si>
    <t>c187103e-7f51-49f7-b3b7-72ec78e4a44f</t>
  </si>
  <si>
    <t>98c60a0f-a58b-4dc1-99ca-06b9db0cd42f</t>
  </si>
  <si>
    <t>dd99248c-fe42-4d07-9861-853e9291ea51</t>
  </si>
  <si>
    <t>66e20a58-4bc3-4e17-a13e-510a19b23c33</t>
  </si>
  <si>
    <t>e050d6c6-a228-4bc2-9794-9ae5c69345c7</t>
  </si>
  <si>
    <t>0e94335a-bf4d-47b9-bde7-85ee2f01102f</t>
  </si>
  <si>
    <t>a0bbe602-ffc1-45f1-9a09-de7d11575465</t>
  </si>
  <si>
    <t>aaf703d3-77d2-4259-9369-f98416be0e2e</t>
  </si>
  <si>
    <t>6906d0c8-d99d-439c-8a4c-c00f081770ba</t>
  </si>
  <si>
    <t>39e420ae-ceae-441c-ab6b-251e97c3c26d</t>
  </si>
  <si>
    <t>b337cd63-d206-4229-84fd-4b77809f7eb3</t>
  </si>
  <si>
    <t>51ce5b9a-e56a-40d6-9383-ad4ec7042acc</t>
  </si>
  <si>
    <t>dbcab01a-0654-4365-836b-c0f8ccc94558</t>
  </si>
  <si>
    <t>e6bb26ab-2987-4061-9c5c-764b377f91b8</t>
  </si>
  <si>
    <t>afe6c7a2-fdd7-4cca-9441-e0b3a2237f5f</t>
  </si>
  <si>
    <t>Light Armor</t>
  </si>
  <si>
    <t>baa33dbe-6f95-4569-87bf-9582b4b58bd2</t>
  </si>
  <si>
    <t>d33d71f8-f7b9-4c19-9b39-03d0b9ba8829</t>
  </si>
  <si>
    <t>eb3a4744-26e4-404a-be65-c72bb17f5cfc</t>
  </si>
  <si>
    <t>2f63906e-259e-49af-a8a8-7d3f7c7587a8</t>
  </si>
  <si>
    <t>443b2caf-8d36-42cf-b389-d774229ed18c</t>
  </si>
  <si>
    <t>947dbbe3-19e3-4b96-ba5a-14750f0acc29</t>
  </si>
  <si>
    <t>357db089-630f-437d-9a04-88c0d5d3c0ff</t>
  </si>
  <si>
    <t>cab3455f-59fe-42be-8dcd-7cd61149389a</t>
  </si>
  <si>
    <t>Drow Studded Leather Armour (Cut)</t>
  </si>
  <si>
    <t>431f019e-3706-4a23-af48-e29acbc0e43b</t>
  </si>
  <si>
    <t>b8468a39-a5ff-4de0-85be-a8883a479628</t>
  </si>
  <si>
    <t>26b77cf7-8722-4e61-a820-555de653e8ab</t>
  </si>
  <si>
    <t>90c2224f-94c6-4177-82f4-10b37f1e3b48</t>
  </si>
  <si>
    <t>Color difference only</t>
  </si>
  <si>
    <t>c4a7b335-f6d3-4041-ab64-a5ce55816fe9</t>
  </si>
  <si>
    <t>f021f81d-7540-4e83-aa88-638892cb45a4</t>
  </si>
  <si>
    <t>d0a3d13a-5ce4-4732-87b1-31654747277f</t>
  </si>
  <si>
    <t>8472235c-8ced-4db3-825f-322eace0f34d</t>
  </si>
  <si>
    <t>cf6237a2-7f37-4796-b239-0685505510d4</t>
  </si>
  <si>
    <t>02ae5d88-8044-43df-8363-02a2900776db</t>
  </si>
  <si>
    <t>4c4396db-fa4a-4541-9b2a-23e43211dde7</t>
  </si>
  <si>
    <t>f91623dd-7dcd-4d05-b353-6a15f5caa921</t>
  </si>
  <si>
    <t>be29b42a-e3ab-4a41-b4c2-7443cf65162f</t>
  </si>
  <si>
    <t>738b0d75-74ce-466b-864d-c5f0f764842b</t>
  </si>
  <si>
    <t>Buggy on anything but large bodies.</t>
  </si>
  <si>
    <t>90a79e46-e327-41f4-a349-8e4dd70b1892</t>
  </si>
  <si>
    <t>ac71c753-c207-465c-b28b-c10f95ed0745</t>
  </si>
  <si>
    <t>63cc7723-245d-4b62-b9e6-5a47283cf777</t>
  </si>
  <si>
    <t>397dbd19-efed-4507-85f9-66daebad5258</t>
  </si>
  <si>
    <t>9a487731-93df-45bd-bfcb-9bc82140c719</t>
  </si>
  <si>
    <t>f5faa6c5-a43c-4edd-a77f-6e7536a7e683</t>
  </si>
  <si>
    <t>96613037-cbac-4f43-a39b-584e6f2629c7</t>
  </si>
  <si>
    <t>fc721f60-be51-4903-b5cf-79e43bf0343c</t>
  </si>
  <si>
    <t>3ce4d5d2-3ed0-470e-8cea-bdac81a60583</t>
  </si>
  <si>
    <t>2cbf1f6b-2607-4789-972f-f51e8c892a68</t>
  </si>
  <si>
    <t>204de787-46de-4d39-8fe0-2e080bf44a61</t>
  </si>
  <si>
    <t>2077fe9a-991d-4763-9b1a-fff843efd705</t>
  </si>
  <si>
    <t>da345d08-2186-4e4a-857c-3fd6a104cec6</t>
  </si>
  <si>
    <t xml:space="preserve">c0c0534c-b7fc-4d0b-a335-b8f4c548852d </t>
  </si>
  <si>
    <t>19451420-13f6-444c-a15b-7abb6dde3f91</t>
  </si>
  <si>
    <t>58d7927f-c6eb-4635-85b6-70265c621b3d</t>
  </si>
  <si>
    <t>83603f36-d158-4a0e-b9c9-358413ba3a92</t>
  </si>
  <si>
    <t>a0dfac7c-c6ea-44f1-a12d-b5e67887ae8e</t>
  </si>
  <si>
    <t>Medium Armor</t>
  </si>
  <si>
    <t>69402299-1401-42e9-8d3d-5f080644bcd7</t>
  </si>
  <si>
    <t>5427c806-5565-421f-a00f-a8282a9f504f</t>
  </si>
  <si>
    <t>42e6357a-4c05-4eda-9415-6b6b4c7d44c5</t>
  </si>
  <si>
    <t>a1d321be-ff4c-423a-bc50-bcad85a3a83a</t>
  </si>
  <si>
    <t>4814825e-23ee-41ed-9784-d9963434150d</t>
  </si>
  <si>
    <t>ad912cef-8bfb-4bf3-98f0-f2c5e3b45915</t>
  </si>
  <si>
    <t>4842e9ec-95ba-4168-81a9-f184b08d6c2c</t>
  </si>
  <si>
    <t>921cd1e1-c39c-44c3-a090-b667322af7f8</t>
  </si>
  <si>
    <t>0c0c1031-4a04-4e8f-ba8a-8aafa2a396e8</t>
  </si>
  <si>
    <t>eac652ed-ecf7-4505-bf64-0fec29e7d677</t>
  </si>
  <si>
    <t>461f1cbe-6d0d-40ee-8bf6-8a68e0570d6f</t>
  </si>
  <si>
    <t>88107048-2ec3-4e48-9670-4d4dd2ca0ff9</t>
  </si>
  <si>
    <t>51c2ee09-25e3-4872-ab84-e4d6e4af1246</t>
  </si>
  <si>
    <t>ddf6982a-72d4-44db-a152-4dd2b816e836</t>
  </si>
  <si>
    <t>20318684-a35f-4830-b566-41ecd379893a</t>
  </si>
  <si>
    <t>742d43ff-b74d-4cbe-9554-51773bbccdc2</t>
  </si>
  <si>
    <t>14c4c9a8-9d2b-4b15-a6b6-a24852092c5a</t>
  </si>
  <si>
    <t>aa0917ea-5f66-4a22-97de-654228484128</t>
  </si>
  <si>
    <t>391bccb7-8199-41e3-9aa3-261def2ebf26</t>
  </si>
  <si>
    <t>12a8f326-cc3a-4d21-92c2-f3a6d0fcaee3</t>
  </si>
  <si>
    <t>203f10e9-10d7-4252-ba73-4e726d552ae6</t>
  </si>
  <si>
    <t>38c63f49-3c50-46d0-90d3-68b247542c36</t>
  </si>
  <si>
    <t>85ed2fdb-c676-4e14-9641-ffda788078e8</t>
  </si>
  <si>
    <t>Different Design/Color</t>
  </si>
  <si>
    <t>d1ec23df-f3d6-4378-ab07-dea2ff1ad556</t>
  </si>
  <si>
    <t>1306c1bf-7db6-4036-9799-a5d1a1745694</t>
  </si>
  <si>
    <t>34a71679-0ab5-4fd4-bba8-d6ad341ee490</t>
  </si>
  <si>
    <t>4aa373b2-0cb7-4b69-af38-0d1352236a1f</t>
  </si>
  <si>
    <t>6fbbe358-8915-4781-b738-098c3e5a3bff</t>
  </si>
  <si>
    <t>c3407c8d-0180-4f5a-9530-e1167e7290b3</t>
  </si>
  <si>
    <t>15338da1-c4f8-4b43-912c-c14e7d9a8579</t>
  </si>
  <si>
    <t>9cf8e8a9-16ee-4186-88b7-bdfcaa734e61</t>
  </si>
  <si>
    <t>b78fabcc-d2df-4c74-b5d4-1eda6dc4c071</t>
  </si>
  <si>
    <t>94ed8ec8-93a4-4a8c-bc47-55cb3faae7c0</t>
  </si>
  <si>
    <t>fd4ab5b0-67e6-4a8b-8745-2003f2f5ada3</t>
  </si>
  <si>
    <t>e17c0a45-e064-4a9f-8bcb-ba273440008d</t>
  </si>
  <si>
    <t>a2cbaf4f-3eb8-4362-9f2e-d325a0d47a36</t>
  </si>
  <si>
    <t>dd3f1c98-cdf7-46f3-bb8b-5489dc3433ca</t>
  </si>
  <si>
    <t>f601bac2-16a7-4da0-854a-ae4132ca448f</t>
  </si>
  <si>
    <t>81cdbea7-3cd5-44a5-baa7-852c930bdf7b</t>
  </si>
  <si>
    <t>ca0aafad-0f1e-4d76-8e3b-925397bb436b</t>
  </si>
  <si>
    <t>0db0d565-db86-4213-befa-096c3bd09330</t>
  </si>
  <si>
    <t>dc748177-8590-4a99-a446-feccbd8d8eb4</t>
  </si>
  <si>
    <t>21f0dd84-6f02-4be9-8654-4cebd00dcbaf</t>
  </si>
  <si>
    <t>a455f1a1-acc6-4fce-a09e-111aceced98a</t>
  </si>
  <si>
    <t>bed301f2-cbb8-492f-b94a-597dfc119b3c</t>
  </si>
  <si>
    <t>e4daf34d-053c-471a-9171-92fa9b4db4af</t>
  </si>
  <si>
    <t>247bfb1b-2902-4852-b92e-eba0ceaa8249</t>
  </si>
  <si>
    <t>dee3077c-f9ef-4b28-8878-9b61a92ae601</t>
  </si>
  <si>
    <t>e6e74ef9-1916-4c6b-a7bb-98fc83e71b62</t>
  </si>
  <si>
    <t>1fda52bd-6983-49a3-ba52-6756327a5182</t>
  </si>
  <si>
    <t>9ab8b5fa-ba00-44d4-8c4a-50acd5fa62e3</t>
  </si>
  <si>
    <t>5ff8df3a-6924-4eb4-9d1a-9e87bd644bf7</t>
  </si>
  <si>
    <t>14ebeea8-7d0a-47a9-ba79-b1168c21f8d4</t>
  </si>
  <si>
    <t>Heavy Armor</t>
  </si>
  <si>
    <t>ea3cf349-19ab-4104-9253-8e182bdbf538</t>
  </si>
  <si>
    <t>c4af39d8-628d-4791-9dc4-4446ee31e160</t>
  </si>
  <si>
    <t>fb2ff6d1-3096-4904-813c-a448e3fbec4d</t>
  </si>
  <si>
    <t>1109da0a-2d12-4ed3-a93a-fe369023ead3</t>
  </si>
  <si>
    <t>ee3c78be-d33b-4d1b-b433-2634a39f50aa</t>
  </si>
  <si>
    <t>b973e3cb-c18d-4514-ba01-ebcabbf26968</t>
  </si>
  <si>
    <t>ed7a8055-cf36-42c8-ad77-15a80d19744f</t>
  </si>
  <si>
    <t>d8120501-e5bb-4eb1-b5cf-120b8bfd2ab2</t>
  </si>
  <si>
    <t>ed0e4aee-affe-4d80-bf09-086d4515fc2f</t>
  </si>
  <si>
    <t>637f2b2f-9947-406e-b942-8b3b884172c0</t>
  </si>
  <si>
    <t>d9863839-e955-47a2-8a06-070f5c3c9541</t>
  </si>
  <si>
    <t>7ae705fd-1cfd-4482-a584-d2e68f9c1262</t>
  </si>
  <si>
    <t>bc4d3f9d-714c-4c40-a54c-b974c8e9d0c6</t>
  </si>
  <si>
    <t>Oathbreaker Knight Armour</t>
  </si>
  <si>
    <t>c67137ac-4ece-4652-aaab-14615aa25b20</t>
  </si>
  <si>
    <t>95b4e2c4-759a-4d33-a2d1-4e0ee6ed4f29</t>
  </si>
  <si>
    <t>dd905194-9a67-4c61-b26d-5b4da4725cde</t>
  </si>
  <si>
    <t>fdb8ce53-51dc-4ccb-9e29-d1d99040e60b</t>
  </si>
  <si>
    <t xml:space="preserve">26c0bb98-7d24-4807-91f0-cf075ea568a9 </t>
  </si>
  <si>
    <t>adae74e9-c103-4ddc-b7d2-1fa24b527f83</t>
  </si>
  <si>
    <t>e3a5099a-397a-4bbc-932c-cd0a00043b79</t>
  </si>
  <si>
    <t>4837915c-080b-491f-813e-be5a71571a17</t>
  </si>
  <si>
    <t>339c2d50-af1b-45d4-af96-cf2d27e1e11d</t>
  </si>
  <si>
    <t>b2530a6b-1235-4f5f-b61c-d174a980bc0b</t>
  </si>
  <si>
    <t>935f9927-2df0-4a8d-a831-b7cb5bbbcae3</t>
  </si>
  <si>
    <t>8ed82f7e-fdd4-4a9f-94b6-f256c599bfdd</t>
  </si>
  <si>
    <t>ecfb1364-b1a0-4d0e-b82a-0becd8c291fd</t>
  </si>
  <si>
    <t>2e8dfe32-cd6e-475b-98b5-5e2d9c42a7df</t>
  </si>
  <si>
    <t>Shields</t>
  </si>
  <si>
    <t>Shield belonging to Selune's Silvers</t>
  </si>
  <si>
    <t>daadda55-d439-47eb-a308-acaf575a7fd5</t>
  </si>
  <si>
    <r>
      <rPr/>
      <t xml:space="preserve">Not on Wiki yet. Worn by Moonlight Silvers </t>
    </r>
    <r>
      <rPr>
        <color rgb="FF1155CC"/>
        <u/>
      </rPr>
      <t>&lt;image link&gt;</t>
    </r>
  </si>
  <si>
    <t>e308d17c-7278-44c1-b1fc-853ea3cf5c29</t>
  </si>
  <si>
    <t>53b3317f-5a52-41c0-89ea-c6ef31adc4f7</t>
  </si>
  <si>
    <t>3d57c1a7-2dee-4a0f-aa7a-e7b6574b75e3</t>
  </si>
  <si>
    <t>96907713-b560-4daf-ab32-3c1aec3f3890</t>
  </si>
  <si>
    <t>d59619ef-320f-4c16-8e21-0644034f0c26</t>
  </si>
  <si>
    <t>35be7c52-fe89-4bec-9d15-0d7ddb94bf38</t>
  </si>
  <si>
    <t>2099af4a-caa2-4e06-9b6d-fa6e9754bd09</t>
  </si>
  <si>
    <t>1977f0ae-4269-4024-bb3b-a4cca54fafe0</t>
  </si>
  <si>
    <t>3374ad91-ddcf-430a-bddd-f48e8699ade9</t>
  </si>
  <si>
    <t>e4b4c45f-0563-4b00-851c-30a64fcb18ec</t>
  </si>
  <si>
    <t>26b81847-b0dd-4150-aef7-602fcbb72eca</t>
  </si>
  <si>
    <t>eb06636a-8052-492e-bfb1-67fcb18358d1</t>
  </si>
  <si>
    <t>a189686a-cfcf-4157-9c18-f7a8e7f0be87</t>
  </si>
  <si>
    <t>6cb88e48-70ce-4304-b3b6-db52d1880bec</t>
  </si>
  <si>
    <t>ab10f66f-6e93-43f5-9384-82565f14124a</t>
  </si>
  <si>
    <t>41b07341-1bf3-450d-9303-377c035c09ac</t>
  </si>
  <si>
    <t>8c02c87f-955d-4cc2-b547-f22462ad7106</t>
  </si>
  <si>
    <t>3138b480-3ef6-42af-ba35-e4cad4e962ee</t>
  </si>
  <si>
    <t>33ab760a-e617-4e12-a3c6-1758c83cc3a7</t>
  </si>
  <si>
    <t>2baa835f-1422-43f0-9d2a-11e601fbb25e</t>
  </si>
  <si>
    <t>c069f1f2-1040-4c71-b796-5a95eecfa711</t>
  </si>
  <si>
    <t>89792dc1-221b-462e-adcb-026f2cafbb95</t>
  </si>
  <si>
    <t>5b8fe99f-56d9-48a8-a9d0-8290ebae6461</t>
  </si>
  <si>
    <t>cb2d6c27-ec29-4555-adf2-41e8c1952439</t>
  </si>
  <si>
    <t>49979c37-1a3a-46f8-af5b-2ea63fc11722</t>
  </si>
  <si>
    <t>a0bc3295-c01d-405e-8396-e0fa7e1e5340</t>
  </si>
  <si>
    <t>3a8f9b79-1153-4128-8832-a306502fd512</t>
  </si>
  <si>
    <t>8c7caa2a-7c11-4f0b-86a8-b8808057101b</t>
  </si>
  <si>
    <t>dfeaa5fd-1f87-4f99-85b0-8f49664d691f</t>
  </si>
  <si>
    <t>b3571443-403b-431b-b4ba-3d943a500f4b</t>
  </si>
  <si>
    <t>e0d5a057-328a-467d-b8fb-1bfd298d59e7</t>
  </si>
  <si>
    <t>d2af60ea-1b72-4d25-a188-6d8bc4fe255b</t>
  </si>
  <si>
    <t>badf2418-01ac-410d-931e-72b1dac071c7</t>
  </si>
  <si>
    <t>1cee750f-79c6-4109-8272-d27b97ef02df</t>
  </si>
  <si>
    <t>93c2143c-1c9f-493e-9fee-2310c7bee672</t>
  </si>
  <si>
    <t>e13facc6-aced-4b48-b239-b0e76448013f</t>
  </si>
  <si>
    <t>4f313dde-14bb-43a2-abdd-07b2eb38b33a</t>
  </si>
  <si>
    <t>cb2b1ac8-5589-464f-ac9f-ccd6fd27ebed</t>
  </si>
  <si>
    <t>90ba50bd-3e65-42ec-9f21-6e07d3ed89ab</t>
  </si>
  <si>
    <t>4491fcaf-03bf-4087-baf3-b638657080f6</t>
  </si>
  <si>
    <t>24fa28d4-f679-44bf-865e-c7e70dcb9588</t>
  </si>
  <si>
    <t>747387ac-0dc7-47ab-8c69-75269ffc4dbc</t>
  </si>
  <si>
    <t>Boots</t>
  </si>
  <si>
    <t>32b1a84f-2e32-4249-8b19-ecaa7f279cb0</t>
  </si>
  <si>
    <t>cf987856-1381-477e-88db-6b359f7e19e8</t>
  </si>
  <si>
    <t>bc3c8375-bad5-4f02-b1f3-2261cea690aa</t>
  </si>
  <si>
    <t>23806fd3-f5f6-4ff3-826d-054afe03b7c0</t>
  </si>
  <si>
    <t>bc090f4e-ff74-49f6-a3f2-7eb561f57436</t>
  </si>
  <si>
    <t>8838eb53-ed3d-4d64-9fe7-a82ab7249c18</t>
  </si>
  <si>
    <t>400b3aca-fc9e-44c7-b5a7-a183693d3a75</t>
  </si>
  <si>
    <t>a7ce200c-ab1a-4d49-bf7d-c6894b1e5b06</t>
  </si>
  <si>
    <t>cf8e6826-9133-425a-be21-79a41e1f7add</t>
  </si>
  <si>
    <t>0624ccf0-1b77-448f-8da9-d8a04efa4935</t>
  </si>
  <si>
    <t>18919a04-67a0-4321-82ff-ce2b64a27589</t>
  </si>
  <si>
    <t>8b22d15a-85bb-4c8d-90cf-a773fc451eac</t>
  </si>
  <si>
    <t>3908725d-29d1-4c9a-be46-4e03c8c65238</t>
  </si>
  <si>
    <t>8770f821-38bc-41cc-aae9-02988d46df02</t>
  </si>
  <si>
    <t>1cd85fa0-b46a-43c6-88d2-e90ad4e73cf7</t>
  </si>
  <si>
    <t>480a8519-e375-4ce0-ae0a-513bc9d39820</t>
  </si>
  <si>
    <t>93cc1480-9fe1-4e76-8c0b-0ad3caf35285</t>
  </si>
  <si>
    <t>eff1515c-4612-4e23-9b50-71f318a2f117</t>
  </si>
  <si>
    <t>85d78eab-e4ad-4f56-bfb3-87c6368f5b17</t>
  </si>
  <si>
    <t>e33850ba-f697-40f5-abec-2951077f2cef</t>
  </si>
  <si>
    <t>ac9145d1-31d0-4aa3-8755-62cc85dad22b</t>
  </si>
  <si>
    <t>216f0362-f77b-420c-84cb-d84853aa173d</t>
  </si>
  <si>
    <t>549d897a-7de3-41f3-8def-9ae899173756</t>
  </si>
  <si>
    <t>119f753a-8b06-44d8-bb9a-8a307f6032da</t>
  </si>
  <si>
    <t>e3ab8ed8-de3a-466a-ad85-319bdea94bde</t>
  </si>
  <si>
    <t>38f78b0a-4f55-406f-8b28-7c0ec8220905</t>
  </si>
  <si>
    <t>b22318a2-5c8d-4886-b181-6602f3e4e535</t>
  </si>
  <si>
    <t>319c625a-cfb7-4e44-ac3f-370a00c0d4ef</t>
  </si>
  <si>
    <t>7de51e0b-cb9d-4279-9bc5-b0d85dce4cf6</t>
  </si>
  <si>
    <t>9c16f3c5-f25a-49ee-b24c-7e974334939f</t>
  </si>
  <si>
    <t>d7219371-2f32-4675-b805-a0c9af19c1ff</t>
  </si>
  <si>
    <t>bc82f909-ade5-4ada-9b94-cec7ca1d4a68</t>
  </si>
  <si>
    <t>6ca10a61-07d8-478c-a6e7-8e43072233cf</t>
  </si>
  <si>
    <t>2134b8b6-fb84-4521-a154-b734c3cf6fd9</t>
  </si>
  <si>
    <t>edcc4d57-ba17-4470-ad78-bc2b967b524c</t>
  </si>
  <si>
    <t>20f935fc-c55b-4841-9f14-1bd71c4bf3c8</t>
  </si>
  <si>
    <t>969bab00-b269-46a5-a7e9-dd4887814719</t>
  </si>
  <si>
    <t>2577a332-8ad2-4e54-b52b-f4f7cc5823a1</t>
  </si>
  <si>
    <t>edb7385a-e4d4-4fb7-ad9f-a9910e4b9e97</t>
  </si>
  <si>
    <t>aa4be0b4-e2f7-4e22-a708-249276fe47f7</t>
  </si>
  <si>
    <t>many various designs. Check wiki page</t>
  </si>
  <si>
    <t>643ccbd3-4e7a-4c98-9ea3-312a3d786d30</t>
  </si>
  <si>
    <t>e3d70237-c1da-4195-b486-d17e69e45174</t>
  </si>
  <si>
    <t>ba75d8d1-250a-41e3-a36f-20ba166b768d</t>
  </si>
  <si>
    <t>b873b44d-0a18-482e-9a44-9aa08389c3b3</t>
  </si>
  <si>
    <t>903fd8b0-f789-4818-8239-fcef9cfeaf42</t>
  </si>
  <si>
    <t>2c49ed8d-6ca0-45a9-8d2e-a93fe29d3fe2</t>
  </si>
  <si>
    <t>baae9783-dcd3-4d6b-bba3-86faf2fe4c8e</t>
  </si>
  <si>
    <t>0902cf5a-a393-40df-8cfb-c00da481cfa9</t>
  </si>
  <si>
    <t>71030d3c-c3c4-4ad6-80de-f9871bd6f11d</t>
  </si>
  <si>
    <t>c1f9f7af-cdb2-49f6-8459-521f2b9263cb</t>
  </si>
  <si>
    <t>127d5d89-d6ab-4e4a-b6fe-a3586e6d7020</t>
  </si>
  <si>
    <t>6cae9a98-b75d-408e-ac59-d6bde6e4ab13</t>
  </si>
  <si>
    <t>97f37571-35e8-4cc8-8b0d-ff92d20ae0bb</t>
  </si>
  <si>
    <t>9b94fd74-bcee-4d30-8862-0a18ae65541b</t>
  </si>
  <si>
    <t>2a5964b5-ee7c-4acf-9f40-f45a313b4755</t>
  </si>
  <si>
    <t>ae4af670-5674-4fed-bbf9-4083f06519b0</t>
  </si>
  <si>
    <t>d0666101-d24e-4d2b-bc63-63f67532b38c</t>
  </si>
  <si>
    <t>1a6825cb-95d5-4542-b018-deb48d936b73</t>
  </si>
  <si>
    <t>8166e78b-a5c1-42d3-8ffb-a0f87cf4f789</t>
  </si>
  <si>
    <t>b9872a9c-d653-4108-9060-21d6d8ec511a</t>
  </si>
  <si>
    <t>cde75746-e209-433b-838c-300e3c7d8306</t>
  </si>
  <si>
    <t>66be4e91-933b-44e8-a73c-3b8a9c6b14a8</t>
  </si>
  <si>
    <t>fc9104ab-b61c-4481-8402-cecb13baf30f</t>
  </si>
  <si>
    <t>10e07ff1-5586-44fb-b437-31db1f7748ec</t>
  </si>
  <si>
    <t>39eb6810-3cb9-4ddb-966a-ddd68b93e62c</t>
  </si>
  <si>
    <t>524ca019-25b5-4769-a9e4-842505710e77</t>
  </si>
  <si>
    <t>f649e46c-f1d1-4eb7-af73-368423951707</t>
  </si>
  <si>
    <t>48408219-2ab9-4f08-8cb8-2d955fb3dae8</t>
  </si>
  <si>
    <t>df040e30-b424-4a89-be1b-83ffd57eb5a1</t>
  </si>
  <si>
    <t>3462aa18-bb93-403c-b28d-9841c147787f</t>
  </si>
  <si>
    <t>306d3417-5e12-499e-832e-86b602a075de</t>
  </si>
  <si>
    <t>a1eb910c-0090-4c50-a1cb-a35cbe8c80f2</t>
  </si>
  <si>
    <t>All scrolls. Wizard AND Druid, because i didn't bother checking which is which.</t>
  </si>
  <si>
    <t>3e85f140-2284-430b-b11f-2126cd85b567</t>
  </si>
  <si>
    <t>3d992632-dc98-43b1-85e5-b59ba5a6aa9a</t>
  </si>
  <si>
    <t>8b9b4657-93f3-4382-b6e0-a587902abcba</t>
  </si>
  <si>
    <t>5314d1eb-5771-47b5-80a7-2ee093ef4618</t>
  </si>
  <si>
    <t>05da1a09-2d22-4299-b4a0-c4538a91f91c</t>
  </si>
  <si>
    <t>21e67b0e-913d-411a-9046-6c54e8d0bf53</t>
  </si>
  <si>
    <t>82719943-71e0-4eb2-bc4f-c8c0dd02c47c</t>
  </si>
  <si>
    <t>b627f83f-8533-4440-95a0-ad2f319fe4ed</t>
  </si>
  <si>
    <t>48fbab09-ede1-4093-9223-38c9e172c061</t>
  </si>
  <si>
    <t>e0ee9263-3740-44fe-80da-4315cb836aef</t>
  </si>
  <si>
    <t>2c6caac0-1684-4324-abba-0b849a9add74</t>
  </si>
  <si>
    <t>d3800e05-635f-47b3-80b1-1a7c4161cf89</t>
  </si>
  <si>
    <t>a8b34fd5-d643-49ad-98d3-d5841492b338</t>
  </si>
  <si>
    <t>79faf049-d503-46eb-a018-69e1975777d7</t>
  </si>
  <si>
    <t>bc00df72-3c98-4bf2-9650-28e08f79b57c</t>
  </si>
  <si>
    <t>13105f7d-55fa-4292-abfe-b9d80054b48e</t>
  </si>
  <si>
    <t>2315f935-a188-4665-9ae0-986c7a9b0021</t>
  </si>
  <si>
    <t>d338fcb9-aaf5-48b1-8333-2dd4d9f70e1b</t>
  </si>
  <si>
    <t>ad31110a-aa9a-4427-925a-9952bfbef45a</t>
  </si>
  <si>
    <t>33421d4f-1cac-4196-a85e-0b07bcb3ecf2</t>
  </si>
  <si>
    <t>0e793d2d-1cd7-4b90-a71b-821423e50969</t>
  </si>
  <si>
    <t>c7c92bc3-e856-4403-b509-9b0491f455cd</t>
  </si>
  <si>
    <t>e81e7b31-8e7a-4fc1-977d-9a9a58fdd4a0</t>
  </si>
  <si>
    <t>7634cc33-d16b-4640-ba7c-8c6a26653591</t>
  </si>
  <si>
    <t>c0e92dfa-29cf-46e8-8b35-8bded679df64</t>
  </si>
  <si>
    <t>a30864e5-06f0-4d14-9ea4-cb6870c0ddfe</t>
  </si>
  <si>
    <t>17f828a4-5684-42dd-9f08-ff99ba43358a</t>
  </si>
  <si>
    <t>701a7df0-728e-494a-ab2f-146aed4e8c7f</t>
  </si>
  <si>
    <t>caa812b9-9362-4c38-aef0-e3f6eb288dba</t>
  </si>
  <si>
    <t>0d737a55-c337-4e8f-b31f-a17273099013</t>
  </si>
  <si>
    <t>126cc673-1151-4113-b1bf-98457233441b</t>
  </si>
  <si>
    <t>b2e1168a-021d-4a81-a041-6d2e1421a1fb</t>
  </si>
  <si>
    <t>75452ba5-5758-417c-b661-8832eb64df66</t>
  </si>
  <si>
    <t>b3376ca4-393c-4191-aa67-a02c94d6a236</t>
  </si>
  <si>
    <t>3f737706-57ca-45e6-b0d1-45238da76329</t>
  </si>
  <si>
    <t>bc5c0bcf-144f-46ed-bcde-e6bd1225efb9</t>
  </si>
  <si>
    <t>3b447e07-3e73-4906-9f7e-63a87e2da909</t>
  </si>
  <si>
    <t>7c4c3ae1-26ac-4765-a5d5-586976e0e458</t>
  </si>
  <si>
    <t>e9fae419-8c7a-4d5d-950f-94675a2aff07</t>
  </si>
  <si>
    <t>eedf0539-6a47-480e-8b23-a133b222241f</t>
  </si>
  <si>
    <t>cecb1802-b2c0-4d65-aa08-aa15ca3619eb</t>
  </si>
  <si>
    <t>7d76665a-3b9e-4495-a3c6-a05340704194</t>
  </si>
  <si>
    <t>4cdb2434-0ffa-4fb1-9c42-d6451978f35b</t>
  </si>
  <si>
    <t>82cbfcd2-cf80-4acd-9f1f-51835693b0e6</t>
  </si>
  <si>
    <t>6e13fbf8-3db5-4420-8691-653d5ecb753e</t>
  </si>
  <si>
    <t>fb975b01-40d5-49a3-b60a-d2f13a1f8009</t>
  </si>
  <si>
    <t>fdfe5d75-0e8b-47f8-b128-d57081cb8981</t>
  </si>
  <si>
    <t>6b87f7b4-441c-41cf-92c3-29e258747454</t>
  </si>
  <si>
    <t>5d2e1c40-e85e-4027-aefe-b9731a2de2c9</t>
  </si>
  <si>
    <t>79d2bb95-53fc-4e41-a004-5e1b83db8de7</t>
  </si>
  <si>
    <t>a6d216e9-c9e9-4310-b155-0e4f50682377</t>
  </si>
  <si>
    <t>0922de82-149f-4cac-aa98-e26222fd7714</t>
  </si>
  <si>
    <t>a9135751-3a8a-4070-9f3a-11d24d123a3f</t>
  </si>
  <si>
    <t>1df15994-c860-4930-beed-3135b74025fa</t>
  </si>
  <si>
    <t>dcb51bec-90bd-4d0a-942d-72034782bdf5</t>
  </si>
  <si>
    <t>4c026e53-4000-4818-913c-a5662ee7c061</t>
  </si>
  <si>
    <t>8d4c06d1-e504-49b0-a4fa-5179ab717f1e</t>
  </si>
  <si>
    <t>056f10e1-01e7-4622-907f-faad8d48bbe6</t>
  </si>
  <si>
    <t>dff353d0-c1d4-43af-8664-bf08a9ffae07</t>
  </si>
  <si>
    <t>094c9b7f-0b7d-4813-92ea-7267afb62b07</t>
  </si>
  <si>
    <t>795e4282-27c3-4177-b532-9e6559a26531</t>
  </si>
  <si>
    <t>6bedf433-994f-4624-bb2a-cdf6f46d539a</t>
  </si>
  <si>
    <t>96d4aba5-bd76-4bae-a726-37a6c96776ab</t>
  </si>
  <si>
    <t>d621c19f-d5c8-433c-bc75-7f2eb87d2f0a</t>
  </si>
  <si>
    <t>5e077657-8b5e-4e69-ae2e-95eab691fa41</t>
  </si>
  <si>
    <t>bdf15fb0-d9df-4509-ad70-42b5fad11971</t>
  </si>
  <si>
    <t>f26320fa-9a25-4f79-80fc-e356268cf474</t>
  </si>
  <si>
    <t>e8c3ad4e-37f0-46c8-bf25-0ddc2dcb0139</t>
  </si>
  <si>
    <t>6ed22182-90a6-418a-8aa7-909b9e77aa47</t>
  </si>
  <si>
    <t>e1f15103-bb95-476f-8b09-091f51b2f645</t>
  </si>
  <si>
    <t>4c1a886a-7db5-4e00-bbc6-d4243534f057</t>
  </si>
  <si>
    <t>83600284-8f78-409f-a0e0-d262b2bdea64</t>
  </si>
  <si>
    <t>82370a33-5243-4fad-9880-b0a8c2b5a225</t>
  </si>
  <si>
    <t>2ccab07d-0ccb-45e6-8f43-8ffb6a62da11</t>
  </si>
  <si>
    <t>945cd4f0-991b-4663-b72e-790d49fee27e</t>
  </si>
  <si>
    <t>ccf1bd99-e807-44e6-9a0a-7645ad533a8f</t>
  </si>
  <si>
    <t>0fa4bdab-9ef1-4575-b063-b3e9d359d593</t>
  </si>
  <si>
    <t>019d8804-56ee-44eb-959a-db5377cda8ae</t>
  </si>
  <si>
    <t>9a2a3fcc-d948-4463-b88b-a9d61b77b015</t>
  </si>
  <si>
    <t>74d0e4f0-de97-4097-a7e7-f5759a375c81</t>
  </si>
  <si>
    <t>f5bf39c0-2df3-4cd4-842c-c1862e6f80aa</t>
  </si>
  <si>
    <t>3c8db4fb-c10b-415d-b9cd-c3254265b778</t>
  </si>
  <si>
    <t>2eb2147d-5bcb-4b0e-ac73-b2a4d1deeb77</t>
  </si>
  <si>
    <t>3b802734-ad6e-45a4-988b-f7241636e5e9</t>
  </si>
  <si>
    <t>6ac3b9ab-fdb4-47e8-8a35-91747de2afc8</t>
  </si>
  <si>
    <t>389da9ab-bee7-447c-9bed-f1021ddc94d4</t>
  </si>
  <si>
    <t>9f8502bf-727f-40c7-93a3-5fab6ba2e2f5</t>
  </si>
  <si>
    <t>03771ebc-83ca-45d2-8bd5-d382b6d6d824</t>
  </si>
  <si>
    <t>cd1da9c5-c9ea-4d2a-93ce-e201c97eded9</t>
  </si>
  <si>
    <t>f6cbfbb3-7eab-4f78-afde-073756c4e26d</t>
  </si>
  <si>
    <t>22ef638a-206f-4874-8f68-e2a378df1158</t>
  </si>
  <si>
    <t>dea31400-25e5-4e69-bb76-14430fe46673</t>
  </si>
  <si>
    <t>c1c3e4fb-d68c-4e10-afdc-d4550238d50e</t>
  </si>
  <si>
    <t>577a83c9-0bb7-4670-b0e9-d9a4738f6a0a</t>
  </si>
  <si>
    <t>2e7fc397-cb84-4573-b6c7-1c7a8f2742d6</t>
  </si>
  <si>
    <t>d2573c9b-6de2-45bd-8032-b8a59432f4b5</t>
  </si>
  <si>
    <t>2ad118cb-b11f-45ca-a206-7575bbbaccc6</t>
  </si>
  <si>
    <t>a9ced623-a25d-4d2b-bca5-644b7230c869</t>
  </si>
  <si>
    <t>2ce88bf0-fe06-46bd-b71e-18bc6dc8eb9d</t>
  </si>
  <si>
    <t>be05f7d0-ffa0-46e3-a0d6-66e3333159f1</t>
  </si>
  <si>
    <t>4c990ca3-01f6-4536-b8f3-c26cd9a0ca8b</t>
  </si>
  <si>
    <t>36d01b98-1702-4d00-81a9-1b8469dd67a5</t>
  </si>
  <si>
    <t>0f0a7a12-1c77-423a-b16e-4a9a5480c05e</t>
  </si>
  <si>
    <t>7f39977f-bcab-4dda-933f-bd70cb333ecc</t>
  </si>
  <si>
    <t>6b881dce-b87f-4c3c-aa98-7ba4b07c009b</t>
  </si>
  <si>
    <t>f912ea9b-0e2f-45b4-b12d-fa6ec89dc758</t>
  </si>
  <si>
    <t>049d70c4-7ea3-4b6c-af6f-44dab7813a89</t>
  </si>
  <si>
    <t>8bc1a0d8-af28-45b2-b1ca-1f15e3c47b1b</t>
  </si>
  <si>
    <t>1d5ecaca-310b-4622-b302-81331c0a8e9e</t>
  </si>
  <si>
    <t>94caa680-50b8-46b1-b775-19150d783b2f</t>
  </si>
  <si>
    <t>01d1b2b2-9e6b-4ad2-8d63-59f9caf1d389</t>
  </si>
  <si>
    <t>6fd2d3d4-801c-4591-9c05-db8a68e51808</t>
  </si>
  <si>
    <t>0f3c7369-d0bd-4b97-960d-1407f4c8eebf</t>
  </si>
  <si>
    <t>e7dc56bc-b169-4a46-b8ee-cc6474dd7b15</t>
  </si>
  <si>
    <t>d13587f4-a1f4-4833-bd1e-da1c7951d680</t>
  </si>
  <si>
    <t>2eedb4ac-47fa-4039-9684-8b4bb0923a26</t>
  </si>
  <si>
    <t>e69f52a4-3d86-4f08-a9b4-c70ba4cc3070</t>
  </si>
  <si>
    <t>f2c940ba-3049-49d2-bb90-af9f4830057c</t>
  </si>
  <si>
    <t>Weapon Coatings</t>
  </si>
  <si>
    <t>bd118cc0-eb90-412d-8229-6749f42df5c6</t>
  </si>
  <si>
    <t>ee5d2d95-7451-4c4e-b58e-6c211e7fc96b</t>
  </si>
  <si>
    <t>28645376-e6e8-436a-8e9a-c62877fae07d</t>
  </si>
  <si>
    <t>5865caed-4a5d-45b7-b365-1113334a8e7b</t>
  </si>
  <si>
    <t>955d3880-3d10-4fb5-845b-96b6b52aef9a</t>
  </si>
  <si>
    <t>f528a334-bdb3-4cf1-b74c-0e08942daeb1</t>
  </si>
  <si>
    <t>a5d93495-c01c-4dd4-928c-3793f620121f</t>
  </si>
  <si>
    <t>d990fefe-e0f3-46ba-915e-35aebc6c6599</t>
  </si>
  <si>
    <t>3383e241-4d1c-41ad-bc81-fc548fa9062d</t>
  </si>
  <si>
    <t>08789f74-3f63-4e7c-8288-b8d873542c15</t>
  </si>
  <si>
    <t>bb750807-895b-468d-81e1-4378797d11ca</t>
  </si>
  <si>
    <t>01985597-fceb-47d1-93ae-9cc9928ed9e7</t>
  </si>
  <si>
    <t>3e4ce3e8-fbae-4e78-9198-e4c15485a928</t>
  </si>
  <si>
    <t>84eedc44-3b1b-49c4-9417-9e5a99ea6e56</t>
  </si>
  <si>
    <t>56e531e9-78e4-430b-bc98-611c1b1ccd08</t>
  </si>
  <si>
    <t>b0385b93-f525-4740-8126-471a76fa31a2</t>
  </si>
  <si>
    <t>8b5f7965-6cd1-42c1-8449-c6562a270ad9</t>
  </si>
  <si>
    <t>6db9ed3d-2d72-43ad-a2b8-02365728f29f</t>
  </si>
  <si>
    <t>e4f7cb7f-1cb3-411b-b078-f4ac25b750a8</t>
  </si>
  <si>
    <t>eca393b0-3f8e-4862-814b-9e236a0d4129</t>
  </si>
  <si>
    <t>Elixirs</t>
  </si>
  <si>
    <t>491921dd-5c64-45da-a150-7ff7030705f7</t>
  </si>
  <si>
    <t>6f328fc5-6f54-4aad-959d-0825290a2763</t>
  </si>
  <si>
    <t>cc1a8802-675a-426b-a791-ec1d5a5b6328</t>
  </si>
  <si>
    <t>7d1699d9-c3fa-4761-9718-28230f78420b</t>
  </si>
  <si>
    <t>45a775f8-2cf9-440d-b9eb-4ee5f17efca8</t>
  </si>
  <si>
    <t>e6490cc8-7f81-4aac-95e8-a58ce5e88a31</t>
  </si>
  <si>
    <t>ce8a15ef-be30-4af1-9ecb-ebfcf8b637a9</t>
  </si>
  <si>
    <t>0f2ccca6-3ce8-4271-aec0-820f6581c551</t>
  </si>
  <si>
    <t>f21d19ce-b550-4d08-8eaf-55129772c6f2</t>
  </si>
  <si>
    <t>e258a58f-eda6-44f8-bba6-689b275d9d8f</t>
  </si>
  <si>
    <t>5e556eca-2989-42c7-a018-95770ae779a2</t>
  </si>
  <si>
    <t>b86d9910-d55e-4a16-a6b5-9f221071efa2</t>
  </si>
  <si>
    <t>f737ed58-b467-4d6b-b1d0-76df984ec092</t>
  </si>
  <si>
    <t>7196e628-a512-4447-94b3-49b2a9d1c182</t>
  </si>
  <si>
    <t>9c96bc7d-5546-4f0b-8980-286325050e23</t>
  </si>
  <si>
    <t>2608c096-a0f5-4172-ad04-c1b170e10d95</t>
  </si>
  <si>
    <t>71efff8a-d8fe-4aeb-8ea6-22d076021fca</t>
  </si>
  <si>
    <t>ff858bad-e2fa-499b-bb43-c36349a09e4b</t>
  </si>
  <si>
    <t>65e56bb5-909b-4f52-99e9-18fd1f39ef19</t>
  </si>
  <si>
    <t>b8a2f9e4-3b5e-4418-af05-5ca3cd40dd71</t>
  </si>
  <si>
    <t>293ffe17-abc1-4842-b338-cd9482e3bcbc</t>
  </si>
  <si>
    <t>b4b4a84c-95a2-46f5-9cb3-c0c53af11bde</t>
  </si>
  <si>
    <t>dbeafcaf-825d-4b49-b36e-11aaf11ec794</t>
  </si>
  <si>
    <t>bb27cc17-5af9-4d53-818b-3e620f3f59f2</t>
  </si>
  <si>
    <t>c69fb092-2f4f-4688-82b6-7d92405626b1</t>
  </si>
  <si>
    <t>04edf181-9063-417f-a197-2d0c008b5943</t>
  </si>
  <si>
    <t>05257244-ab59-4eab-9745-d1fea7b8cd10</t>
  </si>
  <si>
    <t>f3c0aefb-a399-42c6-8d85-7fdceb6d18f5</t>
  </si>
  <si>
    <t>45cdcf69-bfd2-4311-a883-3f3631ab3959</t>
  </si>
  <si>
    <t>ae28b14c-0881-45fe-8237-9fcb1c951d3d</t>
  </si>
  <si>
    <t>164ac6f3-8f93-4d74-9f72-e7c49723dedb</t>
  </si>
  <si>
    <t>58142e85-57d4-4bdf-b7f1-04f5804bcce6</t>
  </si>
  <si>
    <t>d106106a-3905-4acb-a24a-764940b61d9c</t>
  </si>
  <si>
    <t>1ada79f3-5993-4be2-908e-d397c395905a</t>
  </si>
  <si>
    <t>9cd26812-b428-45be-9fa9-8ef55856c52b</t>
  </si>
  <si>
    <t>7eb0b7b6-97fa-4ff5-a7bb-570ca11a3c64</t>
  </si>
  <si>
    <t>44cd95a7-4791-4ace-bea0-a5ca4421171b</t>
  </si>
  <si>
    <t>17066367-7b64-402e-951d-9dcc1407c278</t>
  </si>
  <si>
    <t>0aacb1f9-116a-45ec-9b0c-cb436301d4b2</t>
  </si>
  <si>
    <t>8c7656f5-507a-4cee-8e15-320c968539f0</t>
  </si>
  <si>
    <t>Doesn't work as advertised</t>
  </si>
  <si>
    <t>fb16d5a8-866f-4c17-9591-0df1372b49c9</t>
  </si>
  <si>
    <t>4f17f210-9cde-4dad-80b5-fc4f9ddb1e1f</t>
  </si>
  <si>
    <t>d44a454c-3a09-4b93-b982-79f7ee019703</t>
  </si>
  <si>
    <t>Potions</t>
  </si>
  <si>
    <t>d4fc499a-945e-4e0b-a4db-ba6157281616</t>
  </si>
  <si>
    <t>f0c7d8bb-85e9-4937-96bb-49ba69d28631</t>
  </si>
  <si>
    <t>212ca846-4766-4370-8847-454e59751598</t>
  </si>
  <si>
    <t>27d74bd9-b852-43fd-98ac-999f33e05aa9</t>
  </si>
  <si>
    <t>98ed535a-269e-42a9-a488-e57976729319</t>
  </si>
  <si>
    <t>3575950d-c41a-448d-bb2d-cd08c78c88c6</t>
  </si>
  <si>
    <t>9d98eb5a-08c1-471a-84d5-76dbb098f160</t>
  </si>
  <si>
    <t>e25346e5-1a98-449c-80dd-8fcf4b086b50</t>
  </si>
  <si>
    <t>d0e9a8cd-ca87-42bc-bc48-8bf20975a927</t>
  </si>
  <si>
    <t>f75e153a-e357-49f9-9f51-0bfeffb8e00f</t>
  </si>
  <si>
    <t>25fea821-5ec1-4052-bd6c-60c249e72a79</t>
  </si>
  <si>
    <t>9ee5433b-ce71-4de4-871d-04f918c318ae</t>
  </si>
  <si>
    <t>4d37061a-901d-47d7-9c11-4237e34b98a1</t>
  </si>
  <si>
    <t>0e54d347-dffa-4d13-92c0-74c82decefba</t>
  </si>
  <si>
    <t>b1b5590b-e246-4e33-acaa-5984b2e2306f</t>
  </si>
  <si>
    <t>a46558fe-54a8-4720-a12e-7470e072a9d7</t>
  </si>
  <si>
    <t>920dcb59-b732-4d97-ae1a-fadbb5955fe5</t>
  </si>
  <si>
    <t>44da51b6-6d05-488c-9097-99dd6c795ed3</t>
  </si>
  <si>
    <t>9f8a0a1c-b1f0-4f09-93eb-de364f1063f1</t>
  </si>
  <si>
    <t>a61f62e4-fbf2-44aa-95c6-f0f0884e9023</t>
  </si>
  <si>
    <t>b0ff8d30-5825-49d4-8cd4-ebf3a3d0a024</t>
  </si>
  <si>
    <t>4d801c1a-691e-47c8-88e7-78367b4e2c8e</t>
  </si>
  <si>
    <t>447ee8a9-9319-4758-9dc7-2d8ba94e45b5</t>
  </si>
  <si>
    <t>cc426fc4-a82e-4375-8a77-31f2344b71b4</t>
  </si>
  <si>
    <t>179cfdd4-40ef-4f5c-ba6e-8c13f20aadc9</t>
  </si>
  <si>
    <t>8b870692-8491-4f1b-9b5c-58cb0b47a62b</t>
  </si>
  <si>
    <t>0138e3a4-4576-45a8-8592-85fa9adaee59</t>
  </si>
  <si>
    <t>7406ffa4-930c-437f-b201-57b951e5165f</t>
  </si>
  <si>
    <t>e3b95c96-dc26-40fe-bfc0-baa05e1abd20</t>
  </si>
  <si>
    <t>d47006e9-8a51-453d-b200-9e0d42e9bbab</t>
  </si>
  <si>
    <t>809d5026-4896-4b3a-986e-95da58da77e2</t>
  </si>
  <si>
    <t>91da7fe8-a5f7-4132-9096-e8da4916a42e</t>
  </si>
  <si>
    <t>7090a500-c392-4566-a79f-0c9453323bc8</t>
  </si>
  <si>
    <t>ad9f3f24-d755-48b6-aa7b-c34da068209f</t>
  </si>
  <si>
    <t>df4f3495-abaf-4732-b82f-55bcccd561db</t>
  </si>
  <si>
    <t>7d78f227-e8d4-486d-8121-25cf0bee751d</t>
  </si>
  <si>
    <t>0df06118-c4c3-4521-a6f5-f94ead4abb6c</t>
  </si>
  <si>
    <t>ae9a9360-7cbe-4f72-8bea-1dd5747c180d</t>
  </si>
  <si>
    <t>c5c39373-6a83-4a74-818a-da1642b9dfd0</t>
  </si>
  <si>
    <t>2a507888-cf2b-425a-8920-dc0ca35cfa2e</t>
  </si>
  <si>
    <t>Food</t>
  </si>
  <si>
    <t>d2d0d39b-9269-46d1-855d-dc25e18b1a6e</t>
  </si>
  <si>
    <t>7481a74a-d167-4205-b6a6-4e79ec2e17d9</t>
  </si>
  <si>
    <t>2d657045-d6d4-4f03-9e5e-0bdf63cc48bf</t>
  </si>
  <si>
    <t>f551fd03-7e8f-4395-bc9e-0a27689058df</t>
  </si>
  <si>
    <t>9ff71d3a-1c01-4e16-b151-6219ae376087</t>
  </si>
  <si>
    <t>6c4f585b-c6d1-42fe-b3ea-282d0d3ac3a3</t>
  </si>
  <si>
    <t>1a3fa26c-f97d-4106-a0c9-c1123ca8dcbc</t>
  </si>
  <si>
    <t>f32dd8e1-cf81-4995-9868-0fe5c23428a7</t>
  </si>
  <si>
    <t>a5242a01-c4c6-4767-a996-eb4779484539</t>
  </si>
  <si>
    <t>36fc6c55-478c-464f-86a2-910573fd8d4b</t>
  </si>
  <si>
    <t>136e4730-77d7-4985-8d1a-e58cc64ed690</t>
  </si>
  <si>
    <t>87e53fac-efc7-4d4a-b28d-675afa7bd564</t>
  </si>
  <si>
    <t>f55f45ec-e30b-4745-9f22-431af1b308f6</t>
  </si>
  <si>
    <t>d0e9c5c0-4757-45d9-9311-0f178139c181</t>
  </si>
  <si>
    <t>adefd765-cc35-4289-9468-4a1fef893f52</t>
  </si>
  <si>
    <t>0e23a410-d7e6-454f-9061-abe3c60c6f5f</t>
  </si>
  <si>
    <t>e604f4cc-4c17-4f40-9864-c7de41d9c211</t>
  </si>
  <si>
    <t>f8d8d0fa-a933-47eb-a409-901f6eeb5a57</t>
  </si>
  <si>
    <t>381bf137-0b92-4035-a1ae-6c9c6fb65762</t>
  </si>
  <si>
    <t>a0aea0ba-0859-4352-a069-69a16e1e4401</t>
  </si>
  <si>
    <t>be712366-a008-4099-b95e-393ffa808610</t>
  </si>
  <si>
    <t>31c64c2b-fafb-4d53-8f46-303571508775</t>
  </si>
  <si>
    <t>4b97e595-993d-403a-971c-19723bf0a6d0</t>
  </si>
  <si>
    <t>86849852-69de-482e-b7f6-ddc7f607c517</t>
  </si>
  <si>
    <t>7836d86c-9bac-4a18-85b2-a90496d1a7a8</t>
  </si>
  <si>
    <t>cb3b0f7e-1dc0-48de-badc-06625eb9dbd4</t>
  </si>
  <si>
    <t>6b059833-31ec-481b-88b5-9c71c82340ec</t>
  </si>
  <si>
    <t>b22952f3-1874-4320-907f-5ca2219c6f63</t>
  </si>
  <si>
    <t>74110a00-80ac-43c1-b727-c19f8c0c2e78</t>
  </si>
  <si>
    <t>ac1879a6-ad3e-4b7a-bcb4-f6477fc36882</t>
  </si>
  <si>
    <t>3c35d25a-0d61-4071-b35b-9359f52c2d46</t>
  </si>
  <si>
    <t>4272edf7-8343-4ab0-be42-cb21fba13d30</t>
  </si>
  <si>
    <t>b34d7f0b-8d6b-4e09-998a-591f4d39e872</t>
  </si>
  <si>
    <t>cb0039bf-dd5e-41f2-8241-a52fa45e5ef6</t>
  </si>
  <si>
    <t>a2a38210-b3ad-402e-9b63-3a4c272cebc7</t>
  </si>
  <si>
    <t>1c4bbacf-20f5-46c0-a1d5-0cf0a013981a</t>
  </si>
  <si>
    <t>45a43504-e639-4c85-a901-da1de6cf4ee9</t>
  </si>
  <si>
    <t>d23adb3a-7722-4877-89fe-eceda296b25f</t>
  </si>
  <si>
    <t>577145f3-cadc-4bb7-afd8-9025ff0fcef6</t>
  </si>
  <si>
    <t>0db2c814-7825-4b14-979a-b3b8bfee0dd4</t>
  </si>
  <si>
    <t>f1362bfb-6fe3-46f3-b164-135a034572cb</t>
  </si>
  <si>
    <t>5d7f94c0-2748-45af-b1b4-2ad3dabb8a76</t>
  </si>
  <si>
    <t>e454329b-b8ce-4318-b2b6-c54638b8d857</t>
  </si>
  <si>
    <t>ac2561bf-1cb9-4f14-b4c0-0bf740fe9d46</t>
  </si>
  <si>
    <t>743428c1-f916-4188-9162-20d38bfc166b</t>
  </si>
  <si>
    <t>1463c8da-2f73-4768-b5e3-3b9048901d93</t>
  </si>
  <si>
    <t>de6b186e-839e-41d0-87af-a1a9d9327785</t>
  </si>
  <si>
    <t>9d9665eb-89d4-4cdd-aa04-235a8ac51205</t>
  </si>
  <si>
    <t>edfd76e0-17b9-4f52-a5f9-5a4e441ddca1</t>
  </si>
  <si>
    <t>c6910189-d120-42cd-9277-1e6c7d7bb772</t>
  </si>
  <si>
    <t>df26272e-84ce-46b6-9ec7-ed4d300c3ac0</t>
  </si>
  <si>
    <t>1accb89d-27b7-486b-87a9-05a04239e239</t>
  </si>
  <si>
    <t>c5af4dab-0cd4-4f84-8c2a-1e1987016099</t>
  </si>
  <si>
    <t>e64e5de6-9c13-4d0b-9d23-ec404a34a469</t>
  </si>
  <si>
    <t>f91f8f13-44d0-4fd0-8cc1-1ec08356f98a</t>
  </si>
  <si>
    <t>c97edbc4-66ce-442d-8f61-d406f6c176bf</t>
  </si>
  <si>
    <t>2ca3cb11-2271-461a-9096-c425c0bd3b12</t>
  </si>
  <si>
    <t>1d078894-ac38-4add-aac8-fcdf0aca4d4b</t>
  </si>
  <si>
    <t>312f18f7-fe4b-49c8-bc81-c4042b99f897</t>
  </si>
  <si>
    <t>98fef0a1-726e-410b-867f-808915741d2f</t>
  </si>
  <si>
    <t>a24a2ca2-a213-424c-833d-47c79934c0ce</t>
  </si>
  <si>
    <t>471dfbc7-a7f1-4fa3-8ce4-2c15c2815bcd</t>
  </si>
  <si>
    <t>01852753-22b9-4724-986b-8c9786b04010</t>
  </si>
  <si>
    <t>5bd00d87-c85e-4796-9de2-877b41a945b2</t>
  </si>
  <si>
    <t>5e352346-e89f-4af8-a668-72f718274f62</t>
  </si>
  <si>
    <t>12fac942-2d7c-4ec4-83bd-1a5013df1b94</t>
  </si>
  <si>
    <t>6cd7804b-31c3-4eac-b9fd-c8692d609a08</t>
  </si>
  <si>
    <t>ee4025e5-11f2-401a-8198-885120af0b6b</t>
  </si>
  <si>
    <t>83133248-3c85-4b6d-adf3-2c6985146875</t>
  </si>
  <si>
    <t>99da895b-19d9-46e4-be4d-7d0ffa8ad350</t>
  </si>
  <si>
    <t>2fb236a2-0714-4a66-9e4d-a031b680d6e2</t>
  </si>
  <si>
    <t>48f47287-908b-49aa-ab6a-5d4679ca4117</t>
  </si>
  <si>
    <t>20a42fb8-cb01-47c5-9fa0-1ddfc09b032d</t>
  </si>
  <si>
    <t>f7a37058-43ef-4575-aa07-5e1e42eee8fd</t>
  </si>
  <si>
    <t>dca82ed8-5b3d-40dd-b3c1-9521b30f04b8</t>
  </si>
  <si>
    <t>31d10a5c-078a-48c9-a48e-17cedae39c35</t>
  </si>
  <si>
    <t>70e0c819-5c33-4708-8250-3d5c9bfbfed0</t>
  </si>
  <si>
    <t>8ae93c63-7345-4ff4-8a7f-2c7cd23cbe10</t>
  </si>
  <si>
    <t>746153c2-5aa1-440d-819d-b93dc31b7e10</t>
  </si>
  <si>
    <t>d5443960-1383-4a32-a07b-d0031c9872a3</t>
  </si>
  <si>
    <t>0206650c-76b0-4ca3-9060-8efb5b739ede</t>
  </si>
  <si>
    <t>374111f7-6756-4f5f-b6e3-e45e8d25def0</t>
  </si>
  <si>
    <t>f35fb09a-696a-41f6-ac04-f9447332d56e</t>
  </si>
  <si>
    <t>1a0fe0fc-08e4-4e9c-aba8-5312ddd4e0ae</t>
  </si>
  <si>
    <t>fcfff2e8-d914-4731-a694-73f770e2f900</t>
  </si>
  <si>
    <t>1267816d-2074-41e6-be8f-bfdf20b5f04f</t>
  </si>
  <si>
    <t>52640540-c541-413d-8606-d0c83d670fe2</t>
  </si>
  <si>
    <t>9981e7b4-13ff-42ff-8078-023396fc2221</t>
  </si>
  <si>
    <t>d881ea26-7210-437f-a449-74e23f8a1301</t>
  </si>
  <si>
    <t>d3635b1b-4898-4eaa-8042-1aadfd7b56a7</t>
  </si>
  <si>
    <t>f59f02dd-245b-473d-a401-80de43e207a4</t>
  </si>
  <si>
    <t>bc2543fc-da0f-423a-9607-27f410c14c27</t>
  </si>
  <si>
    <t>a845453d-5078-479d-9ec4-d7953e6da8c9</t>
  </si>
  <si>
    <t>99921c5b-5e58-4ff6-aeac-1e17f3861d96</t>
  </si>
  <si>
    <t>4a243e31-87aa-4490-b42f-a0403caf0230</t>
  </si>
  <si>
    <t>5d20cf53-e360-440f-b2b1-9eddf40eb1ce</t>
  </si>
  <si>
    <t>cd170c54-9c3e-48b7-9a86-94dfd1ad09c9</t>
  </si>
  <si>
    <t>b0943b65-5766-414a-903d-28de8790370a</t>
  </si>
  <si>
    <t>caf51333-338f-41f1-8cf9-3474dad331d4</t>
  </si>
  <si>
    <t>e8bbe73a-e1dc-4d2e-910f-318db7aee382</t>
  </si>
  <si>
    <t>56cb4280-8c36-4b16-9852-834e45942ae0</t>
  </si>
  <si>
    <t>001376e1-2f21-4306-b510-0be29fa4941d</t>
  </si>
  <si>
    <t>a6848154-bc81-44fa-a344-8dbd020b16ae</t>
  </si>
  <si>
    <t>cdbd82e1-c092-487a-8e5d-d1f0a48c002b</t>
  </si>
  <si>
    <t>34c17e49-cdbe-4939-9e01-92453a203fbf</t>
  </si>
  <si>
    <t>8a039e47-d991-4808-a3ea-148f0c55f976</t>
  </si>
  <si>
    <t>926f9e2e-2852-4362-a051-ea6eddac29a4</t>
  </si>
  <si>
    <t>e9e7db6c-d210-4dc4-ab0e-8458a506d0cc</t>
  </si>
  <si>
    <t>005ee9c5-23d0-41e6-b4d7-cff4570bc5b5</t>
  </si>
  <si>
    <t>e044aa11-73ed-46b2-a202-e73e187c5c98</t>
  </si>
  <si>
    <t>4e43d7ec-8bc2-44b5-8c75-3dc6e6ee0bf0</t>
  </si>
  <si>
    <t>0c2326a3-e01a-40f4-ab46-090fa4e812c6</t>
  </si>
  <si>
    <t>aaece7bf-7210-4ae0-8162-d0f6484b2aa8</t>
  </si>
  <si>
    <t>363a11bf-9209-4614-9947-e49de5d0bf58</t>
  </si>
  <si>
    <t>d2f718aa-3b3e-474c-85d2-7bf05a9b2edb</t>
  </si>
  <si>
    <t>7b3d0c97-9b8a-4e72-bb3d-da0c1d020087</t>
  </si>
  <si>
    <t>910f4e5c-cba9-43f1-a28a-664c52b53a3c</t>
  </si>
  <si>
    <t>cc4b1203-b8cc-4eea-9d2f-956ec3bfb381</t>
  </si>
  <si>
    <t>463425df-d49f-4173-8146-0c66106cfe9d</t>
  </si>
  <si>
    <t>442dabe3-2c52-47ce-b669-33766564b3cc</t>
  </si>
  <si>
    <t>263a6645-fd3f-490d-8dec-744baca37cd2</t>
  </si>
  <si>
    <t>f57ad063-af4c-411c-9c91-9ca02cd57dd4</t>
  </si>
  <si>
    <t>595b4ec3-79ff-48f4-a1b8-c5410067df4c</t>
  </si>
  <si>
    <t>2632cd60-bf42-49d4-88db-09308d030383</t>
  </si>
  <si>
    <t>27e3719a-884a-4739-a3f4-0850623c623b</t>
  </si>
  <si>
    <t>80e17dfc-f29e-4149-9c91-7b617efb0c77</t>
  </si>
  <si>
    <t>970d24e1-7e3f-4534-9b65-980ec1759b4e</t>
  </si>
  <si>
    <t>87c1c0ef-3e73-4ab8-ac1e-7817d5dbb50d</t>
  </si>
  <si>
    <t>cc8d243c-8483-4430-9ba0-b1ffca792314</t>
  </si>
  <si>
    <t>894e64ad-3d0c-4ef7-8cb0-8a130bc37561</t>
  </si>
  <si>
    <t>06474f97-0dd0-45e6-8db8-5f75009bf336</t>
  </si>
  <si>
    <t>8cca8f05-63b2-4bff-8494-9609bf29af66</t>
  </si>
  <si>
    <t>d4c6879f-7042-4f1a-9fd7-3c7a1092a79a</t>
  </si>
  <si>
    <t>cd3920b3-1706-4d34-9982-7dd2ad8e67b6</t>
  </si>
  <si>
    <t>96d05ed7-d2ed-45c2-aea5-1d5f940aa29b</t>
  </si>
  <si>
    <t>Drinks</t>
  </si>
  <si>
    <t>2553da92-6bc7-4dc7-bbf9-7f1ac6d82b28</t>
  </si>
  <si>
    <t>ae82c350-9224-4978-ac27-c31b13b5a7ad</t>
  </si>
  <si>
    <t>870caf9b-f767-4264-9d0a-2c3a88dc0565</t>
  </si>
  <si>
    <t>2bfa8ee0-33ef-4fd6-9262-436b5bb0d3ff</t>
  </si>
  <si>
    <t>9f5b8cd1-ef04-4f33-ba82-27eaa6b4a123</t>
  </si>
  <si>
    <t>75ec6992-b6a7-4435-b373-8b298fe68e28</t>
  </si>
  <si>
    <t>159b7414-2eff-4ae3-92f6-89e99cd87f50</t>
  </si>
  <si>
    <t>e4360d5a-a922-4411-bf45-1cc4e45f3969</t>
  </si>
  <si>
    <t>ba0a465a-f438-41ca-93bc-dacd63421344</t>
  </si>
  <si>
    <t>41b870c5-1c4b-4bcb-ae29-49b7b0ad6af5</t>
  </si>
  <si>
    <t>9cda864e-dbac-44e3-9fe2-0562815e1004</t>
  </si>
  <si>
    <t>f4ced9b8-6da3-4cd7-a3e0-a1a0d5058ec4</t>
  </si>
  <si>
    <t>b6e4ab1f-6a0e-47fa-bc02-30a0b142bca6</t>
  </si>
  <si>
    <t>35bd53bc-cfdb-4c13-99e6-493f07216e9d</t>
  </si>
  <si>
    <t>3525b96e-81ef-4411-960a-b1b305e139c6</t>
  </si>
  <si>
    <t>ba6424eb-5f8e-44f8-ae60-96c5b615e67f</t>
  </si>
  <si>
    <t>97422db7-ab9e-42ab-8026-ac86a8e30e56</t>
  </si>
  <si>
    <t>97509a4d-13a9-4ffa-b699-20fa07d7295f</t>
  </si>
  <si>
    <t>2a0e186c-8589-45b9-8bdd-994503d3d1cb</t>
  </si>
  <si>
    <t>2a176188-5a1c-4e70-9be9-ca55502d00b2</t>
  </si>
  <si>
    <t>deedeae2-ebce-4dd5-a4f7-9bd89baa2d4c</t>
  </si>
  <si>
    <t>5e4f92fb-b64a-4a8e-a1d5-a9165526fe14</t>
  </si>
  <si>
    <t>54a9152c-3cd3-4d20-bd0e-6a143fa37869</t>
  </si>
  <si>
    <t>68feae6a-e244-4302-9694-2efb89b5783c</t>
  </si>
  <si>
    <t>6f5c2259-c522-4892-a14f-f74015afd88d</t>
  </si>
  <si>
    <t>f08cff83-241c-4b93-9e9a-5e06b292c689</t>
  </si>
  <si>
    <t>f703b4a2-900a-4e37-9571-3e18d2f4dede</t>
  </si>
  <si>
    <t>47f13638-1154-4a61-8dbd-1ea7ee887cbb</t>
  </si>
  <si>
    <t>1de26672-10cb-4659-9b0a-18b9a5bddc8c</t>
  </si>
  <si>
    <t>325eb33f-47a7-41e2-8e92-5e52346c3fc6</t>
  </si>
  <si>
    <t>1be0fe60-4aa2-4941-a48b-130b334bddb5</t>
  </si>
  <si>
    <t>738298a6-c8e7-4154-a571-03b287ce1b1e</t>
  </si>
  <si>
    <t>829f190b-e54b-4dfa-96c5-a554ac79518e</t>
  </si>
  <si>
    <t>f83e26c4-5a16-4282-9d84-1cdf71def753</t>
  </si>
  <si>
    <t>c9cf7e80-679e-4c30-98ac-4bd43db95294</t>
  </si>
  <si>
    <t>1c674a73-7855-4d8c-951d-4c289993edfa</t>
  </si>
  <si>
    <t>733d5d97-97ed-4918-bc2a-e6dd75cde58c</t>
  </si>
  <si>
    <t>e4595365-03f3-46ac-b989-f01bacf6cf3b</t>
  </si>
  <si>
    <t>Misc.</t>
  </si>
  <si>
    <t>77cfc9e7-02ca-4be8-8e01-51ae3f873d60</t>
  </si>
  <si>
    <t>f3b1fff1-33c1-4283-8f02-84abfdc5e84e</t>
  </si>
  <si>
    <t>Local item. UUID might now work.</t>
  </si>
  <si>
    <t>8f6b0c08-d1b1-4ae7-ade2-da3c679ce323</t>
  </si>
  <si>
    <r>
      <rPr/>
      <t>Warning: Using multiple of these will look weird. 
Your characters stats menu will show these boons all stacked upon each other.
Perhaps you want to use "</t>
    </r>
    <r>
      <rPr>
        <color rgb="FF1155CC"/>
        <u/>
      </rPr>
      <t>Choose your Stats</t>
    </r>
    <r>
      <rPr/>
      <t>" to set your stats.</t>
    </r>
  </si>
  <si>
    <t>7e3afbf6-4e1a-444e-826d-f8e0e0a8308f</t>
  </si>
  <si>
    <t>d16922ba-a36b-4015-8072-27610821fb53</t>
  </si>
  <si>
    <t>9abbab89-d29f-47c0-9ffe-f12018dd83d9</t>
  </si>
  <si>
    <t>de2c9582-fab5-4d5e-9a81-44d67af6a681</t>
  </si>
  <si>
    <t>eec5de82-c988-40e6-8f10-474d5675c550</t>
  </si>
  <si>
    <t>d6806561-2bd3-4333-ba90-dfbaf9474307</t>
  </si>
  <si>
    <t>cbbfb594-d3ba-4519-8c15-5c35df5892e0</t>
  </si>
  <si>
    <t>8ec2a70b-32cc-4223-9c4e-fb845deb262d</t>
  </si>
  <si>
    <t>71e89ceb-08d3-40f4-9f59-a768342a7357</t>
  </si>
  <si>
    <t>49458a4c-c5e3-42a4-88e4-c03e14343575</t>
  </si>
  <si>
    <t>7f17d8e4-5edb-4a77-88c0-55558a2db5f7</t>
  </si>
  <si>
    <t>79050068-7ce3-43f9-a9a3-1646f5eb39c3</t>
  </si>
  <si>
    <t>d1f2b294-fdf8-43df-8d11-19743077cb68</t>
  </si>
  <si>
    <t>14a43b9d-0913-4a24-8f19-a2db6e87bc36</t>
  </si>
  <si>
    <t>1617582e-5c09-460a-8ae7-7be77803955d</t>
  </si>
  <si>
    <t>1ec327be-3b7f-4502-9586-860e057e09ae</t>
  </si>
  <si>
    <t>f65292f7-a930-48a3-a803-914da4781056</t>
  </si>
  <si>
    <t>fd2fe1eb-af9e-4233-8cad-ccc47eec03dc</t>
  </si>
  <si>
    <t>24e01b77-0a74-410d-869f-919918f20278</t>
  </si>
  <si>
    <t>72e3f454-5a68-4bb2-acef-7b8d595b5015</t>
  </si>
  <si>
    <t>3f8aa681-6b08-4cc7-8f38-c882f48f17db</t>
  </si>
  <si>
    <t>db1675d9-5147-4201-b243-a9ee9540cbb8</t>
  </si>
  <si>
    <t>89875ae3-2ce8-4a6b-88fe-da2426f1b6ed</t>
  </si>
  <si>
    <t>6fc0f6fd-a5b5-40d2-8f76-b864b7f71093</t>
  </si>
  <si>
    <t>d90396df-b799-44f3-bbf0-13c5c90c3260</t>
  </si>
  <si>
    <t>89439def-e8bc-43c3-bec1-331492d01d74</t>
  </si>
  <si>
    <t>be312dcb-8ff5-4f6e-bcad-516c6fb7c249</t>
  </si>
  <si>
    <t>f964cf56-066d-460d-a6a7-2b9acb78be7f</t>
  </si>
  <si>
    <t>0f34372c-520a-475d-a3c0-7c385fd549b7</t>
  </si>
  <si>
    <t>dc980269-d8bd-4a25-b521-d3ac7bb4812f</t>
  </si>
  <si>
    <t>42a68ee1-6d71-455e-99b2-278a53be5504</t>
  </si>
  <si>
    <t>32a3bb2c-ce98-41ec-9476-06867d354ca3</t>
  </si>
  <si>
    <t>63cc183f-e726-48d6-a91d-da26dacb6ee0</t>
  </si>
  <si>
    <t>89d194fd-3f0c-487b-8b60-e5ab1a2bd522</t>
  </si>
  <si>
    <t>79dfb371-cd87-48f3-b542-26db2d39cfe2</t>
  </si>
  <si>
    <t>9a711e91-04d0-4300-8ca8-b4cc07529a56</t>
  </si>
  <si>
    <t>667d2f69-1ba4-427a-96f6-890fc034a3ec</t>
  </si>
  <si>
    <t>9c875b66-4024-487f-b67c-0c175538eb5c</t>
  </si>
  <si>
    <t>93f8c64b-2d55-4784-aca5-077f75a7ee4d</t>
  </si>
  <si>
    <t>3f922527-94d9-4ecb-b160-116ad05db83c</t>
  </si>
  <si>
    <t>253b6d64-91f4-46a2-b05a-a606b0d7b342</t>
  </si>
  <si>
    <t>51a26c5a-ad6d-49de-b902-76b2faa70ee8</t>
  </si>
  <si>
    <t>Otherwise interactive items.</t>
  </si>
  <si>
    <t>34df8770-06c5-4752-a7b6-25d4f64d64dc</t>
  </si>
  <si>
    <t>d8fff9cf-05b9-4aeb-b5b4-0f6bb98b7f2c</t>
  </si>
  <si>
    <t>f938e0a4-fb50-4d69-8b40-18e9bba30a22</t>
  </si>
  <si>
    <t>3b05b86b-4282-4a92-ace7-e323c1fc1d1e</t>
  </si>
  <si>
    <t>f6d1950c-8823-4c90-bcea-466de1a8f336</t>
  </si>
  <si>
    <t>6774f642-6aa3-4756-a07d-a6be51ad6f06</t>
  </si>
  <si>
    <t>27f77a61-a259-4fe2-9d7d-d94d2f0a5bee</t>
  </si>
  <si>
    <t>35308cf1-3480-4a22-be9c-c0f41c3eb14c</t>
  </si>
  <si>
    <t>44bb4707-398c-4a38-9959-eb3052ebabc2</t>
  </si>
  <si>
    <t>db32d957-c708-4694-a863-271e6a9a4676</t>
  </si>
  <si>
    <t>a8491759-fcb1-41bb-8290-035de4bd747f</t>
  </si>
  <si>
    <t>f48ab49f-943b-4702-aabe-e6c17867ec86</t>
  </si>
  <si>
    <t>bd8795e9-7daa-4d92-bac4-93f5dd8f66b2</t>
  </si>
  <si>
    <t>8026e98c-58e7-4fc7-96ec-b188f1b89251</t>
  </si>
  <si>
    <t>fe651984-16d0-428a-bf15-7bee24a31f71</t>
  </si>
  <si>
    <t>a7edf7ca-1999-4d2c-b1bf-035d6e2b9e6e</t>
  </si>
  <si>
    <t>414956be-4aa5-447f-99c0-fb6382881ff5</t>
  </si>
  <si>
    <t>2c5bca7e-8649-4217-9ebb-52b20a506e99</t>
  </si>
  <si>
    <t>d32a68ff-3b6a-4d83-b0c4-0a2c44b93ea9</t>
  </si>
  <si>
    <t>172603c6-0ee4-40f4-9f60-2727e44544d3</t>
  </si>
  <si>
    <t>8e11fada-192f-4042-8c84-dc7b78f32541</t>
  </si>
  <si>
    <t>640302a8-d841-44d6-996d-2addda644306</t>
  </si>
  <si>
    <t>The problem with story items is that quite a few of them might not even spawn at all.</t>
  </si>
  <si>
    <t>Across Acts</t>
  </si>
  <si>
    <t>2a11a29e-ee3e-4ad7-9d06-beb79efea4e5</t>
  </si>
  <si>
    <t>10df0443-eef7-4765-be17-ce2dbb8b3eb5</t>
  </si>
  <si>
    <t>Act One</t>
  </si>
  <si>
    <t>06332bc8-19b5-4f9c-9013-6d433abd78a0</t>
  </si>
  <si>
    <t>55249c82-7b97-4f8b-8fc2-ba0053aa6621</t>
  </si>
  <si>
    <t>f3b79dc6-aa5e-46a9-828e-6f6ce0021c48</t>
  </si>
  <si>
    <t>09d63912-2a69-499e-9497-dc832487e426</t>
  </si>
  <si>
    <t>711d3410-e033-4cc1-b3e2-0e3b3abc9a85</t>
  </si>
  <si>
    <t>5e4aafd4-f56c-4b05-ad5a-00eccdb87d9d</t>
  </si>
  <si>
    <t>bdb98059-e3e3-4411-8b10-59d8b1235339</t>
  </si>
  <si>
    <t>96330d15-fe1a-4179-9b67-5bf5a335d206</t>
  </si>
  <si>
    <t>08712231-9c7c-4a83-8125-289a419e210f</t>
  </si>
  <si>
    <t>784843e5-e89a-4ffb-a556-417ba2018287</t>
  </si>
  <si>
    <t>b0da8ce3-139f-425b-bbce-ae67663b8a2c</t>
  </si>
  <si>
    <t>45a48cf7-baed-4d48-aaf4-1399948314e6</t>
  </si>
  <si>
    <t>1f4f4587-ed01-4a11-ad5c-f9e98e0e7492</t>
  </si>
  <si>
    <t>157b3cd4-c446-4523-a0a8-8bdb8d40a76e</t>
  </si>
  <si>
    <t>326324f9-0920-8f0f-3e85-3781fbf48282</t>
  </si>
  <si>
    <t>0e38339f-bf26-4218-95ba-a80fd3b5cb0e</t>
  </si>
  <si>
    <t>09561b3f-f556-4a01-b289-9b362bc0d43a</t>
  </si>
  <si>
    <t>6557e2a7-ee82-4c5a-a26b-9056e4eb03df</t>
  </si>
  <si>
    <t>a10cb81b-ba44-446b-b736-f26d55475150</t>
  </si>
  <si>
    <t>833be3b9-9492-4c28-aee4-21c64af4e675</t>
  </si>
  <si>
    <t>14ed5f04-c524-41a1-976e-4a857b326e6a</t>
  </si>
  <si>
    <t>8706eab3-e05b-478d-833e-308379972dad</t>
  </si>
  <si>
    <t>ea99e006-80e1-414a-8995-c03d92eaf170</t>
  </si>
  <si>
    <t>bcb0f46f-6e2d-4d87-ad48-2ed276771928</t>
  </si>
  <si>
    <t>b4d60093-28b0-4076-b2f4-c7c3d3aa9d50</t>
  </si>
  <si>
    <t>Act Two</t>
  </si>
  <si>
    <t>1329c22c-d23a-4d31-96b0-6b734074f1dc</t>
  </si>
  <si>
    <t>2c99f1f1-776b-45dd-a9d7-06e6a8e14b3f</t>
  </si>
  <si>
    <t>5279460a-2021-408f-b82d-593478ce3cde</t>
  </si>
  <si>
    <t>03ddecea-d7db-4fda-803b-5c81a0f3493b</t>
  </si>
  <si>
    <t>99d576b9-46b5-4da6-b9c4-197d17c668a4</t>
  </si>
  <si>
    <t>c2e4b6e3-5d33-4cdf-afc0-5b583a1aabf0</t>
  </si>
  <si>
    <t>98282bec-aeaa-4490-ae43-0c27bed58c74</t>
  </si>
  <si>
    <t>fd3fd8a9-a5fc-4726-9b6e-77f5ecf54cea</t>
  </si>
  <si>
    <t>Act Three</t>
  </si>
  <si>
    <t>827df830-08c1-4a7a-8201-8cf7faa6736b</t>
  </si>
  <si>
    <t>9e6fbe35-e0fd-4b3a-be5b-b75935e17fc0</t>
  </si>
  <si>
    <t>c97a9198-0dff-4dca-b2f0-75e680446a4a</t>
  </si>
  <si>
    <t>77cd8eaa-2cde-4a53-bc76-71fb48624406</t>
  </si>
  <si>
    <t>4a82e6f2-839f-434e-addf-b07dd1578194</t>
  </si>
  <si>
    <t>4ece815c-aff2-45c3-8b07-dd3a04454243</t>
  </si>
  <si>
    <t>c554df25-a6dd-4a30-b99d-27ae556dfe41</t>
  </si>
  <si>
    <t>c115ee19-9281-41cb-b2a4-28e2e81696ba</t>
  </si>
  <si>
    <t>d888727b-07cb-482b-84a6-70757ddfcf77</t>
  </si>
  <si>
    <t>78f9c440-f21b-49ef-b800-4419640ea63f</t>
  </si>
  <si>
    <t>b9b087a8-0cb8-4e65-ba26-5c6469ad4669</t>
  </si>
  <si>
    <t>9c3fcbb2-d080-49bd-b88a-4bf48a4080a8</t>
  </si>
  <si>
    <t>506b9031-008b-400e-8102-ef6ef7dbc23f</t>
  </si>
  <si>
    <t>ffc6092a-58a1-4446-a226-84456e87f79b</t>
  </si>
  <si>
    <t>91dcff74-81db-4d14-9242-7f38c3f6b011</t>
  </si>
  <si>
    <t>7a24e183-1870-47b8-add2-720db3bd3758</t>
  </si>
  <si>
    <t>7d0f3b3d-afcf-49a7-af68-b51fbb83a01f</t>
  </si>
  <si>
    <t>a07e15dd-2a7d-4c65-a981-0e6510266168</t>
  </si>
  <si>
    <t>0abb9873-a07e-486b-bf50-60ccd5f8a0a3</t>
  </si>
  <si>
    <t>4bedc6ee-5ea8-4dde-afa8-356b336aa254</t>
  </si>
  <si>
    <t>9be43b61-6cd4-42d7-ad3b-a7febcd68bfc</t>
  </si>
  <si>
    <t>33483035-c9ee-497c-8e05-e2150021946a</t>
  </si>
  <si>
    <t>Keys (Might not spawn at all)</t>
  </si>
  <si>
    <t>59d6b99d-2428-434a-b39f-b4906c563110</t>
  </si>
  <si>
    <t>ee17d9b5-a1dd-418c-a5b6-f96fec082aa0</t>
  </si>
  <si>
    <t>cdc4c618-346d-48a7-abf5-40f15e6e15a2</t>
  </si>
  <si>
    <t>5e2cca79-0258-4832-b7e7-bab4c78624c6</t>
  </si>
  <si>
    <t>145615bf-a922-445a-9a59-15fecefc0b28</t>
  </si>
  <si>
    <t>c817c1c6-fd0e-41d8-9750-93dfe0e85c92</t>
  </si>
  <si>
    <t>ae303ba1-75ab-488b-9ada-cb5aa3c27159</t>
  </si>
  <si>
    <t>7bc87b90-bca1-46fa-bc5f-60d55cd4eb1b</t>
  </si>
  <si>
    <t>b607f9ad-426e-4d0a-81ed-d7ca98a62c75</t>
  </si>
  <si>
    <t>83066fb5-89b0-4dc3-a12e-bf792dbf616a</t>
  </si>
  <si>
    <t>e0cd893b-f15b-49ad-9787-ae6b6366818c</t>
  </si>
  <si>
    <t>71034255-45e1-470a-aafe-2d3c53d6c20a</t>
  </si>
  <si>
    <t>10b27b5c-8aca-4c5a-92b5-94de246cf3cd</t>
  </si>
  <si>
    <t>08d403b4-d1d9-4307-ada8-88986bb69dbd</t>
  </si>
  <si>
    <t>281988ed-4b8e-4b8b-8d16-44b0fe3d48c0</t>
  </si>
  <si>
    <t>9c7c13b1-1507-4193-a0bd-e8137cd7abd1</t>
  </si>
  <si>
    <t>aada9a18-5e3f-4356-a409-a3f6d9f06c5b</t>
  </si>
  <si>
    <t>d4d4c5a2-84e2-4b8f-bbf1-d6ce72316cc5</t>
  </si>
  <si>
    <t>22b18aae-4e45-4d0d-b6c8-2535a10a0354</t>
  </si>
  <si>
    <t>9996f9dd-d0e4-40a4-aef2-000f76449c8e</t>
  </si>
  <si>
    <t>f28a828c-fbad-4c05-8744-d37e5c4fedb7</t>
  </si>
  <si>
    <t>cbc464dd-bfb7-4565-b596-c48940fce86a</t>
  </si>
  <si>
    <t>a055e810-8fd3-4800-9027-a4ec55d0fdb0</t>
  </si>
  <si>
    <t>86335a11-3e98-40f5-aa9d-9a6205063bd7</t>
  </si>
  <si>
    <t>abbdb079-3613-4cd8-ba11-547abd05433e</t>
  </si>
  <si>
    <t>24648a3d-fc5b-4b92-86c1-4b22353e1064</t>
  </si>
  <si>
    <t>a74d15b3-8bf9-4468-a5c2-d53f205e02ec</t>
  </si>
  <si>
    <t>82df88e8-f42f-4dd7-bb11-34b8bed5e622</t>
  </si>
  <si>
    <t>dbc85ee4-6b99-43d9-9ebe-41b356509d17</t>
  </si>
  <si>
    <t>8574cfbf-a6b2-47e7-8edf-8f65c391dffb</t>
  </si>
  <si>
    <t>55589218-bcab-458a-a9d1-fe89e0696e0a</t>
  </si>
  <si>
    <t>69b8aef9-e713-4831-90b9-eceb99c62c54</t>
  </si>
  <si>
    <t>ed11fd94-629c-43c0-83e1-299f4bd18ac7</t>
  </si>
  <si>
    <t>a7a31259-8e33-4fb7-810b-028de14b3571</t>
  </si>
  <si>
    <t>c9fbc253-f51f-46aa-bfb0-52a470348729</t>
  </si>
  <si>
    <t>186ecca4-3023-4433-9716-8f1752513afa</t>
  </si>
  <si>
    <t>7dc7ffb6-1c83-491a-958b-193db900337d</t>
  </si>
  <si>
    <t>ff80570a-4ef8-48f6-8d18-8a6971aeddea</t>
  </si>
  <si>
    <t>fd0f0382-7f4b-460d-913c-dd3fe27441e9</t>
  </si>
  <si>
    <t>fd951ed9-4693-483f-b36c-6247f464a69b</t>
  </si>
  <si>
    <t>8ca3ab16-5b42-45bd-82e3-abbfcc2cafda</t>
  </si>
  <si>
    <t>587fc7a2-5fa6-4193-b7fd-4f8ce7f29b31</t>
  </si>
  <si>
    <t>0ce654c7-e4e6-4613-878e-c534a4141d9e</t>
  </si>
  <si>
    <t>1e638e23-69e3-422f-b484-2f5481b22df3</t>
  </si>
  <si>
    <t>2216f1d2-8984-4ebd-a202-eac494510a1a</t>
  </si>
  <si>
    <t>21ce131e-96fe-4d24-9883-ec891f8a529c</t>
  </si>
  <si>
    <t>2abb3c1d-06c5-46b5-a379-9b212c71296b</t>
  </si>
  <si>
    <t>52babaa9-60e0-4919-b523-4c0d916a0cc9</t>
  </si>
  <si>
    <t>34ae083f-fe59-45f9-9ed0-be94feab3b22</t>
  </si>
  <si>
    <t>7459b479-f690-4be4-b394-9caaa314ed84</t>
  </si>
  <si>
    <t>3bb8470f-a2d7-4fb4-9ba4-009293a2db1b</t>
  </si>
  <si>
    <t>761d5d86-ecc1-455e-925f-271e4ab5dcc4</t>
  </si>
  <si>
    <t>ed764748-69da-4265-9e97-1326fcc7ab5c</t>
  </si>
  <si>
    <t>85ebe2f5-bd31-420e-bb23-81f85466c774</t>
  </si>
  <si>
    <t>6499560e-4790-4aab-97a0-c0989088a8cb</t>
  </si>
  <si>
    <t>54d5b4f3-2bf3-47b5-8bb5-19e976a821e6</t>
  </si>
  <si>
    <t>800281a1-9f07-404c-b780-f4c0d4eb1229</t>
  </si>
  <si>
    <t>66ce4fe6-4221-4c85-8510-a73c488b31b9</t>
  </si>
  <si>
    <t>984c17f8-54fc-4ebf-9458-861bda739afe</t>
  </si>
  <si>
    <t>abe2438d-de02-417e-8bd8-a13666f3cfb5</t>
  </si>
  <si>
    <t>f5a11568-3b19-476a-8109-d6b21ef79b24</t>
  </si>
  <si>
    <t>0bf878b0-264b-4d5b-a23b-d306ad7acd54</t>
  </si>
  <si>
    <t>5e1efd00-6b9c-4b6a-b137-c56cff5ff27b</t>
  </si>
  <si>
    <t>89c09bcd-2d02-4db7-911b-beb45800f03e</t>
  </si>
  <si>
    <t>088989f1-3dce-46a1-a2fe-69b5181140d7</t>
  </si>
  <si>
    <t>1cd81705-496e-4b0b-adc7-3c14ab2eedb4</t>
  </si>
  <si>
    <t>9cdb5b29-44e6-471e-ba45-8c201aebd698</t>
  </si>
  <si>
    <t>405d1928-cf23-41b8-bcf8-5be3709c4010</t>
  </si>
  <si>
    <t>2f1b990a-2d23-49fb-b1e0-dd06a6ea8739</t>
  </si>
  <si>
    <t>f79eeb06-bdc2-4b43-8a56-f15fa00cc716</t>
  </si>
  <si>
    <t>e1068cbf-5a42-4d8c-b739-709cf9163401</t>
  </si>
  <si>
    <t>d377fa14-70f3-45fd-906c-701480238cc1</t>
  </si>
  <si>
    <t>153914ed-3911-4bd3-9924-b854af8e8fa6</t>
  </si>
  <si>
    <t>5a5e74c3-4f58-46b4-9cb9-476a791d91ec</t>
  </si>
  <si>
    <t>76c54c18-f209-42e1-8565-42f22fcf7d83</t>
  </si>
  <si>
    <t>a8399b29-4e8f-4f1d-9795-46d04cfaa16b</t>
  </si>
  <si>
    <t>461f5a98-a562-4eff-873f-879e304e41f8</t>
  </si>
  <si>
    <t>64562195-8080-4bf3-8e93-13962871db85</t>
  </si>
  <si>
    <t>d6b3b2a7-fbb1-4b57-a706-bdc7f1bbd9ae</t>
  </si>
  <si>
    <t>8ab130ef-4fad-4bfe-b667-f4a73c1c36c0</t>
  </si>
  <si>
    <t>f03a5a82-8f28-4baf-aac5-c3d5e5a19154</t>
  </si>
  <si>
    <t>ac526b42-14ba-4f00-9bd6-83d4019136da</t>
  </si>
  <si>
    <t>24559c1d-9237-4bb7-b042-ce50dbb62b2d</t>
  </si>
  <si>
    <t>65a0a19b-26b5-46e6-afec-8013174b23b9</t>
  </si>
  <si>
    <t>11519770-312a-4f84-a36e-84eca1f7b284</t>
  </si>
  <si>
    <t>166460a6-6f1e-464b-9d30-9a74d8fc46a8</t>
  </si>
  <si>
    <t>69273bd3-bcbf-4791-adc4-8efc2a08acb8</t>
  </si>
  <si>
    <t>95fe2283-1e0d-4171-abb6-71dd08b3c4e3</t>
  </si>
  <si>
    <t>854b75cb-1d5f-44d3-91f8-fc3be0f54176</t>
  </si>
  <si>
    <t>1989709c-67b7-4ef1-9757-dc47deb31cde</t>
  </si>
  <si>
    <t>d9b7ec6c-1cfa-4c49-8999-8d2fba1e0306</t>
  </si>
  <si>
    <t>f09fc268-ff3c-4cca-ba8b-e2f1158eca01</t>
  </si>
  <si>
    <t>7a017921-e078-4123-9a08-bda5ecec6807</t>
  </si>
  <si>
    <t>ff3a0e59-5525-4c97-aabd-8395106e1f33</t>
  </si>
  <si>
    <t>e05c1703-dd13-48ba-8b09-bebfb5fff625</t>
  </si>
  <si>
    <t>abd1a0cb-5365-4259-98ac-0dbcf5451c35</t>
  </si>
  <si>
    <t>e928f551-7e26-43a4-bc15-72c13be22754</t>
  </si>
  <si>
    <t>67410085-0865-4b5d-9d65-2e7b7ed80697</t>
  </si>
  <si>
    <t>ee17902e-74dc-4118-a271-ddaa383c95a7</t>
  </si>
  <si>
    <t>0552450d-a49b-4a7a-acbc-8b298929f27d</t>
  </si>
  <si>
    <t>f9278612-6a22-40ef-bf12-e2cdf00fe534</t>
  </si>
  <si>
    <t>04464567-33b2-4df9-8c61-25788aab102b</t>
  </si>
  <si>
    <t>64d077e4-b277-4681-9f69-61d37d009c6b</t>
  </si>
  <si>
    <t>1ba12cad-591b-4b0e-9ca0-046f1bf5160b</t>
  </si>
  <si>
    <t>3d6b97e3-2f7c-41c2-87a5-fb8fc51c0632</t>
  </si>
  <si>
    <t>980fbcc9-6bdc-4957-a3f3-3784078b31ef</t>
  </si>
  <si>
    <t>9d3de6ea-df9e-4eda-ac2d-939bc1149223</t>
  </si>
  <si>
    <t>a97f0631-98e7-453e-b892-999bf4088ed6</t>
  </si>
  <si>
    <t>90c30dfe-fde3-4bc9-8772-253cdea75c28</t>
  </si>
  <si>
    <t>3ecdb967-7240-42aa-b051-039b9e343c9f</t>
  </si>
  <si>
    <t>780c949d-70ef-4241-822a-a659bfee672c</t>
  </si>
  <si>
    <t>f79fe1b2-25e0-402e-8b79-7701e56375fb</t>
  </si>
  <si>
    <t>60f1bfca-020f-4a54-99eb-3a67ec9f496c</t>
  </si>
  <si>
    <t>41bbd94d-975b-42ef-9d61-214a8fab55d0</t>
  </si>
  <si>
    <t>a629d82e-82ba-4fd0-b2b9-de10e0b40e13</t>
  </si>
  <si>
    <t>0519bffd-55d0-47be-a39f-d24f10260b56</t>
  </si>
  <si>
    <t>bc270919-f0a6-4e7e-b3ea-431e51f5b5aa</t>
  </si>
  <si>
    <t>2fab908b-aca2-4e1e-8611-4e42c55263e3</t>
  </si>
  <si>
    <t>7f5b6373-71d8-47fb-aa12-574ed005ed20</t>
  </si>
  <si>
    <t>1adad160-50ee-4027-b786-403a793d36a0</t>
  </si>
  <si>
    <t>436e17a3-3855-416e-a03e-33fa6649d6df</t>
  </si>
  <si>
    <t>6b5e6612-3f8d-4933-9f1d-9ca6af06e0f2</t>
  </si>
  <si>
    <t>fae075d1-bbb7-4288-9566-b2c1ff5c8e98</t>
  </si>
  <si>
    <t>77bb533f-e101-48a8-b9ef-e37e61d7dc65</t>
  </si>
  <si>
    <t>300ecfa6-98db-4176-a011-9428d54c7223</t>
  </si>
  <si>
    <t>2705670f-65c4-449d-b80d-af37852ecf5f</t>
  </si>
  <si>
    <t>3228b4b9-75bf-4ed7-ab74-4041195af33c</t>
  </si>
  <si>
    <t>09e06316-54b5-4630-8e19-e4430a8e6dc3</t>
  </si>
  <si>
    <t>bd6d32e6-4209-4e1f-a0fe-ebf830681abd</t>
  </si>
  <si>
    <t>c1c052b5-1353-4833-bc02-363a254e247b</t>
  </si>
  <si>
    <t>0843e8f9-d9b6-4c11-a870-566d9c1f8bcd</t>
  </si>
  <si>
    <t>e26dd31f-5adc-4ca0-90b9-dd0ab8d62fcd</t>
  </si>
  <si>
    <t>1a00cf0b-e8ea-467f-b122-0bea5f0c3ff2</t>
  </si>
  <si>
    <t>8baa6d5d-ad19-4328-a1ca-2074c7b7732e</t>
  </si>
  <si>
    <t>b022b127-df51-4620-91fc-2ed63d2ed90d</t>
  </si>
  <si>
    <t>d2c9c975-2965-4bd0-bdfe-d729d0293d4b</t>
  </si>
  <si>
    <t>cc457a3c-7c97-4162-9cfa-4027505853e5</t>
  </si>
  <si>
    <t>ad61e4e4-f4af-4d8e-87d3-37dd310a5c3f</t>
  </si>
  <si>
    <t>d7fdb70e-75b3-487a-8ece-3e7d4b3a8370</t>
  </si>
  <si>
    <t>5101d4bc-8c5e-401b-815a-520449e9a11e</t>
  </si>
  <si>
    <t>20ac6884-ee0b-4912-ab13-94eb04028cb0</t>
  </si>
  <si>
    <t>5800deab-10e2-4f78-9077-3b3d4d283fb6</t>
  </si>
  <si>
    <t>2ad29cbb-fa1d-438f-a23b-a01e60a38401</t>
  </si>
  <si>
    <t>f0fc9761-2f4b-4cf5-9458-d4db9acbdbc1</t>
  </si>
  <si>
    <t>632bd4d3-95ae-47f9-af1a-4f81f1c7abf4</t>
  </si>
  <si>
    <t>1cebc693-c34f-4eef-a4b1-7571a3c5558a</t>
  </si>
  <si>
    <t>d9cf4a58-af56-4f4d-86b7-b94f8b1d42b2</t>
  </si>
  <si>
    <t>62dda6b7-2992-488b-8ae7-07b82750e0cf</t>
  </si>
  <si>
    <t>6fb666cd-8134-4194-be0d-d42398fd39f0</t>
  </si>
  <si>
    <t>8401b62b-8802-4ab3-99a9-64433b5524e7</t>
  </si>
  <si>
    <t>25a7818f-fb4e-4ce1-b00d-fe712369612f</t>
  </si>
  <si>
    <t>87306996-4ae0-4d45-b843-313a830b33d5</t>
  </si>
  <si>
    <t>d2f3647f-0331-4ebd-8b02-f428dc799d29</t>
  </si>
  <si>
    <t>112bfde1-e48b-4f12-a95f-11fddd65ab7a</t>
  </si>
  <si>
    <t>4030d903-9ea7-4017-b712-7aab6130da67</t>
  </si>
  <si>
    <t>291662b7-f0f1-404f-9de5-54e308748d64</t>
  </si>
  <si>
    <t>9fdf22b0-925c-4173-881c-55c51baa2206</t>
  </si>
  <si>
    <t>f76e7439-685b-42b0-a845-abae3b326470</t>
  </si>
  <si>
    <t>190b488e-5395-4d3d-911c-58d1f8700a81</t>
  </si>
  <si>
    <t>2ce28af9-743e-440f-a82b-be73e7285de6</t>
  </si>
  <si>
    <t>896952b3-ae61-4a22-be68-9e80979f5ee1</t>
  </si>
  <si>
    <t>83153495-02c0-492c-9231-e1c9cb005b76</t>
  </si>
  <si>
    <t>d1682300-dc03-43c3-83c4-e45631f4f836</t>
  </si>
  <si>
    <t>ed975e0e-8da3-4d17-9e26-8f461ef2af2b</t>
  </si>
  <si>
    <t>fcb747ad-bfaf-4909-bb2b-594e44b5d0cd</t>
  </si>
  <si>
    <t>e9c14645-c52b-4c0d-b928-aaa84ba043a4</t>
  </si>
  <si>
    <t>23970fb8-fa47-4132-b4e4-7241744a5650</t>
  </si>
  <si>
    <t>9a4382e3-6b8d-40b9-b92b-824f9c4ea9ca</t>
  </si>
  <si>
    <t>3e1a271d-3bb3-4a6f-9a84-c9b1d5c62700</t>
  </si>
  <si>
    <t>23f9fe30-89af-41f1-8e9d-43276f636383</t>
  </si>
  <si>
    <t>532f3df5-e42d-4dcb-acb7-0d95865dea7c</t>
  </si>
  <si>
    <t>361f8e4c-d2e6-4efe-b603-16e591aefa18</t>
  </si>
  <si>
    <t>c8aea92c-3d69-4a66-a3df-7d5eebca33d2</t>
  </si>
  <si>
    <t>21d54bcd-9d1b-4f07-9975-9458001b0012</t>
  </si>
  <si>
    <t>592a4157-1b4d-483c-a86b-9900f980e961</t>
  </si>
  <si>
    <t>fe438134-4649-4661-81ba-aaee57001826</t>
  </si>
  <si>
    <t>440244c3-ab77-4e7d-b43d-0b6591b4be7e</t>
  </si>
  <si>
    <t>1d1965dc-ae73-4a8f-aca1-cfe8465d4ab4</t>
  </si>
  <si>
    <t>2561ddc7-2ca4-409d-aea4-0dcf481722eb</t>
  </si>
  <si>
    <t>d9f6a4d9-e944-409c-aac2-fd0fb2ce9db6</t>
  </si>
  <si>
    <t>605e8b8b-a53c-4941-9079-0c6fddc35a0d</t>
  </si>
  <si>
    <t>c3daa5ff-0f98-4cff-adcf-cb9cf9d8f993</t>
  </si>
  <si>
    <t>d09715be-6cdc-4090-809d-37fd50f74f74</t>
  </si>
  <si>
    <t>386113a1-43b9-407c-941d-f485eff30b9c</t>
  </si>
  <si>
    <t>3576ad38-6d0d-4e22-b5b4-4cabb937a167</t>
  </si>
  <si>
    <t>afda0da3-ed3e-4464-b305-e9399a9ed455</t>
  </si>
  <si>
    <t>2b89aef4-8c83-48a5-a72b-d8615ee96785</t>
  </si>
  <si>
    <t>c8feace1-e292-4fb9-bb98-2bae35020fc5</t>
  </si>
  <si>
    <t>ad360ff8-c563-4ced-b3df-cb20e0ee4289</t>
  </si>
  <si>
    <t>81c1aa56-f1cb-43b6-925c-a53c613ed35e</t>
  </si>
  <si>
    <t>3d7e3104-8788-4d8c-bf90-b1145d7596e4</t>
  </si>
  <si>
    <t>bd566ba9-9b66-44d0-8834-34182d8e1afa</t>
  </si>
  <si>
    <t>77dbd7d8-a512-4a8b-8152-635cd7142a2f</t>
  </si>
  <si>
    <t>2d795d84-6293-4010-9fe0-e82f77bf10db</t>
  </si>
  <si>
    <t>16cb6f4c-306a-4d4a-9cbf-d8dd522fb327</t>
  </si>
  <si>
    <t>21727b7b-1ed0-40e8-a329-1daa1cec511a</t>
  </si>
  <si>
    <t>c7906b00-3ecb-4e16-8f5e-552d3b9b5b9f</t>
  </si>
  <si>
    <t>0131ba2b-4ca1-48c5-9d72-534ec6275f15</t>
  </si>
  <si>
    <t>d2f08a74-8e8a-413a-b17e-da0bbfb4492f</t>
  </si>
  <si>
    <t>bd652e24-9a79-4330-8af0-13499805afb1</t>
  </si>
  <si>
    <t>d6622a6a-47a5-4fd3-8dc1-4fae24099ecb</t>
  </si>
  <si>
    <t>badfe1fe-ef67-4874-9263-3f1a4f4f41de</t>
  </si>
  <si>
    <t>b5d480b0-a0f2-4b69-a9a6-f4bbf7f7279f</t>
  </si>
  <si>
    <t>536107bd-277b-42bb-8eaf-2b787123615c</t>
  </si>
  <si>
    <t>a5ea7cd3-6599-40e5-b609-50056b65a361</t>
  </si>
  <si>
    <t>1558e201-8a0b-480b-93b4-27107d7b1604</t>
  </si>
  <si>
    <t>21c8402c-392c-4b15-b51c-cdbb3a506019</t>
  </si>
  <si>
    <t>d4dd3f37-1a25-4654-9528-2b5775ea0a6a</t>
  </si>
  <si>
    <t>59e66412-2a14-4bfd-97df-f3a7b5fb0840</t>
  </si>
  <si>
    <t>3093aa62-98a2-44c1-aa5f-1d1966cf94e2</t>
  </si>
  <si>
    <t>03f0e9fc-7df2-4599-8764-5c5e4003e52d</t>
  </si>
  <si>
    <t>7ccd0e19-4546-435b-b704-8e20efc79196</t>
  </si>
  <si>
    <t>3c28b4d6-df28-4a36-90de-09bb1161743c</t>
  </si>
  <si>
    <t>3f0eee91-d773-4b70-bfe2-c859e4c57450</t>
  </si>
  <si>
    <t>999ae35e-2bad-42ab-9ebb-d361d1a7a1cf</t>
  </si>
  <si>
    <t>27302fcd-c10a-42c3-8aaa-fab8983ea335</t>
  </si>
  <si>
    <t>71d03c8b-7cd4-4e8b-896f-bfe0223ead13</t>
  </si>
  <si>
    <t>9f5db85d-f7f1-4083-8371-bddf5efc0ccb</t>
  </si>
  <si>
    <t>Alchemy Ingredients  (Bundles of 15)</t>
  </si>
  <si>
    <t>1e6070d3-74e5-4c42-933a-2f151e6b5a0f</t>
  </si>
  <si>
    <t>691da3f8-0fca-4aa9-b5cd-89bc96e3cc74</t>
  </si>
  <si>
    <t>fb318355-d2d9-48c5-8ef1-d0e574cef0d5</t>
  </si>
  <si>
    <t>0970e30e-f26a-4050-9f48-13923163d7b9</t>
  </si>
  <si>
    <t>74e9637a-ed03-4072-897c-7539786340e3</t>
  </si>
  <si>
    <t>897f5ff9-d889-4b78-a1d7-afa88ccaadb3</t>
  </si>
  <si>
    <t>b3baa987-efe1-4cec-b290-74408d6d4771</t>
  </si>
  <si>
    <t>bc79fef0-6e8d-4703-9ed6-caa9abda3212</t>
  </si>
  <si>
    <t>e9f6d6d3-bd95-414d-903a-b697bb222ae7</t>
  </si>
  <si>
    <t>9c943199-0b97-45b4-8915-a8aa9399125b</t>
  </si>
  <si>
    <t>4c7df0ef-2262-472f-af6e-9289a78cf371</t>
  </si>
  <si>
    <t>79959650-9482-422a-b25b-c5830118612d</t>
  </si>
  <si>
    <t>b964697f-1f1d-48d5-8772-d5edfdd0ed39</t>
  </si>
  <si>
    <t>c9f4a4f1-7d4e-4958-bc7a-bd7d5dfbd161</t>
  </si>
  <si>
    <t>61edb466-ed1c-4225-aed6-ebeae9c19247</t>
  </si>
  <si>
    <t>63a8a0ba-82fe-4f5d-9224-1330dd15c042</t>
  </si>
  <si>
    <t>12126dc3-50ce-48cd-836f-c4d769a85134</t>
  </si>
  <si>
    <t>8f7f7240-0218-4aa9-b849-bc2f57e21b5e</t>
  </si>
  <si>
    <t>19c9becf-ab0e-4e2f-9253-12456ff9b465</t>
  </si>
  <si>
    <t>31a1344c-0e53-4738-a338-477a33405115</t>
  </si>
  <si>
    <t>001f36eb-a95b-455c-9fb7-ed6ae5f071b8</t>
  </si>
  <si>
    <t>25940d8a-110b-4f0e-82df-af8c6b15fb34</t>
  </si>
  <si>
    <t>95119b16-2001-4f9e-9cd6-5e422e8b73c6</t>
  </si>
  <si>
    <t>a9297f74-af38-4442-8702-8cbb9af6af72</t>
  </si>
  <si>
    <t>d78bb918-7cd2-4507-ab0d-e1b817f4bc4c</t>
  </si>
  <si>
    <t>7860b790-b34f-4569-9da7-d8657e60551e</t>
  </si>
  <si>
    <t>876b106b-57f3-4d9f-9859-e3d840e922bd</t>
  </si>
  <si>
    <t>f4ed5a49-9b95-4e99-b58e-a0a85bf1fc2d</t>
  </si>
  <si>
    <t>38808280-6ae5-4d99-b3c5-6381633df693</t>
  </si>
  <si>
    <t>b899c719-a20e-43d9-8512-30298717e52d</t>
  </si>
  <si>
    <t>0fc46120-a4fa-4787-8c70-5fdcd2308690</t>
  </si>
  <si>
    <t>81e32e6d-35f5-4595-bcc8-b7192ef02868</t>
  </si>
  <si>
    <t>d8ecc728-bfd9-401d-9dcd-ac87ea3b7e0e</t>
  </si>
  <si>
    <t>7483130a-0b77-499e-be31-487811203af1</t>
  </si>
  <si>
    <t>6f023cc2-467c-4931-90af-ba0c3f751eee</t>
  </si>
  <si>
    <t>0a494c98-84c0-4055-8208-0e363bd53ed3</t>
  </si>
  <si>
    <t>663fb1db-da77-41ab-baa9-312a78b198b8</t>
  </si>
  <si>
    <t>a0776643-f25b-4aef-a025-bff959d8dd0f</t>
  </si>
  <si>
    <t>11f6de17-4682-419c-808f-8a328d2cce15</t>
  </si>
  <si>
    <t>7a164775-4a77-47a4-a8b2-5bd5bdc311cf</t>
  </si>
  <si>
    <t>d166bccb-5613-40e4-b611-c350b7e129c5</t>
  </si>
  <si>
    <t>540e8376-f6ac-4261-a920-f288abf176e1</t>
  </si>
  <si>
    <t>afba7d49-658a-4f8b-89e0-8795292868a7</t>
  </si>
  <si>
    <t>ee2faf6e-2af2-4eb9-aee4-94aedab7e81b</t>
  </si>
  <si>
    <t>e9d39b0d-bcd6-4b5b-9d54-c68b3b650b54</t>
  </si>
  <si>
    <t>16c583b8-4729-4603-aeee-d224bf645653</t>
  </si>
  <si>
    <t>6f41c4eb-ce25-47f9-8702-ae81a3da7cb8</t>
  </si>
  <si>
    <t>b7cf1a87-b128-4282-ba38-eb884875d725</t>
  </si>
  <si>
    <t>a09f8033-f5d8-44de-97ad-09499d967989</t>
  </si>
  <si>
    <t>44eaf801-ed52-4322-ae70-31258dd93c82</t>
  </si>
  <si>
    <t>1db12e7c-e88b-4151-af11-4e2010ef319d</t>
  </si>
  <si>
    <t>0180607d-dbf8-48e6-98d9-89e67aa9f13a</t>
  </si>
  <si>
    <t>1524e46d-179d-4785-99ce-f515e1c52e32</t>
  </si>
  <si>
    <t>8e2dd06c-c62f-4235-b0f8-f353c6b1ec9d</t>
  </si>
  <si>
    <t>714a8375-9eb4-438d-a191-f5b4b1e86cc3</t>
  </si>
  <si>
    <t>62b7589c-3daf-4141-bbec-6c17b7f427d9</t>
  </si>
  <si>
    <t>cfdb70fc-7fc1-4f18-9317-79704886e4d9</t>
  </si>
  <si>
    <t>cc01a1b5-f43e-425d-9a7b-b929ed5faf53</t>
  </si>
  <si>
    <t>8037a20b-a2bf-41c9-b509-bb6b455c778c</t>
  </si>
  <si>
    <t>0a64fa93-9123-4810-a656-2c8b27c87563</t>
  </si>
  <si>
    <t>4faa8cef-27ee-4085-aa90-78fcf8e2e72d</t>
  </si>
  <si>
    <t>2daaea29-7606-4f81-8d83-7285a2948bb1</t>
  </si>
  <si>
    <t>247e7543-f8e6-477e-af66-550996e9131f</t>
  </si>
  <si>
    <t>a8231611-b876-4ef8-8166-12680f014349</t>
  </si>
  <si>
    <t>7a8e6286-82f8-47f8-a576-b91996542a39</t>
  </si>
  <si>
    <t>87d2b517-1777-4bee-96be-f79ba52edfcc</t>
  </si>
  <si>
    <t>Alchemy Extracts (Bundles of 15)</t>
  </si>
  <si>
    <t>a31d379e-b7fa-4d2b-bf16-80347e9f4a23</t>
  </si>
  <si>
    <t>fc04bc03-be3e-4cdb-901a-f6d33a537967</t>
  </si>
  <si>
    <t>ea7e0cc0-fe51-43b0-ba8b-4d955ec58941</t>
  </si>
  <si>
    <t>3b31efae-7361-4ccc-a9e3-bf8b82e9f36d</t>
  </si>
  <si>
    <t>290c1dbc-08e8-45dc-bfb0-f45dc5bb87e2</t>
  </si>
  <si>
    <t>eb9ac491-ef6b-4163-9819-b91d11a7d6f2</t>
  </si>
  <si>
    <t>3bb0fa56-00e5-4a22-b6d5-641d7fd811d3</t>
  </si>
  <si>
    <t>e30f5da5-3195-4105-84de-4054f48e2ec2</t>
  </si>
  <si>
    <t>314a234e-549d-41c0-992a-5a3765215eec</t>
  </si>
  <si>
    <t>13aa0c56-538e-4a7c-a4d1-115e2704a274</t>
  </si>
  <si>
    <t>69e2d2d1-3617-4f8b-8c40-3eb0ad71f521</t>
  </si>
  <si>
    <t>a9ef5d89-a2e0-49b4-b9ab-8a3b75e85a45</t>
  </si>
  <si>
    <t>8994ae94-f6a4-479f-9dbd-75b6913a3a0e</t>
  </si>
  <si>
    <t>75f47914-f32c-4845-876d-e152ddfc3014</t>
  </si>
  <si>
    <t>83b2f9b8-9f69-41c3-a2b8-d3b34fea9f33</t>
  </si>
  <si>
    <t>36e1bfca-e983-458c-8eb7-597af32f7644</t>
  </si>
  <si>
    <t>8f392687-af6e-491d-891f-0c3e6627a7c5</t>
  </si>
  <si>
    <t>c335c7b7-7495-48ec-b1cb-b2218e1dc6f3</t>
  </si>
  <si>
    <t>ebad980-402d-4178-84dd-e41bb10155ce</t>
  </si>
  <si>
    <t>cecf2e17-8922-45b7-8841-f49415b9a688</t>
  </si>
  <si>
    <t>6f7be25a-a0eb-4b98-81e6-56f35c25b2c1</t>
  </si>
  <si>
    <t>8fc068d8-7a56-42a6-8a48-91f0b9fbf303</t>
  </si>
  <si>
    <t>9047c28f-7eee-4268-94e0-9144a4864175</t>
  </si>
  <si>
    <t>ea8bc956-7834-4618-af70-0ea0c8f9ea37</t>
  </si>
  <si>
    <t>a2f0c692-183f-42dd-8ee5-545f18820a7e</t>
  </si>
  <si>
    <t>a1e2a4f8-7af0-4379-a2c2-f0ab5ee84b05</t>
  </si>
  <si>
    <t>b707f039-af1d-456d-a606-1604f1d776c1</t>
  </si>
  <si>
    <t>fdf1889d-ae81-43a9-8848-74c6edea2b37</t>
  </si>
  <si>
    <t>d85f7014-8063-4eaa-a904-f51cbf59cff6</t>
  </si>
  <si>
    <t>19d0c788-596c-4893-ac4a-bd609ed69753</t>
  </si>
  <si>
    <t>79eba88f-c3a8-481a-84e3-304354b6725c</t>
  </si>
  <si>
    <t>36e2ac7a-5799-4949-8cc6-0d9ea1818dbe</t>
  </si>
  <si>
    <t>4416dcc3-c469-4e59-90db-ba9a3ac05846</t>
  </si>
  <si>
    <t>9a35caa4-86f4-4542-b46d-9550e815618d</t>
  </si>
  <si>
    <t>f3f194fc-7a13-4e01-89fd-cf1cafb17297</t>
  </si>
  <si>
    <t>ec632c57-bc8a-4f01-940b-b985adc58336</t>
  </si>
  <si>
    <t>c5e1a9c9-a691-494b-ae3d-d290198b3f6d</t>
  </si>
  <si>
    <t>8d1080b3-e1d8-4c71-9dfb-459c4600fef5</t>
  </si>
  <si>
    <t>e922193d-916c-4f70-9ec6-15e29e6f5314</t>
  </si>
  <si>
    <t>824f8096-3bcd-4c2e-aff7-3aa07c396ae1</t>
  </si>
  <si>
    <t>4ee2434e-ca76-4e96-926b-49f7a20004c3</t>
  </si>
  <si>
    <t>a85d14c0-7144-49bd-8664-b24ba4ef0fff</t>
  </si>
  <si>
    <t>921111eb-7ae5-466f-b9ff-4ad66ffcc2d6</t>
  </si>
  <si>
    <t>50b5475a-7f63-45d5-8158-6cdc8c6de31c</t>
  </si>
  <si>
    <t>95356040-914c-4efa-8e5c-6555ce56db50</t>
  </si>
  <si>
    <t>c838bd3d-9943-44dc-8903-35d30ae6e385</t>
  </si>
  <si>
    <t>10db3d0b-b798-471f-81b6-58395adff3fa</t>
  </si>
  <si>
    <t>b00e1d1b-4421-4711-8de3-6ef15d0117b5</t>
  </si>
  <si>
    <t>5f98a738-6249-418f-b50a-e478477962a0</t>
  </si>
  <si>
    <t>bde5ba94-db83-4855-adcb-ba585416d37f</t>
  </si>
  <si>
    <t>d08620da-0fa0-413a-88e7-631f901c568e</t>
  </si>
  <si>
    <t>081204a7-83e3-4d8d-8609-cb70008d8736</t>
  </si>
  <si>
    <t>b2730900-61b4-4ffe-9fbe-c77f128d7f17</t>
  </si>
  <si>
    <t>d0886ef5-a9a3-4e2a-af6c-753f757dce6a</t>
  </si>
  <si>
    <t>73b78376-2690-4f14-bc68-e1f52a9004b1</t>
  </si>
  <si>
    <t>09bf68c6-db55-4405-b6dd-ba2d9a38e1ca"</t>
  </si>
  <si>
    <t>1d4227ab-0f38-48fe-bee0-e15b0118fc55</t>
  </si>
  <si>
    <t>a9023a22-3d82-414a-aefc-e29fc5ca9f67</t>
  </si>
  <si>
    <t>b651dd4e-121f-4cb1-9bb0-975e07ab7df1</t>
  </si>
  <si>
    <t>b342d1bf-2c36-40e4-bd29-1d5b7fb25c5a</t>
  </si>
  <si>
    <t>60dcc511-946e-4bc0-9127-ac7fefab7df2</t>
  </si>
  <si>
    <t>a602b074-9743-4ef8-b9ed-e8ba9aa68949</t>
  </si>
  <si>
    <t>a6015724-3ee4-4398-b157-a33b1024a7d4</t>
  </si>
  <si>
    <t>8d9e5180-6120-45a5-a464-7b9a461a4343</t>
  </si>
  <si>
    <t>Dyes:</t>
  </si>
  <si>
    <r>
      <rPr/>
      <t>You should really use the "</t>
    </r>
    <r>
      <rPr>
        <color rgb="FF1155CC"/>
        <u/>
      </rPr>
      <t>Easy Dye</t>
    </r>
    <r>
      <rPr/>
      <t>" mod to color items. Way faster, and you can even make up your own color schemes and save those.</t>
    </r>
  </si>
  <si>
    <t>1dec170b-101f-457b-b22d-8d38c45168c7</t>
  </si>
  <si>
    <t>02bb51c0-00e5-408c-8e11-8de7b9580c04</t>
  </si>
  <si>
    <t>bb108620-186f-4a00-b7de-af9329d5497b</t>
  </si>
  <si>
    <t>94ef7170-1c1d-489a-9c18-55209d864e3a</t>
  </si>
  <si>
    <t>81512e6c-dbe4-451c-b5cc-7268656444c1</t>
  </si>
  <si>
    <t>2292d37f-7cb2-4458-83c6-1f2e48ffa23e</t>
  </si>
  <si>
    <t>a4c2594e-33a6-49b2-ab6f-e992a3e0257e</t>
  </si>
  <si>
    <t>17f6e66e-1c23-41d2-9370-3bd9a5a90b4a</t>
  </si>
  <si>
    <t>3336e3a5-0be1-407d-9c37-01536bb2e6c5</t>
  </si>
  <si>
    <t>eedbd9cc-5072-47fd-90a6-36a24c435620</t>
  </si>
  <si>
    <t>23899dcd-8f27-4144-b29d-ae61eaacd8c3</t>
  </si>
  <si>
    <t>808cd643-ac73-415c-8ed8-0a81b8b71dd8</t>
  </si>
  <si>
    <t>7ac1bb07-e494-42d2-bb8d-6bf9e553a52a</t>
  </si>
  <si>
    <t>dfb0bd5d-e4ed-4bd3-bcfe-45195260e7dc</t>
  </si>
  <si>
    <t>19c7bbb1-29f5-4ec9-a72c-74a73318f8da</t>
  </si>
  <si>
    <t>ea46200e-001b-45a1-b1d9-20920e747ba2</t>
  </si>
  <si>
    <t>10e79bfb-c448-4af4-a153-bf3d19f83c62</t>
  </si>
  <si>
    <t>e6f417bd-9d84-416f-8c96-5a6917977b77</t>
  </si>
  <si>
    <t>ffdb4490-cbaf-4eac-97f8-893564d7ead9</t>
  </si>
  <si>
    <t>5adba582-b552-4850-9be9-c6e28f656675</t>
  </si>
  <si>
    <t>db4761b2-cce8-4d6d-86ec-5cf0924a5f4c</t>
  </si>
  <si>
    <t>83cde47b-9e15-4ea5-98f4-4efd9ce93861</t>
  </si>
  <si>
    <t>a94ac1cd-96c9-4775-8dcd-c2b581bfeb50</t>
  </si>
  <si>
    <t>43da55c8-55b7-41c6-9a44-3dd6843875f8</t>
  </si>
  <si>
    <t>51cd678b-6a27-490d-b4d1-17cc89a32e40</t>
  </si>
  <si>
    <t>2cd56a6a-35bb-417c-9eb6-d78bbe73d3cc</t>
  </si>
  <si>
    <t>6904ea3d-89b6-4db7-a0bc-d890423e9312</t>
  </si>
  <si>
    <t>54cd5913-5226-4143-9186-6c1a8499de1c</t>
  </si>
  <si>
    <t>1bb2ba7b-1ac3-4c2e-bcd3-85886d294204</t>
  </si>
  <si>
    <t>6d90deb8-8df3-4a6f-b31f-f13cf2eb68f9</t>
  </si>
  <si>
    <t>84f7b0a1-8840-47a1-a27a-1ac79e383520</t>
  </si>
  <si>
    <t>48a27277-7c18-49fe-9124-899919e162bc</t>
  </si>
  <si>
    <t>0e339e21-df58-4e46-a263-e91d4ed19dc9</t>
  </si>
  <si>
    <t>78f41a7b-4742-419d-a0ac-b9a90a9e198e</t>
  </si>
  <si>
    <t>fecebc29-385d-4bef-a18a-79705fb0ecf3</t>
  </si>
  <si>
    <t>809f228e-8d2b-46b8-8a33-51181505bc61</t>
  </si>
  <si>
    <t>a13f6fad-bca8-40c0-b5b1-592832c73050</t>
  </si>
  <si>
    <t>b702ddc5-f4fc-4976-adc4-18a8ddaab8d5</t>
  </si>
  <si>
    <t>1d0d3883-6196-4ccd-8a49-8e4fb84f6c6b</t>
  </si>
  <si>
    <t>ad60be55-7a95-4dcb-ae55-908a97f9955a</t>
  </si>
  <si>
    <t>f42e3c96-e622-4d3a-97da-ce5a939feb3c</t>
  </si>
  <si>
    <t>09e48b43-f567-4acc-b98d-0c86c1396084</t>
  </si>
  <si>
    <t>Containers</t>
  </si>
  <si>
    <t>1ecbf48e-cc21-4d20-89df-dc25501e323f</t>
  </si>
  <si>
    <t>5b55442a-cf8d-4c4b-aacd-2079f5648bd5</t>
  </si>
  <si>
    <t>418d240e-eeab-4faf-9a5d-fd5ae4c29e5c</t>
  </si>
  <si>
    <t>b7543ff4-5010-4c01-9bcd-4da1047aebfc</t>
  </si>
  <si>
    <t>662c82b0-b1f8-42cc-9523-e7c02cf275b9</t>
  </si>
  <si>
    <t>59744953-6a46-4367-890b-567e9d798d1f</t>
  </si>
  <si>
    <t>47805d79-88f1-4933-86eb-f78f67cbc33f</t>
  </si>
  <si>
    <t>152dcb1d-1906-4f6c-aa9c-014dc0c289fa</t>
  </si>
  <si>
    <t>e3781c5c-b674-4c9b-aec8-885e8c54698b</t>
  </si>
  <si>
    <t>c0b7e734-8f91-4471-8119-292c1131f7c2</t>
  </si>
  <si>
    <t>008878b4-75d3-44f6-bf05-cbc913289976</t>
  </si>
  <si>
    <t>efcb70b7-868b-4214-968a-e23f6ad586bc</t>
  </si>
  <si>
    <t>fc3f4359-ec62-4cbf-8756-ecb9780c34e8</t>
  </si>
  <si>
    <t>813c005f-72ab-4806-ad7e-2e3135e41d27</t>
  </si>
  <si>
    <t>fd56efe0-fbd4-471d-9661-856f732a77ef</t>
  </si>
  <si>
    <t>3a6bf1fb-2785-406a-85d4-6bd247714591</t>
  </si>
  <si>
    <t>b771aebb-e089-49a9-9bf6-471a00345afc</t>
  </si>
  <si>
    <t>da2a1502-399f-440d-93be-db6930231525</t>
  </si>
  <si>
    <t>ec3165d4-4d9a-4d86-a276-092ebbafce4d</t>
  </si>
  <si>
    <t>4964192d-2cf5-4099-9d78-ee6ce48b40f7</t>
  </si>
  <si>
    <t>95dde668-cee0-47c0-92ed-1072db84f687</t>
  </si>
  <si>
    <t>c8829f73-f92e-4b59-88a9-8e186b667836</t>
  </si>
  <si>
    <t>20963422-5c20-4d10-9227-584adcc7e41a</t>
  </si>
  <si>
    <t>7aef0ad4-113a-402b-8491-e2dbff9add19</t>
  </si>
  <si>
    <t>e9f5d430-4063-4c3b-a600-465c2bacd5b0</t>
  </si>
  <si>
    <t>43404e7f-b5a9-491d-b0ef-f3fc7f002229</t>
  </si>
  <si>
    <t>e776f2aa-0a7f-40b7-a4ec-7f951c7a5724</t>
  </si>
  <si>
    <t>1075f497-108e-4697-90d1-4615963614f3</t>
  </si>
  <si>
    <t>0b90bf9d-66fd-4741-be1f-39181efca97a</t>
  </si>
  <si>
    <t>bda09d2a-9a65-47b8-ba51-d6d7ab0f6129</t>
  </si>
  <si>
    <t>34f15197-44e7-4e5c-afd4-11a3c6b6c1b4</t>
  </si>
  <si>
    <t>ee329627-dbee-405f-b9a6-b260de9ad34c</t>
  </si>
  <si>
    <t>8b910e28-a3e7-4e95-a766-b8c1eb8bf6f2</t>
  </si>
  <si>
    <t>5c487da2-cda8-4af9-bab7-ed491da20911</t>
  </si>
  <si>
    <t>c57205b5-da9d-47ab-9917-c316b007735a</t>
  </si>
  <si>
    <t>ae7390dd-0663-4ae7-bef0-5c7e09173cb2</t>
  </si>
  <si>
    <t>89b85f26-c282-40e2-bfdc-bf0932649443</t>
  </si>
  <si>
    <t>9e7c9903-5690-488d-b648-462fa5cbaafe</t>
  </si>
  <si>
    <t>31304934-a413-4e41-9385-fab78b84b73d</t>
  </si>
  <si>
    <t>8a1f5dc0-3f13-47ed-b238-50fdcaa2f680</t>
  </si>
  <si>
    <t>06b3d3ec-5cda-4384-bebd-0fe66008dd3b</t>
  </si>
  <si>
    <t>2e40240b-77d3-400b-bd6a-caff66a85833</t>
  </si>
  <si>
    <t>254096e8-fb58-46e4-9d85-29a8f92f78e6</t>
  </si>
  <si>
    <t>bcab5511-8b7a-4f15-be35-e7f1771caf70</t>
  </si>
  <si>
    <t>5f089bb9-1816-43b8-8e44-f2d58804ea23</t>
  </si>
  <si>
    <t>ad00fbe8-2d50-4db4-877d-467a4310c2c0</t>
  </si>
  <si>
    <t>e27514b7-5692-4667-b81f-5e17d4a87730</t>
  </si>
  <si>
    <t>831463e0-7798-4e18-8cd1-14e6bcbfd232</t>
  </si>
  <si>
    <t>fb8f8efe-f0d1-4534-a665-4de548241174</t>
  </si>
  <si>
    <t>96eab9d1-74b1-42f7-b1ad-061a9fcea8c4</t>
  </si>
  <si>
    <t>b8bfef23-3f4e-4a82-86dc-2b7b6abbddb8</t>
  </si>
  <si>
    <t>1849ce97-45ac-43ea-9518-9f80aaa0c005</t>
  </si>
  <si>
    <t>23578669-058f-4318-8e51-87523fc1307f</t>
  </si>
  <si>
    <t>f403ec67-ba4b-4320-983a-60a8de9e3492</t>
  </si>
  <si>
    <t>For all valuables you might as well just add gold coins. No trader has enough valuables to exchange for a gold bar.</t>
  </si>
  <si>
    <t>Gold/Ingots</t>
  </si>
  <si>
    <t>5b386575-5836-40cd-8548-e5c27fd105a1</t>
  </si>
  <si>
    <t>44f47718-9769-4c0e-af75-7789d2f2913d</t>
  </si>
  <si>
    <t>d746d7c3-ed35-4cd4-becc-6ebb3e0a7b46</t>
  </si>
  <si>
    <t>e0803337-e2b1-4528-8d4f-b5814e9a52ec</t>
  </si>
  <si>
    <t>Gemstones</t>
  </si>
  <si>
    <t>75808952-29b8-4840-81e1-fcdd93155ddd</t>
  </si>
  <si>
    <t>82d4f21d-11c8-47dd-a69f-dcfb3103ff76</t>
  </si>
  <si>
    <t>a92ee8db-142f-4a2a-af64-78e3aec36832</t>
  </si>
  <si>
    <t>440f4817-5d30-4867-a982-5b8094ace403</t>
  </si>
  <si>
    <t>9cfae0fb-ef7a-430c-a6aa-6efffae4a690</t>
  </si>
  <si>
    <t>7b1ce21b-809f-4965-b52f-53fe10de6b30</t>
  </si>
  <si>
    <t>94fb73e8-668a-499f-a88f-54d24c6947a7</t>
  </si>
  <si>
    <t>793aaaa2-2bab-4c30-89c3-b2a2d622472f</t>
  </si>
  <si>
    <t>560e773d-6825-4cbd-83c1-9d8e4f53a704</t>
  </si>
  <si>
    <t>6cbbe9f6-c346-4d6c-b1f1-4cbe6aaf99ef</t>
  </si>
  <si>
    <t>31d1a9c1-bac0-4738-87ef-23f67b492051</t>
  </si>
  <si>
    <t>44b9b18a-11a3-3027-918f-23cbcd5e7959</t>
  </si>
  <si>
    <t>fef1900a-402c-455f-8c63-87bdaedac6d7</t>
  </si>
  <si>
    <t>b085e96d-e199-467f-b6a8-5d9d44e3cb21</t>
  </si>
  <si>
    <t>0371fa33-7dae-4980-8468-6d8e99824af6</t>
  </si>
  <si>
    <t>55524c47-c62f-45ac-8505-426cb04707c9</t>
  </si>
  <si>
    <t>Paintings</t>
  </si>
  <si>
    <t>49b95036-c60b-4abb-8757-64fccd0e7ab6</t>
  </si>
  <si>
    <t>ec019ea0-e8bb-49e4-95b3-7a7324596188</t>
  </si>
  <si>
    <t>95d01198-8b6d-41c0-bfab-ca02663263f3</t>
  </si>
  <si>
    <t>e028bac5-f393-4d6a-9873-670241d721ac</t>
  </si>
  <si>
    <t>6561e67b-9abb-4091-bd77-e9abf255ab89</t>
  </si>
  <si>
    <t>41661b63-1ae9-4b27-a0c6-f92c6060e821</t>
  </si>
  <si>
    <t>cb8e9694-b4ac-4396-84a0-bb2fa0b89252</t>
  </si>
  <si>
    <t>dfa080d4-3c49-4eb5-b095-1d2f5a657ae3</t>
  </si>
  <si>
    <t>d64c62cd-3e5d-4f70-b05f-b347afb1c5ef</t>
  </si>
  <si>
    <t>a5407fee-be16-450e-a24a-59bfadbdc2cc</t>
  </si>
  <si>
    <t>4b7db979-3081-407d-ac55-c1af87862e7e</t>
  </si>
  <si>
    <t>b5ef23a5-9afb-40e4-8d71-2fbdd97446f7</t>
  </si>
  <si>
    <t>68e60d97-ce42-4f3f-bc7c-02ab2543a716</t>
  </si>
  <si>
    <t>cc764899-2397-47e7-8b5e-275f6a6cd752</t>
  </si>
  <si>
    <t>d90f1bc8-d037-412a-a31c-9b8535e7c2f1</t>
  </si>
  <si>
    <t>accbb8ba-ceaa-4924-95be-0aae779363b1</t>
  </si>
  <si>
    <t>ce2f870e-e735-4355-ae87-acf5971d2fef</t>
  </si>
  <si>
    <t>1500df20-20d3-4147-81d2-ffba41409659</t>
  </si>
  <si>
    <t>a7e57790-3dfc-4e09-ba5f-c5e7e0cbf8ca</t>
  </si>
  <si>
    <t>a59ad0fa-c4b8-40a9-b4f0-91b2b662071f</t>
  </si>
  <si>
    <t>2b728203-f01d-4d90-aea9-b8ad3625f2af</t>
  </si>
  <si>
    <t>1836435f-a6c0-4ed0-9be3-7a64bd391e85</t>
  </si>
  <si>
    <t>0094760a-2728-410a-94cd-3ed4180a8a46</t>
  </si>
  <si>
    <t>beb93272-ab48-4e10-befd-73e1e1478cd9</t>
  </si>
  <si>
    <t>d6d704d2-0a1f-48f9-bd27-43c99919a725</t>
  </si>
  <si>
    <t>ffb6d084-0900-4f58-ae39-f0360f7488d1</t>
  </si>
  <si>
    <t>8a407bd7-effe-4306-b2a0-02624ad45074</t>
  </si>
  <si>
    <t>4069b438-2fd9-46c3-a5c0-a248039a3b52</t>
  </si>
  <si>
    <t>2fcfcebe-b75d-4c8e-a13d-64b628436b8c</t>
  </si>
  <si>
    <t>2d8a25af-7140-473a-9d14-35858c29e23a</t>
  </si>
  <si>
    <t>8b3e6af4-58be-4851-864f-e78df7f661a5</t>
  </si>
  <si>
    <t>06af536d-8faf-49e5-99f9-606be7d6993c</t>
  </si>
  <si>
    <t>1469200a-4419-4c9a-916f-6362378234bb</t>
  </si>
  <si>
    <t>645b185b-e069-40ee-8a26-5daf2fdc935c</t>
  </si>
  <si>
    <t>23a80328-c876-4110-afef-a3eb47193b83</t>
  </si>
  <si>
    <t>d4fc2b3c-7f92-4d3c-9792-3f9d097cedf7</t>
  </si>
  <si>
    <t>289d8c97-81d7-448f-aa1c-faab337db593</t>
  </si>
  <si>
    <t>82ad7f96-b84c-4ab0-98bb-b534c69726ba</t>
  </si>
  <si>
    <t>a90dbddd-c839-40ad-a873-309b22d73da2</t>
  </si>
  <si>
    <t>7f7f86c0-41ca-4938-b4da-2719a3f69102</t>
  </si>
  <si>
    <t>5861174c-82ab-4788-934e-11ef84889332</t>
  </si>
  <si>
    <t>d8ab3c7b-0ef5-40cf-89c8-401d7363559e</t>
  </si>
  <si>
    <t>56a21dc9-247e-4f97-a436-0647aa20c084</t>
  </si>
  <si>
    <t>e80badd2-6723-49eb-8e2c-850055f04bcf</t>
  </si>
  <si>
    <t>f79ec624-0fa0-44bc-825a-4390e694ce4a</t>
  </si>
  <si>
    <t>67c4e704-58e6-4f7d-b3aa-4cf9ea0ee611</t>
  </si>
  <si>
    <t>86d36f55-9c60-48b8-a5e5-73ae43151401</t>
  </si>
  <si>
    <t>736cd290-cec0-4fa7-99d6-f6c9e2e851ec</t>
  </si>
  <si>
    <t>44243a84-b27a-4535-b13f-fc9b05842cff</t>
  </si>
  <si>
    <t>383dbc9b-8052-4ed9-8515-2447f03ef189</t>
  </si>
  <si>
    <t>9c1bf73c-a5ac-4b57-83fe-01c24cd39945</t>
  </si>
  <si>
    <t>4606cc95-f2f1-4c6a-9571-68a981060514</t>
  </si>
  <si>
    <t>ffe3490b-154a-414f-a3d1-644b18dc3a1d</t>
  </si>
  <si>
    <t>6170715b-1654-46bc-9ac6-93dca8550e1f</t>
  </si>
  <si>
    <t>5d925f9b-f87e-4733-9410-01b27544b021</t>
  </si>
  <si>
    <t>60b6a4da-4f5c-46ab-a4c9-1d87ed2c1eed</t>
  </si>
  <si>
    <t>Valuable Clutter</t>
  </si>
  <si>
    <t>062c6dd0-113d-4ca0-935c-bd937091a9eb</t>
  </si>
  <si>
    <t>dc3d793e-c605-4016-9753-27d1c2da4b2c</t>
  </si>
  <si>
    <t>876c66a6-018c-48fe-8406-d90561d3db23</t>
  </si>
  <si>
    <t>1a466559-9518-4215-90e4-1f99264e028a</t>
  </si>
  <si>
    <t>79b74639-066c-4099-87de-30d435a78f3e</t>
  </si>
  <si>
    <t>1c725b47-184b-4906-a891-c67a7dbc57c2</t>
  </si>
  <si>
    <t>a44381ec-6e35-4904-bd6c-cc2886ba5cde</t>
  </si>
  <si>
    <t>be4a5974-6cff-4e80-8725-e0b02178e8dc</t>
  </si>
  <si>
    <t>b65070c1-96bc-42af-960b-b785f51c96be</t>
  </si>
  <si>
    <t>285da9ec-7c1e-4356-a327-3003a7b51181</t>
  </si>
  <si>
    <t>9588728e-4d4e-4ffe-8bea-7bf9a6c0b8d2</t>
  </si>
  <si>
    <t>ac49f3e0-d5d5-448c-b3cf-dd1ad9a96013</t>
  </si>
  <si>
    <t>a366a1b3-2338-434a-9815-97243bb1821e</t>
  </si>
  <si>
    <t>8c17a2e5-e742-4fac-a0d6-10289be28c72</t>
  </si>
  <si>
    <t>9403da0c-e8e6-4262-bda2-072beaf39641</t>
  </si>
  <si>
    <t>7dbca836-3b19-4fc5-8810-5ad5d9ed1592</t>
  </si>
  <si>
    <t>4fe7a57f-fb63-4192-9483-c47c8e845738</t>
  </si>
  <si>
    <t>42d56907-aa68-4f77-a024-3789c323214d</t>
  </si>
  <si>
    <t>cc0e5642-fed1-425a-a997-20b94b2ff696</t>
  </si>
  <si>
    <t>05e58ebb-563c-4a32-bc0d-881ed6fe18fb</t>
  </si>
  <si>
    <t>2e7a33f1-e1d3-4698-88f1-841e21d6ea2c</t>
  </si>
  <si>
    <t>e78c5f50-0bc0-46f4-9abb-0e057c3c19bd</t>
  </si>
  <si>
    <t>9195d183-c2a1-42ed-ba51-3adc534f8c76</t>
  </si>
  <si>
    <t>60d14cc7-d47f-4e8d-a888-50619b80bf28</t>
  </si>
  <si>
    <t>f99d86d2-2012-48a2-bfd1-1dbc867ad13c</t>
  </si>
  <si>
    <t>c87a576a-01e2-4030-a511-86566bc834df</t>
  </si>
  <si>
    <t>6d5f32c7-2694-4a8d-ab0e-aebeafe5a73a</t>
  </si>
  <si>
    <t>c9d1582a-a8ae-4904-a39e-53f7adc54493</t>
  </si>
  <si>
    <t>308cd520-49df-4164-8b22-66e61d76d135</t>
  </si>
  <si>
    <t>d6db5601-17c1-4f64-9b59-ec82a53fb5a3</t>
  </si>
  <si>
    <t>9b017999-20a3-4073-a900-2cba83438540</t>
  </si>
  <si>
    <t>386a5c4a-8f59-4e82-bcad-554ca38634c4</t>
  </si>
  <si>
    <t>91ea5049-b91f-4de8-a9a4-7be02e801b3f</t>
  </si>
  <si>
    <t>52028998-2e36-4c6f-801b-8fe202c5d0e8</t>
  </si>
  <si>
    <t>e14df0f7-0361-42ea-a0af-a4d4033f85e2</t>
  </si>
  <si>
    <t>868fa1ab-8044-4a82-9c2b-bf4ffb241536</t>
  </si>
  <si>
    <t>This page contains sets that may fit together, just so its easy to spawn all at once and be done with it</t>
  </si>
  <si>
    <t>Nightsong armor &amp; equipment worn by Moonlight Silvers. (Usually unoptainable)</t>
  </si>
  <si>
    <r>
      <rPr/>
      <t xml:space="preserve">Not on Wiki yet. Worn by Moonlight Silvers </t>
    </r>
    <r>
      <rPr>
        <color rgb="FF1155CC"/>
        <u/>
      </rPr>
      <t>&lt;image link&gt;</t>
    </r>
  </si>
  <si>
    <r>
      <rPr/>
      <t xml:space="preserve">Not on Wiki yet. Worn by Moonlight Silvers </t>
    </r>
    <r>
      <rPr>
        <color rgb="FF1155CC"/>
        <u/>
      </rPr>
      <t>&lt;image link&gt;</t>
    </r>
  </si>
  <si>
    <t>Dream Visitor Armor (Usually unoptainable)</t>
  </si>
  <si>
    <t>Oathbreaker Set (Mostly unoptainable)</t>
  </si>
  <si>
    <t>Oathbreaker Knight Boots</t>
  </si>
  <si>
    <t>All Githyanki Equipment</t>
  </si>
  <si>
    <t>Damaged Githyanki Half Plate</t>
  </si>
  <si>
    <t>c3aaffa5-096d-4d4c-87b6-a9298d306cb6</t>
  </si>
  <si>
    <t>ARM_HalfPlate_Body_Githyanki_Destroyed</t>
  </si>
  <si>
    <t>Githyanki Bracers</t>
  </si>
  <si>
    <t>30b19abd-fc49-4826-811f-9c4c556ae6f0</t>
  </si>
  <si>
    <t>ARM_Gloves_Metal_Githyanki</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</si>
</sst>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sz val="10.0"/>
      <color theme="1"/>
      <name val="Arial"/>
      <scheme val="minor"/>
    </font>
    <font>
      <b/>
      <sz val="10.0"/>
      <color theme="1"/>
      <name val="Arial"/>
      <scheme val="minor"/>
    </font>
    <font/>
    <font>
      <u/>
      <sz val="10.0"/>
      <color rgb="FF0000FF"/>
    </font>
    <font>
      <color theme="1"/>
      <name val="Arial"/>
      <scheme val="minor"/>
    </font>
    <font>
      <u/>
      <color rgb="FF1155CC"/>
      <name val="Arial"/>
    </font>
    <font>
      <color theme="1"/>
      <name val="Arial"/>
    </font>
    <font>
      <sz val="6.0"/>
      <color theme="1"/>
      <name val="Arial"/>
    </font>
    <font>
      <u/>
      <color rgb="FF0000FF"/>
    </font>
    <font>
      <sz val="6.0"/>
      <color theme="1"/>
      <name val="Arial"/>
      <scheme val="minor"/>
    </font>
    <font>
      <u/>
      <color rgb="FF1155CC"/>
      <name val="Arial"/>
    </font>
    <font>
      <u/>
      <color rgb="FF1155CC"/>
      <name val="Arial"/>
    </font>
    <font>
      <i/>
      <sz val="10.0"/>
      <color theme="1"/>
      <name val="Arial"/>
      <scheme val="minor"/>
    </font>
    <font>
      <sz val="12.0"/>
      <color theme="1"/>
      <name val="Arial"/>
      <scheme val="minor"/>
    </font>
    <font>
      <u/>
      <color rgb="FF0000FF"/>
    </font>
    <font>
      <u/>
      <color rgb="FF0000FF"/>
    </font>
    <font>
      <color rgb="FF000000"/>
      <name val="Arial"/>
      <scheme val="minor"/>
    </font>
    <font>
      <u/>
      <color rgb="FF0000FF"/>
    </font>
    <font>
      <u/>
      <sz val="10.0"/>
      <color rgb="FF0000FF"/>
    </font>
    <font>
      <u/>
      <color rgb="FF0000FF"/>
    </font>
    <font>
      <u/>
      <color rgb="FF0000FF"/>
    </font>
    <font>
      <u/>
      <color rgb="FF0000FF"/>
    </font>
    <font>
      <u/>
      <color rgb="FF0000FF"/>
    </font>
    <font>
      <u/>
      <color rgb="FF0000FF"/>
    </font>
    <font>
      <b/>
      <color theme="1"/>
      <name val="Arial"/>
      <scheme val="minor"/>
    </font>
    <font>
      <u/>
      <color rgb="FF0000FF"/>
    </font>
    <font>
      <u/>
      <color rgb="FF0000FF"/>
    </font>
    <font>
      <u/>
      <color rgb="FF0000FF"/>
    </font>
    <font>
      <sz val="10.0"/>
      <color theme="1"/>
      <name val="Arial"/>
    </font>
    <font>
      <u/>
      <color rgb="FF0000FF"/>
      <name val="Arial"/>
    </font>
  </fonts>
  <fills count="7">
    <fill>
      <patternFill patternType="none"/>
    </fill>
    <fill>
      <patternFill patternType="lightGray"/>
    </fill>
    <fill>
      <patternFill patternType="solid">
        <fgColor rgb="FFFFFF00"/>
        <bgColor rgb="FFFFFF00"/>
      </patternFill>
    </fill>
    <fill>
      <patternFill patternType="solid">
        <fgColor rgb="FFFFE6DD"/>
        <bgColor rgb="FFFFE6DD"/>
      </patternFill>
    </fill>
    <fill>
      <patternFill patternType="solid">
        <fgColor rgb="FFD9D9D9"/>
        <bgColor rgb="FFD9D9D9"/>
      </patternFill>
    </fill>
    <fill>
      <patternFill patternType="solid">
        <fgColor rgb="FFFFFFFF"/>
        <bgColor rgb="FFFFFFFF"/>
      </patternFill>
    </fill>
    <fill>
      <patternFill patternType="solid">
        <fgColor rgb="FFF46524"/>
        <bgColor rgb="FFF46524"/>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2" fontId="2" numFmtId="0" xfId="0" applyAlignment="1" applyBorder="1" applyFill="1" applyFont="1">
      <alignment readingOrder="0"/>
    </xf>
    <xf borderId="2" fillId="0" fontId="3" numFmtId="0" xfId="0" applyBorder="1" applyFont="1"/>
    <xf borderId="3" fillId="0" fontId="3" numFmtId="0" xfId="0" applyBorder="1" applyFont="1"/>
    <xf borderId="4" fillId="2" fontId="4" numFmtId="0" xfId="0" applyAlignment="1" applyBorder="1" applyFont="1">
      <alignment readingOrder="0"/>
    </xf>
    <xf borderId="5" fillId="0" fontId="3" numFmtId="0" xfId="0" applyBorder="1" applyFont="1"/>
    <xf borderId="4" fillId="2" fontId="1" numFmtId="0" xfId="0" applyAlignment="1" applyBorder="1" applyFont="1">
      <alignment readingOrder="0"/>
    </xf>
    <xf borderId="6" fillId="2" fontId="1" numFmtId="0" xfId="0" applyAlignment="1" applyBorder="1" applyFont="1">
      <alignment readingOrder="0"/>
    </xf>
    <xf borderId="7" fillId="0" fontId="3" numFmtId="0" xfId="0" applyBorder="1" applyFont="1"/>
    <xf borderId="8" fillId="0" fontId="3" numFmtId="0" xfId="0" applyBorder="1" applyFont="1"/>
    <xf borderId="1" fillId="0" fontId="5" numFmtId="0" xfId="0" applyAlignment="1" applyBorder="1" applyFont="1">
      <alignment readingOrder="0"/>
    </xf>
    <xf borderId="2" fillId="0" fontId="5" numFmtId="0" xfId="0" applyAlignment="1" applyBorder="1" applyFont="1">
      <alignment readingOrder="0"/>
    </xf>
    <xf borderId="9" fillId="0" fontId="5" numFmtId="0" xfId="0" applyAlignment="1" applyBorder="1" applyFont="1">
      <alignment readingOrder="0"/>
    </xf>
    <xf borderId="0" fillId="0" fontId="5" numFmtId="0" xfId="0" applyAlignment="1" applyFont="1">
      <alignment readingOrder="0"/>
    </xf>
    <xf borderId="4" fillId="0" fontId="6" numFmtId="0" xfId="0" applyAlignment="1" applyBorder="1" applyFont="1">
      <alignment vertical="bottom"/>
    </xf>
    <xf borderId="0" fillId="0" fontId="7" numFmtId="0" xfId="0" applyAlignment="1" applyFont="1">
      <alignment vertical="bottom"/>
    </xf>
    <xf borderId="0" fillId="0" fontId="8" numFmtId="0" xfId="0" applyAlignment="1" applyFont="1">
      <alignment vertical="bottom"/>
    </xf>
    <xf borderId="10" fillId="0" fontId="7" numFmtId="0" xfId="0" applyAlignment="1" applyBorder="1" applyFont="1">
      <alignment vertical="bottom"/>
    </xf>
    <xf borderId="0" fillId="0" fontId="7" numFmtId="0" xfId="0" applyAlignment="1" applyFont="1">
      <alignment vertical="bottom"/>
    </xf>
    <xf borderId="4" fillId="0" fontId="9" numFmtId="0" xfId="0" applyBorder="1" applyFont="1"/>
    <xf borderId="0" fillId="0" fontId="5" numFmtId="0" xfId="0" applyAlignment="1" applyFont="1">
      <alignment readingOrder="0"/>
    </xf>
    <xf borderId="0" fillId="0" fontId="10" numFmtId="0" xfId="0" applyAlignment="1" applyFont="1">
      <alignment readingOrder="0"/>
    </xf>
    <xf borderId="10" fillId="0" fontId="5" numFmtId="0" xfId="0" applyAlignment="1" applyBorder="1" applyFont="1">
      <alignment readingOrder="0"/>
    </xf>
    <xf borderId="0" fillId="0" fontId="11" numFmtId="0" xfId="0" applyAlignment="1" applyFont="1">
      <alignment vertical="bottom"/>
    </xf>
    <xf borderId="4" fillId="0" fontId="5" numFmtId="0" xfId="0" applyAlignment="1" applyBorder="1" applyFont="1">
      <alignment readingOrder="0"/>
    </xf>
    <xf borderId="0" fillId="0" fontId="5" numFmtId="0" xfId="0" applyAlignment="1" applyFont="1">
      <alignment readingOrder="0"/>
    </xf>
    <xf borderId="6" fillId="0" fontId="12" numFmtId="0" xfId="0" applyAlignment="1" applyBorder="1" applyFont="1">
      <alignment vertical="bottom"/>
    </xf>
    <xf borderId="7" fillId="0" fontId="7" numFmtId="0" xfId="0" applyAlignment="1" applyBorder="1" applyFont="1">
      <alignment vertical="bottom"/>
    </xf>
    <xf borderId="7" fillId="0" fontId="8" numFmtId="0" xfId="0" applyAlignment="1" applyBorder="1" applyFont="1">
      <alignment vertical="bottom"/>
    </xf>
    <xf borderId="11" fillId="0" fontId="7" numFmtId="0" xfId="0" applyAlignment="1" applyBorder="1" applyFont="1">
      <alignment vertical="bottom"/>
    </xf>
    <xf borderId="0" fillId="0" fontId="13" numFmtId="0" xfId="0" applyAlignment="1" applyFont="1">
      <alignment readingOrder="0"/>
    </xf>
    <xf borderId="0" fillId="0" fontId="14" numFmtId="0" xfId="0" applyAlignment="1" applyFont="1">
      <alignment readingOrder="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9" fillId="0" fontId="1" numFmtId="0" xfId="0" applyAlignment="1" applyBorder="1" applyFont="1">
      <alignment horizontal="center" readingOrder="0" vertical="center"/>
    </xf>
    <xf borderId="0" fillId="0" fontId="1" numFmtId="0" xfId="0" applyAlignment="1" applyFont="1">
      <alignment horizontal="center" vertical="center"/>
    </xf>
    <xf borderId="6" fillId="0" fontId="15" numFmtId="0" xfId="0" applyBorder="1" applyFont="1"/>
    <xf borderId="7" fillId="0" fontId="5" numFmtId="0" xfId="0" applyAlignment="1" applyBorder="1" applyFont="1">
      <alignment readingOrder="0"/>
    </xf>
    <xf borderId="7" fillId="0" fontId="10" numFmtId="0" xfId="0" applyAlignment="1" applyBorder="1" applyFont="1">
      <alignment readingOrder="0"/>
    </xf>
    <xf borderId="11" fillId="0" fontId="5" numFmtId="0" xfId="0" applyAlignment="1" applyBorder="1" applyFont="1">
      <alignment readingOrder="0"/>
    </xf>
    <xf borderId="0" fillId="0" fontId="10" numFmtId="0" xfId="0" applyFont="1"/>
    <xf borderId="0" fillId="0" fontId="1" numFmtId="0" xfId="0" applyAlignment="1" applyFont="1">
      <alignment horizontal="center" readingOrder="0" vertical="center"/>
    </xf>
    <xf borderId="0" fillId="0" fontId="16" numFmtId="0" xfId="0" applyAlignment="1" applyFont="1">
      <alignment readingOrder="0"/>
    </xf>
    <xf borderId="4" fillId="0" fontId="17" numFmtId="0" xfId="0" applyAlignment="1" applyBorder="1" applyFont="1">
      <alignment readingOrder="0"/>
    </xf>
    <xf borderId="3" fillId="0" fontId="1" numFmtId="0" xfId="0" applyAlignment="1" applyBorder="1" applyFont="1">
      <alignment horizontal="center" readingOrder="0" vertical="center"/>
    </xf>
    <xf borderId="5" fillId="0" fontId="10" numFmtId="0" xfId="0" applyAlignment="1" applyBorder="1" applyFont="1">
      <alignment readingOrder="0"/>
    </xf>
    <xf borderId="8" fillId="0" fontId="10" numFmtId="0" xfId="0" applyAlignment="1" applyBorder="1" applyFont="1">
      <alignment readingOrder="0"/>
    </xf>
    <xf borderId="6" fillId="0" fontId="18" numFmtId="0" xfId="0" applyBorder="1" applyFont="1"/>
    <xf borderId="7" fillId="0" fontId="5" numFmtId="0" xfId="0" applyAlignment="1" applyBorder="1" applyFont="1">
      <alignment readingOrder="0"/>
    </xf>
    <xf borderId="8" fillId="0" fontId="10" numFmtId="0" xfId="0" applyAlignment="1" applyBorder="1" applyFont="1">
      <alignment readingOrder="0"/>
    </xf>
    <xf borderId="11" fillId="0" fontId="5" numFmtId="0" xfId="0" applyAlignment="1" applyBorder="1" applyFont="1">
      <alignment readingOrder="0"/>
    </xf>
    <xf borderId="0" fillId="0" fontId="10"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4" fillId="0" fontId="19" numFmtId="0" xfId="0" applyAlignment="1" applyBorder="1" applyFont="1">
      <alignment horizontal="left" vertical="bottom"/>
    </xf>
    <xf borderId="0" fillId="0" fontId="1" numFmtId="0" xfId="0" applyAlignment="1" applyFont="1">
      <alignment horizontal="left" readingOrder="0" vertical="bottom"/>
    </xf>
    <xf borderId="0" fillId="0" fontId="10" numFmtId="0" xfId="0" applyAlignment="1" applyFont="1">
      <alignment horizontal="left" readingOrder="0" vertical="bottom"/>
    </xf>
    <xf borderId="10" fillId="0" fontId="1" numFmtId="0" xfId="0" applyAlignment="1" applyBorder="1" applyFont="1">
      <alignment horizontal="left" readingOrder="0" vertical="bottom"/>
    </xf>
    <xf borderId="0" fillId="0" fontId="1" numFmtId="0" xfId="0" applyAlignment="1" applyFont="1">
      <alignment horizontal="left" vertical="bottom"/>
    </xf>
    <xf borderId="0" fillId="0" fontId="20" numFmtId="0" xfId="0" applyFont="1"/>
    <xf borderId="4" fillId="3" fontId="7" numFmtId="0" xfId="0" applyAlignment="1" applyBorder="1" applyFill="1" applyFont="1">
      <alignment readingOrder="0" vertical="bottom"/>
    </xf>
    <xf borderId="0" fillId="4" fontId="7" numFmtId="0" xfId="0" applyAlignment="1" applyFill="1" applyFont="1">
      <alignment readingOrder="0" vertical="bottom"/>
    </xf>
    <xf borderId="0" fillId="3" fontId="8" numFmtId="0" xfId="0" applyAlignment="1" applyFont="1">
      <alignment readingOrder="0" vertical="bottom"/>
    </xf>
    <xf borderId="10" fillId="5" fontId="7" numFmtId="0" xfId="0" applyAlignment="1" applyBorder="1" applyFill="1" applyFont="1">
      <alignment vertical="bottom"/>
    </xf>
    <xf borderId="7" fillId="0" fontId="21" numFmtId="0" xfId="0" applyBorder="1" applyFont="1"/>
    <xf borderId="0" fillId="0" fontId="5" numFmtId="0" xfId="0" applyAlignment="1" applyFont="1">
      <alignment readingOrder="0"/>
    </xf>
    <xf borderId="0" fillId="0" fontId="10" numFmtId="0" xfId="0" applyAlignment="1" applyFont="1">
      <alignment readingOrder="0"/>
    </xf>
    <xf borderId="10" fillId="3" fontId="7" numFmtId="0" xfId="0" applyAlignment="1" applyBorder="1" applyFont="1">
      <alignment vertical="bottom"/>
    </xf>
    <xf borderId="4" fillId="0" fontId="22" numFmtId="0" xfId="0" applyAlignment="1" applyBorder="1" applyFont="1">
      <alignment readingOrder="0"/>
    </xf>
    <xf borderId="6" fillId="3" fontId="7" numFmtId="0" xfId="0" applyAlignment="1" applyBorder="1" applyFont="1">
      <alignment readingOrder="0" vertical="bottom"/>
    </xf>
    <xf borderId="7" fillId="4" fontId="7" numFmtId="0" xfId="0" applyAlignment="1" applyBorder="1" applyFont="1">
      <alignment readingOrder="0" vertical="bottom"/>
    </xf>
    <xf borderId="7" fillId="3" fontId="8" numFmtId="0" xfId="0" applyAlignment="1" applyBorder="1" applyFont="1">
      <alignment readingOrder="0" vertical="bottom"/>
    </xf>
    <xf borderId="11" fillId="5" fontId="7" numFmtId="0" xfId="0" applyAlignment="1" applyBorder="1" applyFont="1">
      <alignment vertical="bottom"/>
    </xf>
    <xf borderId="0" fillId="0" fontId="5" numFmtId="0" xfId="0" applyAlignment="1" applyFont="1">
      <alignment readingOrder="0"/>
    </xf>
    <xf borderId="7" fillId="0" fontId="23" numFmtId="0" xfId="0" applyAlignment="1" applyBorder="1" applyFont="1">
      <alignment readingOrder="0"/>
    </xf>
    <xf borderId="4" fillId="0" fontId="1" numFmtId="0" xfId="0" applyAlignment="1" applyBorder="1" applyFont="1">
      <alignment horizontal="center" readingOrder="0" vertical="center"/>
    </xf>
    <xf borderId="0" fillId="0" fontId="1" numFmtId="0" xfId="0" applyAlignment="1" applyFont="1">
      <alignment horizontal="center" readingOrder="0" vertical="center"/>
    </xf>
    <xf borderId="10" fillId="0" fontId="1" numFmtId="0" xfId="0" applyAlignment="1" applyBorder="1" applyFont="1">
      <alignment horizontal="center" readingOrder="0" vertical="center"/>
    </xf>
    <xf borderId="0" fillId="2" fontId="24" numFmtId="0" xfId="0" applyAlignment="1" applyFont="1">
      <alignment readingOrder="0" vertical="center"/>
    </xf>
    <xf borderId="0" fillId="0" fontId="25" numFmtId="0" xfId="0" applyAlignment="1" applyFont="1">
      <alignment readingOrder="0"/>
    </xf>
    <xf borderId="4" fillId="0" fontId="26" numFmtId="0" xfId="0" applyBorder="1" applyFont="1"/>
    <xf borderId="0" fillId="0" fontId="27" numFmtId="0" xfId="0" applyFont="1"/>
    <xf borderId="0" fillId="0" fontId="28" numFmtId="0" xfId="0" applyAlignment="1" applyFont="1">
      <alignment readingOrder="0"/>
    </xf>
    <xf borderId="2" fillId="0" fontId="5" numFmtId="0" xfId="0" applyBorder="1" applyFont="1"/>
    <xf borderId="2" fillId="0" fontId="5" numFmtId="0" xfId="0" applyAlignment="1" applyBorder="1" applyFont="1">
      <alignment readingOrder="0"/>
    </xf>
    <xf borderId="2" fillId="0" fontId="10" numFmtId="0" xfId="0" applyAlignment="1" applyBorder="1" applyFont="1">
      <alignment readingOrder="0"/>
    </xf>
    <xf borderId="0" fillId="0" fontId="7" numFmtId="0" xfId="0" applyAlignment="1" applyFont="1">
      <alignment readingOrder="0" vertical="bottom"/>
    </xf>
    <xf borderId="0" fillId="0" fontId="8" numFmtId="0" xfId="0" applyAlignment="1" applyFont="1">
      <alignment vertical="bottom"/>
    </xf>
    <xf borderId="1" fillId="6" fontId="29" numFmtId="0" xfId="0" applyAlignment="1" applyBorder="1" applyFill="1" applyFont="1">
      <alignment horizontal="center" vertical="center"/>
    </xf>
    <xf borderId="2" fillId="6" fontId="29" numFmtId="0" xfId="0" applyAlignment="1" applyBorder="1" applyFont="1">
      <alignment horizontal="center" vertical="center"/>
    </xf>
    <xf borderId="9" fillId="6" fontId="29" numFmtId="0" xfId="0" applyAlignment="1" applyBorder="1" applyFont="1">
      <alignment horizontal="center" vertical="center"/>
    </xf>
    <xf borderId="0" fillId="0" fontId="29" numFmtId="0" xfId="0" applyAlignment="1" applyFont="1">
      <alignment horizontal="center" vertical="center"/>
    </xf>
    <xf borderId="4" fillId="5" fontId="30" numFmtId="0" xfId="0" applyAlignment="1" applyBorder="1" applyFont="1">
      <alignment readingOrder="0" vertical="bottom"/>
    </xf>
    <xf borderId="0" fillId="5" fontId="8" numFmtId="0" xfId="0" applyAlignment="1" applyFont="1">
      <alignment readingOrder="0" vertical="bottom"/>
    </xf>
    <xf borderId="0" fillId="5" fontId="7" numFmtId="0" xfId="0" applyAlignment="1" applyFont="1">
      <alignment vertical="bottom"/>
    </xf>
    <xf borderId="4" fillId="0" fontId="5" numFmtId="0" xfId="0" applyAlignment="1" applyBorder="1" applyFont="1">
      <alignment readingOrder="0"/>
    </xf>
  </cellXfs>
  <cellStyles count="1">
    <cellStyle xfId="0" name="Normal" builtinId="0"/>
  </cellStyles>
  <dxfs count="17">
    <dxf>
      <font/>
      <fill>
        <patternFill patternType="solid">
          <fgColor rgb="FFD9D9D9"/>
          <bgColor rgb="FFD9D9D9"/>
        </patternFill>
      </fill>
      <border/>
    </dxf>
    <dxf>
      <font/>
      <fill>
        <patternFill patternType="solid">
          <fgColor rgb="FF00FFFF"/>
          <bgColor rgb="FF00FFFF"/>
        </patternFill>
      </fill>
      <border/>
    </dxf>
    <dxf>
      <font/>
      <fill>
        <patternFill patternType="solid">
          <fgColor rgb="FFFF00FF"/>
          <bgColor rgb="FFFF00FF"/>
        </patternFill>
      </fill>
      <border/>
    </dxf>
    <dxf>
      <font/>
      <fill>
        <patternFill patternType="solid">
          <fgColor rgb="FF00FF00"/>
          <bgColor rgb="FF00FF00"/>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E06666"/>
          <bgColor rgb="FFE06666"/>
        </patternFill>
      </fill>
      <border/>
    </dxf>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
      <font/>
      <fill>
        <patternFill patternType="solid">
          <fgColor rgb="FF8BC34A"/>
          <bgColor rgb="FF8BC34A"/>
        </patternFill>
      </fill>
      <border/>
    </dxf>
    <dxf>
      <font/>
      <fill>
        <patternFill patternType="solid">
          <fgColor rgb="FFEEF7E3"/>
          <bgColor rgb="FFEEF7E3"/>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F7CB4D"/>
          <bgColor rgb="FFF7CB4D"/>
        </patternFill>
      </fill>
      <border/>
    </dxf>
    <dxf>
      <font/>
      <fill>
        <patternFill patternType="solid">
          <fgColor rgb="FFFEF8E3"/>
          <bgColor rgb="FFFEF8E3"/>
        </patternFill>
      </fill>
      <border/>
    </dxf>
  </dxfs>
  <tableStyles count="77">
    <tableStyle count="3" pivot="0" name="Intro-style">
      <tableStyleElement dxfId="8" type="headerRow"/>
      <tableStyleElement dxfId="9" type="firstRowStripe"/>
      <tableStyleElement dxfId="10" type="secondRowStripe"/>
    </tableStyle>
    <tableStyle count="3" pivot="0" name="Weapons-style">
      <tableStyleElement dxfId="8" type="headerRow"/>
      <tableStyleElement dxfId="9" type="firstRowStripe"/>
      <tableStyleElement dxfId="10" type="secondRowStripe"/>
    </tableStyle>
    <tableStyle count="3" pivot="0" name="Weapons-style 2">
      <tableStyleElement dxfId="8" type="headerRow"/>
      <tableStyleElement dxfId="9" type="firstRowStripe"/>
      <tableStyleElement dxfId="10" type="secondRowStripe"/>
    </tableStyle>
    <tableStyle count="3" pivot="0" name="Weapons-style 3">
      <tableStyleElement dxfId="8" type="headerRow"/>
      <tableStyleElement dxfId="9" type="firstRowStripe"/>
      <tableStyleElement dxfId="10" type="secondRowStripe"/>
    </tableStyle>
    <tableStyle count="3" pivot="0" name="Weapons-style 4">
      <tableStyleElement dxfId="8" type="headerRow"/>
      <tableStyleElement dxfId="9" type="firstRowStripe"/>
      <tableStyleElement dxfId="10" type="secondRowStripe"/>
    </tableStyle>
    <tableStyle count="3" pivot="0" name="Weapons-style 5">
      <tableStyleElement dxfId="8" type="headerRow"/>
      <tableStyleElement dxfId="9" type="firstRowStripe"/>
      <tableStyleElement dxfId="10" type="secondRowStripe"/>
    </tableStyle>
    <tableStyle count="3" pivot="0" name="Weapons-style 6">
      <tableStyleElement dxfId="8" type="headerRow"/>
      <tableStyleElement dxfId="9" type="firstRowStripe"/>
      <tableStyleElement dxfId="10" type="secondRowStripe"/>
    </tableStyle>
    <tableStyle count="3" pivot="0" name="Weapons-style 7">
      <tableStyleElement dxfId="8" type="headerRow"/>
      <tableStyleElement dxfId="9" type="firstRowStripe"/>
      <tableStyleElement dxfId="10" type="secondRowStripe"/>
    </tableStyle>
    <tableStyle count="3" pivot="0" name="Weapons-style 8">
      <tableStyleElement dxfId="8" type="headerRow"/>
      <tableStyleElement dxfId="9" type="firstRowStripe"/>
      <tableStyleElement dxfId="10" type="secondRowStripe"/>
    </tableStyle>
    <tableStyle count="3" pivot="0" name="Weapons-style 9">
      <tableStyleElement dxfId="8" type="headerRow"/>
      <tableStyleElement dxfId="9" type="firstRowStripe"/>
      <tableStyleElement dxfId="10" type="secondRowStripe"/>
    </tableStyle>
    <tableStyle count="3" pivot="0" name="Weapons-style 10">
      <tableStyleElement dxfId="8" type="headerRow"/>
      <tableStyleElement dxfId="9" type="firstRowStripe"/>
      <tableStyleElement dxfId="10" type="secondRowStripe"/>
    </tableStyle>
    <tableStyle count="3" pivot="0" name="Weapons-style 11">
      <tableStyleElement dxfId="8" type="headerRow"/>
      <tableStyleElement dxfId="9" type="firstRowStripe"/>
      <tableStyleElement dxfId="10" type="secondRowStripe"/>
    </tableStyle>
    <tableStyle count="3" pivot="0" name="Weapons-style 12">
      <tableStyleElement dxfId="8" type="headerRow"/>
      <tableStyleElement dxfId="9" type="firstRowStripe"/>
      <tableStyleElement dxfId="10" type="secondRowStripe"/>
    </tableStyle>
    <tableStyle count="3" pivot="0" name="Weapons-style 13">
      <tableStyleElement dxfId="8" type="headerRow"/>
      <tableStyleElement dxfId="9" type="firstRowStripe"/>
      <tableStyleElement dxfId="10" type="secondRowStripe"/>
    </tableStyle>
    <tableStyle count="3" pivot="0" name="Weapons-style 14">
      <tableStyleElement dxfId="8" type="headerRow"/>
      <tableStyleElement dxfId="9" type="firstRowStripe"/>
      <tableStyleElement dxfId="10" type="secondRowStripe"/>
    </tableStyle>
    <tableStyle count="3" pivot="0" name="Weapons-style 15">
      <tableStyleElement dxfId="8" type="headerRow"/>
      <tableStyleElement dxfId="9" type="firstRowStripe"/>
      <tableStyleElement dxfId="10" type="secondRowStripe"/>
    </tableStyle>
    <tableStyle count="3" pivot="0" name="Weapons-style 16">
      <tableStyleElement dxfId="8" type="headerRow"/>
      <tableStyleElement dxfId="9" type="firstRowStripe"/>
      <tableStyleElement dxfId="10" type="secondRowStripe"/>
    </tableStyle>
    <tableStyle count="3" pivot="0" name="Weapons-style 17">
      <tableStyleElement dxfId="8" type="headerRow"/>
      <tableStyleElement dxfId="9" type="firstRowStripe"/>
      <tableStyleElement dxfId="10" type="secondRowStripe"/>
    </tableStyle>
    <tableStyle count="3" pivot="0" name="Weapons-style 18">
      <tableStyleElement dxfId="8" type="headerRow"/>
      <tableStyleElement dxfId="9" type="firstRowStripe"/>
      <tableStyleElement dxfId="10" type="secondRowStripe"/>
    </tableStyle>
    <tableStyle count="3" pivot="0" name="Weapons-style 19">
      <tableStyleElement dxfId="8" type="headerRow"/>
      <tableStyleElement dxfId="9" type="firstRowStripe"/>
      <tableStyleElement dxfId="10" type="secondRowStripe"/>
    </tableStyle>
    <tableStyle count="3" pivot="0" name="Weapons-style 20">
      <tableStyleElement dxfId="8" type="headerRow"/>
      <tableStyleElement dxfId="9" type="firstRowStripe"/>
      <tableStyleElement dxfId="10" type="secondRowStripe"/>
    </tableStyle>
    <tableStyle count="3" pivot="0" name="Weapons-style 21">
      <tableStyleElement dxfId="8" type="headerRow"/>
      <tableStyleElement dxfId="9" type="firstRowStripe"/>
      <tableStyleElement dxfId="10" type="secondRowStripe"/>
    </tableStyle>
    <tableStyle count="3" pivot="0" name="Weapons-style 22">
      <tableStyleElement dxfId="8" type="headerRow"/>
      <tableStyleElement dxfId="9" type="firstRowStripe"/>
      <tableStyleElement dxfId="10" type="secondRowStripe"/>
    </tableStyle>
    <tableStyle count="3" pivot="0" name="Weapons-style 23">
      <tableStyleElement dxfId="8" type="headerRow"/>
      <tableStyleElement dxfId="9" type="firstRowStripe"/>
      <tableStyleElement dxfId="10" type="secondRowStripe"/>
    </tableStyle>
    <tableStyle count="3" pivot="0" name="Weapons-style 24">
      <tableStyleElement dxfId="8" type="headerRow"/>
      <tableStyleElement dxfId="9" type="firstRowStripe"/>
      <tableStyleElement dxfId="10" type="secondRowStripe"/>
    </tableStyle>
    <tableStyle count="3" pivot="0" name="Weapons-style 25">
      <tableStyleElement dxfId="8" type="headerRow"/>
      <tableStyleElement dxfId="9" type="firstRowStripe"/>
      <tableStyleElement dxfId="10" type="secondRowStripe"/>
    </tableStyle>
    <tableStyle count="3" pivot="0" name="Weapons-style 26">
      <tableStyleElement dxfId="8" type="headerRow"/>
      <tableStyleElement dxfId="9" type="firstRowStripe"/>
      <tableStyleElement dxfId="10" type="secondRowStripe"/>
    </tableStyle>
    <tableStyle count="3" pivot="0" name="Weapons-style 27">
      <tableStyleElement dxfId="8" type="headerRow"/>
      <tableStyleElement dxfId="9" type="firstRowStripe"/>
      <tableStyleElement dxfId="10" type="secondRowStripe"/>
    </tableStyle>
    <tableStyle count="3" pivot="0" name="Weapons-style 28">
      <tableStyleElement dxfId="8" type="headerRow"/>
      <tableStyleElement dxfId="9" type="firstRowStripe"/>
      <tableStyleElement dxfId="10" type="secondRowStripe"/>
    </tableStyle>
    <tableStyle count="3" pivot="0" name="Weapons-style 29">
      <tableStyleElement dxfId="11" type="headerRow"/>
      <tableStyleElement dxfId="9" type="firstRowStripe"/>
      <tableStyleElement dxfId="12" type="secondRowStripe"/>
    </tableStyle>
    <tableStyle count="3" pivot="0" name="Weapons-style 30">
      <tableStyleElement dxfId="11" type="headerRow"/>
      <tableStyleElement dxfId="9" type="firstRowStripe"/>
      <tableStyleElement dxfId="12" type="secondRowStripe"/>
    </tableStyle>
    <tableStyle count="3" pivot="0" name="Weapons-style 31">
      <tableStyleElement dxfId="13" type="headerRow"/>
      <tableStyleElement dxfId="9" type="firstRowStripe"/>
      <tableStyleElement dxfId="14" type="secondRowStripe"/>
    </tableStyle>
    <tableStyle count="3" pivot="0" name="Weapons-style 32">
      <tableStyleElement dxfId="13" type="headerRow"/>
      <tableStyleElement dxfId="9" type="firstRowStripe"/>
      <tableStyleElement dxfId="14" type="secondRowStripe"/>
    </tableStyle>
    <tableStyle count="3" pivot="0" name="Weapons-style 33">
      <tableStyleElement dxfId="13" type="headerRow"/>
      <tableStyleElement dxfId="9" type="firstRowStripe"/>
      <tableStyleElement dxfId="14" type="secondRowStripe"/>
    </tableStyle>
    <tableStyle count="3" pivot="0" name="Weapons-style 34">
      <tableStyleElement dxfId="13" type="headerRow"/>
      <tableStyleElement dxfId="9" type="firstRowStripe"/>
      <tableStyleElement dxfId="14" type="secondRowStripe"/>
    </tableStyle>
    <tableStyle count="3" pivot="0" name="Weapons-style 35">
      <tableStyleElement dxfId="13" type="headerRow"/>
      <tableStyleElement dxfId="9" type="firstRowStripe"/>
      <tableStyleElement dxfId="14" type="secondRowStripe"/>
    </tableStyle>
    <tableStyle count="3" pivot="0" name="Weapons-style 36">
      <tableStyleElement dxfId="13" type="headerRow"/>
      <tableStyleElement dxfId="9" type="firstRowStripe"/>
      <tableStyleElement dxfId="14" type="secondRowStripe"/>
    </tableStyle>
    <tableStyle count="3" pivot="0" name="Weapons-style 37">
      <tableStyleElement dxfId="15" type="headerRow"/>
      <tableStyleElement dxfId="9" type="firstRowStripe"/>
      <tableStyleElement dxfId="16" type="secondRowStripe"/>
    </tableStyle>
    <tableStyle count="3" pivot="0" name="Camp ClothesJewelry-style">
      <tableStyleElement dxfId="8" type="headerRow"/>
      <tableStyleElement dxfId="9" type="firstRowStripe"/>
      <tableStyleElement dxfId="10" type="secondRowStripe"/>
    </tableStyle>
    <tableStyle count="3" pivot="0" name="Camp ClothesJewelry-style 2">
      <tableStyleElement dxfId="8" type="headerRow"/>
      <tableStyleElement dxfId="9" type="firstRowStripe"/>
      <tableStyleElement dxfId="10" type="secondRowStripe"/>
    </tableStyle>
    <tableStyle count="3" pivot="0" name="Camp ClothesJewelry-style 3">
      <tableStyleElement dxfId="8" type="headerRow"/>
      <tableStyleElement dxfId="9" type="firstRowStripe"/>
      <tableStyleElement dxfId="10" type="secondRowStripe"/>
    </tableStyle>
    <tableStyle count="3" pivot="0" name="Camp ClothesJewelry-style 4">
      <tableStyleElement dxfId="8" type="headerRow"/>
      <tableStyleElement dxfId="9" type="firstRowStripe"/>
      <tableStyleElement dxfId="10" type="secondRowStripe"/>
    </tableStyle>
    <tableStyle count="3" pivot="0" name="Camp ClothesJewelry-style 5">
      <tableStyleElement dxfId="8" type="headerRow"/>
      <tableStyleElement dxfId="9" type="firstRowStripe"/>
      <tableStyleElement dxfId="10" type="secondRowStripe"/>
    </tableStyle>
    <tableStyle count="3" pivot="0" name="ArmorShieldsClothes-style">
      <tableStyleElement dxfId="8" type="headerRow"/>
      <tableStyleElement dxfId="9" type="firstRowStripe"/>
      <tableStyleElement dxfId="10" type="secondRowStripe"/>
    </tableStyle>
    <tableStyle count="3" pivot="0" name="ArmorShieldsClothes-style 2">
      <tableStyleElement dxfId="8" type="headerRow"/>
      <tableStyleElement dxfId="9" type="firstRowStripe"/>
      <tableStyleElement dxfId="10" type="secondRowStripe"/>
    </tableStyle>
    <tableStyle count="3" pivot="0" name="ArmorShieldsClothes-style 3">
      <tableStyleElement dxfId="8" type="headerRow"/>
      <tableStyleElement dxfId="9" type="firstRowStripe"/>
      <tableStyleElement dxfId="10" type="secondRowStripe"/>
    </tableStyle>
    <tableStyle count="3" pivot="0" name="ArmorShieldsClothes-style 4">
      <tableStyleElement dxfId="8" type="headerRow"/>
      <tableStyleElement dxfId="9" type="firstRowStripe"/>
      <tableStyleElement dxfId="10" type="secondRowStripe"/>
    </tableStyle>
    <tableStyle count="3" pivot="0" name="ArmorShieldsClothes-style 5">
      <tableStyleElement dxfId="8" type="headerRow"/>
      <tableStyleElement dxfId="9" type="firstRowStripe"/>
      <tableStyleElement dxfId="10" type="secondRowStripe"/>
    </tableStyle>
    <tableStyle count="3" pivot="0" name="ArmorShieldsClothes-style 6">
      <tableStyleElement dxfId="8" type="headerRow"/>
      <tableStyleElement dxfId="9" type="firstRowStripe"/>
      <tableStyleElement dxfId="10" type="secondRowStripe"/>
    </tableStyle>
    <tableStyle count="3" pivot="0" name="ArmorShieldsClothes-style 7">
      <tableStyleElement dxfId="8" type="headerRow"/>
      <tableStyleElement dxfId="9" type="firstRowStripe"/>
      <tableStyleElement dxfId="10" type="secondRowStripe"/>
    </tableStyle>
    <tableStyle count="3" pivot="0" name="ArmorShieldsClothes-style 8">
      <tableStyleElement dxfId="8" type="headerRow"/>
      <tableStyleElement dxfId="9" type="firstRowStripe"/>
      <tableStyleElement dxfId="10" type="secondRowStripe"/>
    </tableStyle>
    <tableStyle count="3" pivot="0" name="ArmorShieldsClothes-style 9">
      <tableStyleElement dxfId="8" type="headerRow"/>
      <tableStyleElement dxfId="9" type="firstRowStripe"/>
      <tableStyleElement dxfId="10" type="secondRowStripe"/>
    </tableStyle>
    <tableStyle count="3" pivot="0" name="Consumables-style">
      <tableStyleElement dxfId="8" type="headerRow"/>
      <tableStyleElement dxfId="9" type="firstRowStripe"/>
      <tableStyleElement dxfId="10" type="secondRowStripe"/>
    </tableStyle>
    <tableStyle count="3" pivot="0" name="Consumables-style 2">
      <tableStyleElement dxfId="8" type="headerRow"/>
      <tableStyleElement dxfId="9" type="firstRowStripe"/>
      <tableStyleElement dxfId="10" type="secondRowStripe"/>
    </tableStyle>
    <tableStyle count="3" pivot="0" name="Consumables-style 3">
      <tableStyleElement dxfId="8" type="headerRow"/>
      <tableStyleElement dxfId="9" type="firstRowStripe"/>
      <tableStyleElement dxfId="10" type="secondRowStripe"/>
    </tableStyle>
    <tableStyle count="3" pivot="0" name="Consumables-style 4">
      <tableStyleElement dxfId="8" type="headerRow"/>
      <tableStyleElement dxfId="9" type="firstRowStripe"/>
      <tableStyleElement dxfId="10" type="secondRowStripe"/>
    </tableStyle>
    <tableStyle count="3" pivot="0" name="Consumables-style 5">
      <tableStyleElement dxfId="8" type="headerRow"/>
      <tableStyleElement dxfId="9" type="firstRowStripe"/>
      <tableStyleElement dxfId="10" type="secondRowStripe"/>
    </tableStyle>
    <tableStyle count="3" pivot="0" name="Consumables-style 6">
      <tableStyleElement dxfId="8" type="headerRow"/>
      <tableStyleElement dxfId="9" type="firstRowStripe"/>
      <tableStyleElement dxfId="10" type="secondRowStripe"/>
    </tableStyle>
    <tableStyle count="3" pivot="0" name="Consumables-style 7">
      <tableStyleElement dxfId="8" type="headerRow"/>
      <tableStyleElement dxfId="9" type="firstRowStripe"/>
      <tableStyleElement dxfId="10" type="secondRowStripe"/>
    </tableStyle>
    <tableStyle count="3" pivot="0" name="Consumables-style 8">
      <tableStyleElement dxfId="8" type="headerRow"/>
      <tableStyleElement dxfId="9" type="firstRowStripe"/>
      <tableStyleElement dxfId="10" type="secondRowStripe"/>
    </tableStyle>
    <tableStyle count="3" pivot="0" name="KeysStory-style">
      <tableStyleElement dxfId="8" type="headerRow"/>
      <tableStyleElement dxfId="9" type="firstRowStripe"/>
      <tableStyleElement dxfId="10" type="secondRowStripe"/>
    </tableStyle>
    <tableStyle count="3" pivot="0" name="KeysStory-style 2">
      <tableStyleElement dxfId="8" type="headerRow"/>
      <tableStyleElement dxfId="9" type="firstRowStripe"/>
      <tableStyleElement dxfId="10" type="secondRowStripe"/>
    </tableStyle>
    <tableStyle count="3" pivot="0" name="KeysStory-style 3">
      <tableStyleElement dxfId="8" type="headerRow"/>
      <tableStyleElement dxfId="9" type="firstRowStripe"/>
      <tableStyleElement dxfId="10" type="secondRowStripe"/>
    </tableStyle>
    <tableStyle count="3" pivot="0" name="KeysStory-style 4">
      <tableStyleElement dxfId="8" type="headerRow"/>
      <tableStyleElement dxfId="9" type="firstRowStripe"/>
      <tableStyleElement dxfId="10" type="secondRowStripe"/>
    </tableStyle>
    <tableStyle count="3" pivot="0" name="KeysStory-style 5">
      <tableStyleElement dxfId="8" type="headerRow"/>
      <tableStyleElement dxfId="9" type="firstRowStripe"/>
      <tableStyleElement dxfId="10" type="secondRowStripe"/>
    </tableStyle>
    <tableStyle count="3" pivot="0" name="AlchemyDyes-style">
      <tableStyleElement dxfId="8" type="headerRow"/>
      <tableStyleElement dxfId="9" type="firstRowStripe"/>
      <tableStyleElement dxfId="10" type="secondRowStripe"/>
    </tableStyle>
    <tableStyle count="3" pivot="0" name="AlchemyDyes-style 2">
      <tableStyleElement dxfId="8" type="headerRow"/>
      <tableStyleElement dxfId="9" type="firstRowStripe"/>
      <tableStyleElement dxfId="10" type="secondRowStripe"/>
    </tableStyle>
    <tableStyle count="3" pivot="0" name="AlchemyDyes-style 3">
      <tableStyleElement dxfId="8" type="headerRow"/>
      <tableStyleElement dxfId="9" type="firstRowStripe"/>
      <tableStyleElement dxfId="10" type="secondRowStripe"/>
    </tableStyle>
    <tableStyle count="3" pivot="0" name="ContainersValuables-style">
      <tableStyleElement dxfId="8" type="headerRow"/>
      <tableStyleElement dxfId="9" type="firstRowStripe"/>
      <tableStyleElement dxfId="10" type="secondRowStripe"/>
    </tableStyle>
    <tableStyle count="3" pivot="0" name="ContainersValuables-style 2">
      <tableStyleElement dxfId="8" type="headerRow"/>
      <tableStyleElement dxfId="9" type="firstRowStripe"/>
      <tableStyleElement dxfId="10" type="secondRowStripe"/>
    </tableStyle>
    <tableStyle count="3" pivot="0" name="ContainersValuables-style 3">
      <tableStyleElement dxfId="8" type="headerRow"/>
      <tableStyleElement dxfId="9" type="firstRowStripe"/>
      <tableStyleElement dxfId="10" type="secondRowStripe"/>
    </tableStyle>
    <tableStyle count="3" pivot="0" name="ContainersValuables-style 4">
      <tableStyleElement dxfId="8" type="headerRow"/>
      <tableStyleElement dxfId="9" type="firstRowStripe"/>
      <tableStyleElement dxfId="10" type="secondRowStripe"/>
    </tableStyle>
    <tableStyle count="3" pivot="0" name="ContainersValuables-style 5">
      <tableStyleElement dxfId="8" type="headerRow"/>
      <tableStyleElement dxfId="9" type="firstRowStripe"/>
      <tableStyleElement dxfId="10" type="secondRowStripe"/>
    </tableStyle>
    <tableStyle count="3" pivot="0" name="Sets-style">
      <tableStyleElement dxfId="8" type="headerRow"/>
      <tableStyleElement dxfId="9" type="firstRowStripe"/>
      <tableStyleElement dxfId="10" type="secondRowStripe"/>
    </tableStyle>
    <tableStyle count="3" pivot="0" name="Sets-style 2">
      <tableStyleElement dxfId="8" type="headerRow"/>
      <tableStyleElement dxfId="9" type="firstRowStripe"/>
      <tableStyleElement dxfId="10" type="secondRowStripe"/>
    </tableStyle>
    <tableStyle count="3" pivot="0" name="Sets-style 3">
      <tableStyleElement dxfId="8" type="headerRow"/>
      <tableStyleElement dxfId="9" type="firstRowStripe"/>
      <tableStyleElement dxfId="10" type="secondRowStripe"/>
    </tableStyle>
    <tableStyle count="3" pivot="0" name="Sets-style 4">
      <tableStyleElement dxfId="8" type="headerRow"/>
      <tableStyleElement dxfId="9" type="firstRowStripe"/>
      <tableStyleElement dxfId="1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1:D23" displayName="Table_1" name="Table_1" id="1">
  <tableColumns count="4">
    <tableColumn name="Name" id="1"/>
    <tableColumn name="Rarity" id="2"/>
    <tableColumn name="Raw UUID" id="3"/>
    <tableColumn name="Spawn Command" id="4"/>
  </tableColumns>
  <tableStyleInfo name="Intro-style" showColumnStripes="0" showFirstColumn="1" showLastColumn="1" showRowStripes="1"/>
</table>
</file>

<file path=xl/tables/table10.xml><?xml version="1.0" encoding="utf-8"?>
<table xmlns="http://schemas.openxmlformats.org/spreadsheetml/2006/main" ref="A129:D137" displayName="Table_10" name="Table_10" id="10">
  <tableColumns count="4">
    <tableColumn name="Name" id="1"/>
    <tableColumn name="Rarity" id="2"/>
    <tableColumn name="Raw UUID" id="3"/>
    <tableColumn name="Spawn Command" id="4"/>
  </tableColumns>
  <tableStyleInfo name="Weapons-style 9" showColumnStripes="0" showFirstColumn="1" showLastColumn="1" showRowStripes="1"/>
</table>
</file>

<file path=xl/tables/table11.xml><?xml version="1.0" encoding="utf-8"?>
<table xmlns="http://schemas.openxmlformats.org/spreadsheetml/2006/main" ref="A140:D159" displayName="Table_11" name="Table_11" id="11">
  <tableColumns count="4">
    <tableColumn name="Name" id="1"/>
    <tableColumn name="Rarity" id="2"/>
    <tableColumn name="Raw UUID" id="3"/>
    <tableColumn name="Spawn Command" id="4"/>
  </tableColumns>
  <tableStyleInfo name="Weapons-style 10" showColumnStripes="0" showFirstColumn="1" showLastColumn="1" showRowStripes="1"/>
</table>
</file>

<file path=xl/tables/table12.xml><?xml version="1.0" encoding="utf-8"?>
<table xmlns="http://schemas.openxmlformats.org/spreadsheetml/2006/main" ref="A162:D171" displayName="Table_12" name="Table_12" id="12">
  <tableColumns count="4">
    <tableColumn name="Name" id="1"/>
    <tableColumn name="Rarity" id="2"/>
    <tableColumn name="Raw UUID" id="3"/>
    <tableColumn name="Spawn Command" id="4"/>
  </tableColumns>
  <tableStyleInfo name="Weapons-style 11" showColumnStripes="0" showFirstColumn="1" showLastColumn="1" showRowStripes="1"/>
</table>
</file>

<file path=xl/tables/table13.xml><?xml version="1.0" encoding="utf-8"?>
<table xmlns="http://schemas.openxmlformats.org/spreadsheetml/2006/main" ref="A174:D182" displayName="Table_13" name="Table_13" id="13">
  <tableColumns count="4">
    <tableColumn name="Name" id="1"/>
    <tableColumn name="Rarity" id="2"/>
    <tableColumn name="Raw UUID" id="3"/>
    <tableColumn name="Spawn Command" id="4"/>
  </tableColumns>
  <tableStyleInfo name="Weapons-style 12" showColumnStripes="0" showFirstColumn="1" showLastColumn="1" showRowStripes="1"/>
</table>
</file>

<file path=xl/tables/table14.xml><?xml version="1.0" encoding="utf-8"?>
<table xmlns="http://schemas.openxmlformats.org/spreadsheetml/2006/main" ref="A185:D188" displayName="Table_14" name="Table_14" id="14">
  <tableColumns count="4">
    <tableColumn name="Name" id="1"/>
    <tableColumn name="Rarity" id="2"/>
    <tableColumn name="Raw UUID" id="3"/>
    <tableColumn name="Spawn Command" id="4"/>
  </tableColumns>
  <tableStyleInfo name="Weapons-style 13" showColumnStripes="0" showFirstColumn="1" showLastColumn="1" showRowStripes="1"/>
</table>
</file>

<file path=xl/tables/table15.xml><?xml version="1.0" encoding="utf-8"?>
<table xmlns="http://schemas.openxmlformats.org/spreadsheetml/2006/main" ref="A191:D199" displayName="Table_15" name="Table_15" id="15">
  <tableColumns count="4">
    <tableColumn name="Name" id="1"/>
    <tableColumn name="Rarity" id="2"/>
    <tableColumn name="Raw UUID" id="3"/>
    <tableColumn name="Spawn Command" id="4"/>
  </tableColumns>
  <tableStyleInfo name="Weapons-style 14" showColumnStripes="0" showFirstColumn="1" showLastColumn="1" showRowStripes="1"/>
</table>
</file>

<file path=xl/tables/table16.xml><?xml version="1.0" encoding="utf-8"?>
<table xmlns="http://schemas.openxmlformats.org/spreadsheetml/2006/main" ref="A202:D233" displayName="Table_16" name="Table_16" id="16">
  <tableColumns count="4">
    <tableColumn name="Name" id="1"/>
    <tableColumn name="Rarity" id="2"/>
    <tableColumn name="Raw UUID" id="3"/>
    <tableColumn name="Spawn Command" id="4"/>
  </tableColumns>
  <tableStyleInfo name="Weapons-style 15" showColumnStripes="0" showFirstColumn="1" showLastColumn="1" showRowStripes="1"/>
</table>
</file>

<file path=xl/tables/table17.xml><?xml version="1.0" encoding="utf-8"?>
<table xmlns="http://schemas.openxmlformats.org/spreadsheetml/2006/main" ref="A236:D252" displayName="Table_17" name="Table_17" id="17">
  <tableColumns count="4">
    <tableColumn name="Name" id="1"/>
    <tableColumn name="Rarity" id="2"/>
    <tableColumn name="Raw UUID" id="3"/>
    <tableColumn name="Spawn Command" id="4"/>
  </tableColumns>
  <tableStyleInfo name="Weapons-style 16" showColumnStripes="0" showFirstColumn="1" showLastColumn="1" showRowStripes="1"/>
</table>
</file>

<file path=xl/tables/table18.xml><?xml version="1.0" encoding="utf-8"?>
<table xmlns="http://schemas.openxmlformats.org/spreadsheetml/2006/main" ref="A255:D264" displayName="Table_18" name="Table_18" id="18">
  <tableColumns count="4">
    <tableColumn name="Name" id="1"/>
    <tableColumn name="Rarity" id="2"/>
    <tableColumn name="Raw UUID" id="3"/>
    <tableColumn name="Spawn Command" id="4"/>
  </tableColumns>
  <tableStyleInfo name="Weapons-style 17" showColumnStripes="0" showFirstColumn="1" showLastColumn="1" showRowStripes="1"/>
</table>
</file>

<file path=xl/tables/table19.xml><?xml version="1.0" encoding="utf-8"?>
<table xmlns="http://schemas.openxmlformats.org/spreadsheetml/2006/main" ref="A267:D274" displayName="Table_19" name="Table_19" id="19">
  <tableColumns count="4">
    <tableColumn name="Name" id="1"/>
    <tableColumn name="Rarity" id="2"/>
    <tableColumn name="Raw UUID" id="3"/>
    <tableColumn name="Spawn Command" id="4"/>
  </tableColumns>
  <tableStyleInfo name="Weapons-style 18" showColumnStripes="0" showFirstColumn="1" showLastColumn="1" showRowStripes="1"/>
</table>
</file>

<file path=xl/tables/table2.xml><?xml version="1.0" encoding="utf-8"?>
<table xmlns="http://schemas.openxmlformats.org/spreadsheetml/2006/main" ref="A3:D13" displayName="Table_2" name="Table_2" id="2">
  <tableColumns count="4">
    <tableColumn name="Name" id="1"/>
    <tableColumn name="Rarity" id="2"/>
    <tableColumn name="Raw UUID" id="3"/>
    <tableColumn name="Spawn Command" id="4"/>
  </tableColumns>
  <tableStyleInfo name="Weapons-style" showColumnStripes="0" showFirstColumn="1" showLastColumn="1" showRowStripes="1"/>
</table>
</file>

<file path=xl/tables/table20.xml><?xml version="1.0" encoding="utf-8"?>
<table xmlns="http://schemas.openxmlformats.org/spreadsheetml/2006/main" ref="A277:D286" displayName="Table_20" name="Table_20" id="20">
  <tableColumns count="4">
    <tableColumn name="Name" id="1"/>
    <tableColumn name="Rarity" id="2"/>
    <tableColumn name="Raw UUID" id="3"/>
    <tableColumn name="Spawn Command" id="4"/>
  </tableColumns>
  <tableStyleInfo name="Weapons-style 19" showColumnStripes="0" showFirstColumn="1" showLastColumn="1" showRowStripes="1"/>
</table>
</file>

<file path=xl/tables/table21.xml><?xml version="1.0" encoding="utf-8"?>
<table xmlns="http://schemas.openxmlformats.org/spreadsheetml/2006/main" ref="A289:D327" displayName="Table_21" name="Table_21" id="21">
  <tableColumns count="4">
    <tableColumn name="Name" id="1"/>
    <tableColumn name="Rarity" id="2"/>
    <tableColumn name="Raw UUID" id="3"/>
    <tableColumn name="Spawn Command" id="4"/>
  </tableColumns>
  <tableStyleInfo name="Weapons-style 20" showColumnStripes="0" showFirstColumn="1" showLastColumn="1" showRowStripes="1"/>
</table>
</file>

<file path=xl/tables/table22.xml><?xml version="1.0" encoding="utf-8"?>
<table xmlns="http://schemas.openxmlformats.org/spreadsheetml/2006/main" ref="A330:D342" displayName="Table_22" name="Table_22" id="22">
  <tableColumns count="4">
    <tableColumn name="Name" id="1"/>
    <tableColumn name="Rarity" id="2"/>
    <tableColumn name="Raw UUID" id="3"/>
    <tableColumn name="Spawn Command" id="4"/>
  </tableColumns>
  <tableStyleInfo name="Weapons-style 21" showColumnStripes="0" showFirstColumn="1" showLastColumn="1" showRowStripes="1"/>
</table>
</file>

<file path=xl/tables/table23.xml><?xml version="1.0" encoding="utf-8"?>
<table xmlns="http://schemas.openxmlformats.org/spreadsheetml/2006/main" ref="A345:D364" displayName="Table_23" name="Table_23" id="23">
  <tableColumns count="4">
    <tableColumn name="Name" id="1"/>
    <tableColumn name="Rarity" id="2"/>
    <tableColumn name="Raw UUID" id="3"/>
    <tableColumn name="Spawn Command" id="4"/>
  </tableColumns>
  <tableStyleInfo name="Weapons-style 22" showColumnStripes="0" showFirstColumn="1" showLastColumn="1" showRowStripes="1"/>
</table>
</file>

<file path=xl/tables/table24.xml><?xml version="1.0" encoding="utf-8"?>
<table xmlns="http://schemas.openxmlformats.org/spreadsheetml/2006/main" ref="A367:D395" displayName="Table_24" name="Table_24" id="24">
  <tableColumns count="4">
    <tableColumn name="Name" id="1"/>
    <tableColumn name="Rarity" id="2"/>
    <tableColumn name="Raw UUID" id="3"/>
    <tableColumn name="Spawn Command" id="4"/>
  </tableColumns>
  <tableStyleInfo name="Weapons-style 23" showColumnStripes="0" showFirstColumn="1" showLastColumn="1" showRowStripes="1"/>
</table>
</file>

<file path=xl/tables/table25.xml><?xml version="1.0" encoding="utf-8"?>
<table xmlns="http://schemas.openxmlformats.org/spreadsheetml/2006/main" ref="A398:D405" displayName="Table_25" name="Table_25" id="25">
  <tableColumns count="4">
    <tableColumn name="Name" id="1"/>
    <tableColumn name="Rarity" id="2"/>
    <tableColumn name="Raw UUID" id="3"/>
    <tableColumn name="Spawn Command" id="4"/>
  </tableColumns>
  <tableStyleInfo name="Weapons-style 24" showColumnStripes="0" showFirstColumn="1" showLastColumn="1" showRowStripes="1"/>
</table>
</file>

<file path=xl/tables/table26.xml><?xml version="1.0" encoding="utf-8"?>
<table xmlns="http://schemas.openxmlformats.org/spreadsheetml/2006/main" ref="A408:D424" displayName="Table_26" name="Table_26" id="26">
  <tableColumns count="4">
    <tableColumn name="Name" id="1"/>
    <tableColumn name="Rarity" id="2"/>
    <tableColumn name="Raw UUID" id="3"/>
    <tableColumn name="Spawn Command" id="4"/>
  </tableColumns>
  <tableStyleInfo name="Weapons-style 25" showColumnStripes="0" showFirstColumn="1" showLastColumn="1" showRowStripes="1"/>
</table>
</file>

<file path=xl/tables/table27.xml><?xml version="1.0" encoding="utf-8"?>
<table xmlns="http://schemas.openxmlformats.org/spreadsheetml/2006/main" ref="A427:D437" displayName="Table_27" name="Table_27" id="27">
  <tableColumns count="4">
    <tableColumn name="Name" id="1"/>
    <tableColumn name="Rarity" id="2"/>
    <tableColumn name="Raw UUID" id="3"/>
    <tableColumn name="Spawn Command" id="4"/>
  </tableColumns>
  <tableStyleInfo name="Weapons-style 26" showColumnStripes="0" showFirstColumn="1" showLastColumn="1" showRowStripes="1"/>
</table>
</file>

<file path=xl/tables/table28.xml><?xml version="1.0" encoding="utf-8"?>
<table xmlns="http://schemas.openxmlformats.org/spreadsheetml/2006/main" ref="A440:D445" displayName="Table_28" name="Table_28" id="28">
  <tableColumns count="4">
    <tableColumn name="Name" id="1"/>
    <tableColumn name="Rarity" id="2"/>
    <tableColumn name="Raw UUID" id="3"/>
    <tableColumn name="Spawn Command" id="4"/>
  </tableColumns>
  <tableStyleInfo name="Weapons-style 27" showColumnStripes="0" showFirstColumn="1" showLastColumn="1" showRowStripes="1"/>
</table>
</file>

<file path=xl/tables/table29.xml><?xml version="1.0" encoding="utf-8"?>
<table xmlns="http://schemas.openxmlformats.org/spreadsheetml/2006/main" ref="A448:D463" displayName="Table_29" name="Table_29" id="29">
  <tableColumns count="4">
    <tableColumn name="Name" id="1"/>
    <tableColumn name="Rarity" id="2"/>
    <tableColumn name="Raw UUID" id="3"/>
    <tableColumn name="Spawn Command" id="4"/>
  </tableColumns>
  <tableStyleInfo name="Weapons-style 28" showColumnStripes="0" showFirstColumn="1" showLastColumn="1" showRowStripes="1"/>
</table>
</file>

<file path=xl/tables/table3.xml><?xml version="1.0" encoding="utf-8"?>
<table xmlns="http://schemas.openxmlformats.org/spreadsheetml/2006/main" ref="A16:D26" displayName="Table_3" name="Table_3" id="3">
  <tableColumns count="4">
    <tableColumn name="Name" id="1"/>
    <tableColumn name="Rarity" id="2"/>
    <tableColumn name="Raw UUID" id="3"/>
    <tableColumn name="Spawn Command" id="4"/>
  </tableColumns>
  <tableStyleInfo name="Weapons-style 2" showColumnStripes="0" showFirstColumn="1" showLastColumn="1" showRowStripes="1"/>
</table>
</file>

<file path=xl/tables/table30.xml><?xml version="1.0" encoding="utf-8"?>
<table xmlns="http://schemas.openxmlformats.org/spreadsheetml/2006/main" ref="A466:D504" displayName="Table_30" name="Table_30" id="30">
  <tableColumns count="4">
    <tableColumn name="Name" id="1"/>
    <tableColumn name="Rarity" id="2"/>
    <tableColumn name="Raw UUID" id="3"/>
    <tableColumn name="Spawn Command" id="4"/>
  </tableColumns>
  <tableStyleInfo name="Weapons-style 29" showColumnStripes="0" showFirstColumn="1" showLastColumn="1" showRowStripes="1"/>
</table>
</file>

<file path=xl/tables/table31.xml><?xml version="1.0" encoding="utf-8"?>
<table xmlns="http://schemas.openxmlformats.org/spreadsheetml/2006/main" ref="A507:D510" displayName="Table_31" name="Table_31" id="31">
  <tableColumns count="4">
    <tableColumn name="Name" id="1"/>
    <tableColumn name="Rarity" id="2"/>
    <tableColumn name="Raw UUID" id="3"/>
    <tableColumn name="Spawn Command" id="4"/>
  </tableColumns>
  <tableStyleInfo name="Weapons-style 30" showColumnStripes="0" showFirstColumn="1" showLastColumn="1" showRowStripes="1"/>
</table>
</file>

<file path=xl/tables/table32.xml><?xml version="1.0" encoding="utf-8"?>
<table xmlns="http://schemas.openxmlformats.org/spreadsheetml/2006/main" ref="A513:D521" displayName="Table_32" name="Table_32" id="32">
  <tableColumns count="4">
    <tableColumn name="Name" id="1"/>
    <tableColumn name="Rarity" id="2"/>
    <tableColumn name="Raw UUID" id="3"/>
    <tableColumn name="Spawn Command" id="4"/>
  </tableColumns>
  <tableStyleInfo name="Weapons-style 31" showColumnStripes="0" showFirstColumn="1" showLastColumn="1" showRowStripes="1"/>
</table>
</file>

<file path=xl/tables/table33.xml><?xml version="1.0" encoding="utf-8"?>
<table xmlns="http://schemas.openxmlformats.org/spreadsheetml/2006/main" ref="A524:D537" displayName="Table_33" name="Table_33" id="33">
  <tableColumns count="4">
    <tableColumn name="Name" id="1"/>
    <tableColumn name="Rarity" id="2"/>
    <tableColumn name="Raw UUID" id="3"/>
    <tableColumn name="Spawn Command" id="4"/>
  </tableColumns>
  <tableStyleInfo name="Weapons-style 32" showColumnStripes="0" showFirstColumn="1" showLastColumn="1" showRowStripes="1"/>
</table>
</file>

<file path=xl/tables/table34.xml><?xml version="1.0" encoding="utf-8"?>
<table xmlns="http://schemas.openxmlformats.org/spreadsheetml/2006/main" ref="A540:D544" displayName="Table_34" name="Table_34" id="34">
  <tableColumns count="4">
    <tableColumn name="Name" id="1"/>
    <tableColumn name="Rarity" id="2"/>
    <tableColumn name="Raw UUID" id="3"/>
    <tableColumn name="Spawn Command" id="4"/>
  </tableColumns>
  <tableStyleInfo name="Weapons-style 33" showColumnStripes="0" showFirstColumn="1" showLastColumn="1" showRowStripes="1"/>
</table>
</file>

<file path=xl/tables/table35.xml><?xml version="1.0" encoding="utf-8"?>
<table xmlns="http://schemas.openxmlformats.org/spreadsheetml/2006/main" ref="A547:D557" displayName="Table_35" name="Table_35" id="35">
  <tableColumns count="4">
    <tableColumn name="Name" id="1"/>
    <tableColumn name="Rarity" id="2"/>
    <tableColumn name="Raw UUID" id="3"/>
    <tableColumn name="Spawn Command" id="4"/>
  </tableColumns>
  <tableStyleInfo name="Weapons-style 34" showColumnStripes="0" showFirstColumn="1" showLastColumn="1" showRowStripes="1"/>
</table>
</file>

<file path=xl/tables/table36.xml><?xml version="1.0" encoding="utf-8"?>
<table xmlns="http://schemas.openxmlformats.org/spreadsheetml/2006/main" ref="A560:D571" displayName="Table_36" name="Table_36" id="36">
  <tableColumns count="4">
    <tableColumn name="Name" id="1"/>
    <tableColumn name="Rarity" id="2"/>
    <tableColumn name="Raw UUID" id="3"/>
    <tableColumn name="Spawn Command" id="4"/>
  </tableColumns>
  <tableStyleInfo name="Weapons-style 35" showColumnStripes="0" showFirstColumn="1" showLastColumn="1" showRowStripes="1"/>
</table>
</file>

<file path=xl/tables/table37.xml><?xml version="1.0" encoding="utf-8"?>
<table xmlns="http://schemas.openxmlformats.org/spreadsheetml/2006/main" headerRowCount="0" ref="A574:D574" displayName="Table_37" name="Table_37" id="37">
  <tableColumns count="4">
    <tableColumn name="Column1" id="1"/>
    <tableColumn name="Column2" id="2"/>
    <tableColumn name="Column3" id="3"/>
    <tableColumn name="Column4" id="4"/>
  </tableColumns>
  <tableStyleInfo name="Weapons-style 36"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ref="A578:D606" displayName="Table_38" name="Table_38" id="38">
  <tableColumns count="4">
    <tableColumn name="Name" id="1"/>
    <tableColumn name="Rarity" id="2"/>
    <tableColumn name="Raw UUID" id="3"/>
    <tableColumn name="Spawn Command" id="4"/>
  </tableColumns>
  <tableStyleInfo name="Weapons-style 37" showColumnStripes="0" showFirstColumn="1" showLastColumn="1" showRowStripes="1"/>
</table>
</file>

<file path=xl/tables/table39.xml><?xml version="1.0" encoding="utf-8"?>
<table xmlns="http://schemas.openxmlformats.org/spreadsheetml/2006/main" ref="A3:D111" displayName="Table_39" name="Table_39" id="39">
  <tableColumns count="4">
    <tableColumn name="Name" id="1"/>
    <tableColumn name="Rarity" id="2"/>
    <tableColumn name="Raw UUID" id="3"/>
    <tableColumn name="Spawn Command" id="4"/>
  </tableColumns>
  <tableStyleInfo name="Camp ClothesJewelry-style" showColumnStripes="0" showFirstColumn="1" showLastColumn="1" showRowStripes="1"/>
</table>
</file>

<file path=xl/tables/table4.xml><?xml version="1.0" encoding="utf-8"?>
<table xmlns="http://schemas.openxmlformats.org/spreadsheetml/2006/main" ref="A29:D37" displayName="Table_4" name="Table_4" id="4">
  <tableColumns count="4">
    <tableColumn name="Name" id="1"/>
    <tableColumn name="Rarity" id="2"/>
    <tableColumn name="Raw UUID" id="3"/>
    <tableColumn name="Spawn Command" id="4"/>
  </tableColumns>
  <tableStyleInfo name="Weapons-style 3" showColumnStripes="0" showFirstColumn="1" showLastColumn="1" showRowStripes="1"/>
</table>
</file>

<file path=xl/tables/table40.xml><?xml version="1.0" encoding="utf-8"?>
<table xmlns="http://schemas.openxmlformats.org/spreadsheetml/2006/main" ref="A114:D163" displayName="Table_40" name="Table_40" id="40">
  <tableColumns count="4">
    <tableColumn name="Name" id="1"/>
    <tableColumn name="Rarity" id="2"/>
    <tableColumn name="Raw UUID" id="3"/>
    <tableColumn name="Spawn Command" id="4"/>
  </tableColumns>
  <tableStyleInfo name="Camp ClothesJewelry-style 2" showColumnStripes="0" showFirstColumn="1" showLastColumn="1" showRowStripes="1"/>
</table>
</file>

<file path=xl/tables/table41.xml><?xml version="1.0" encoding="utf-8"?>
<table xmlns="http://schemas.openxmlformats.org/spreadsheetml/2006/main" ref="A166:D190" displayName="Table_41" name="Table_41" id="41">
  <tableColumns count="4">
    <tableColumn name="Name" id="1"/>
    <tableColumn name="Rarity" id="2"/>
    <tableColumn name="Raw UUID" id="3"/>
    <tableColumn name="Spawn Command" id="4"/>
  </tableColumns>
  <tableStyleInfo name="Camp ClothesJewelry-style 3" showColumnStripes="0" showFirstColumn="1" showLastColumn="1" showRowStripes="1"/>
</table>
</file>

<file path=xl/tables/table42.xml><?xml version="1.0" encoding="utf-8"?>
<table xmlns="http://schemas.openxmlformats.org/spreadsheetml/2006/main" ref="A193:D274" displayName="Table_42" name="Table_42" id="42">
  <tableColumns count="4">
    <tableColumn name="Name" id="1"/>
    <tableColumn name="Rarity" id="2"/>
    <tableColumn name="Raw UUID" id="3"/>
    <tableColumn name="Spawn Command" id="4"/>
  </tableColumns>
  <tableStyleInfo name="Camp ClothesJewelry-style 4" showColumnStripes="0" showFirstColumn="1" showLastColumn="1" showRowStripes="1"/>
</table>
</file>

<file path=xl/tables/table43.xml><?xml version="1.0" encoding="utf-8"?>
<table xmlns="http://schemas.openxmlformats.org/spreadsheetml/2006/main" ref="A277:D375" displayName="Table_43" name="Table_43" id="43">
  <tableColumns count="4">
    <tableColumn name="Name" id="1"/>
    <tableColumn name="Rarity" id="2"/>
    <tableColumn name="Raw UUID" id="3"/>
    <tableColumn name="Spawn Command" id="4"/>
  </tableColumns>
  <tableStyleInfo name="Camp ClothesJewelry-style 5" showColumnStripes="0" showFirstColumn="1" showLastColumn="1" showRowStripes="1"/>
</table>
</file>

<file path=xl/tables/table44.xml><?xml version="1.0" encoding="utf-8"?>
<table xmlns="http://schemas.openxmlformats.org/spreadsheetml/2006/main" ref="A2:D103" displayName="Table_44" name="Table_44" id="44">
  <tableColumns count="4">
    <tableColumn name="Name" id="1"/>
    <tableColumn name="Rarity" id="2"/>
    <tableColumn name="Raw UUID" id="3"/>
    <tableColumn name="Spawn Command" id="4"/>
  </tableColumns>
  <tableStyleInfo name="ArmorShieldsClothes-style" showColumnStripes="0" showFirstColumn="1" showLastColumn="1" showRowStripes="1"/>
</table>
</file>

<file path=xl/tables/table45.xml><?xml version="1.0" encoding="utf-8"?>
<table xmlns="http://schemas.openxmlformats.org/spreadsheetml/2006/main" ref="A107:D132" displayName="Table_45" name="Table_45" id="45">
  <tableColumns count="4">
    <tableColumn name="Name" id="1"/>
    <tableColumn name="Rarity" id="2"/>
    <tableColumn name="Raw UUID" id="3"/>
    <tableColumn name="Spawn Command" id="4"/>
  </tableColumns>
  <tableStyleInfo name="ArmorShieldsClothes-style 2" showColumnStripes="0" showFirstColumn="1" showLastColumn="1" showRowStripes="1"/>
</table>
</file>

<file path=xl/tables/table46.xml><?xml version="1.0" encoding="utf-8"?>
<table xmlns="http://schemas.openxmlformats.org/spreadsheetml/2006/main" ref="A134:D176" displayName="Table_46" name="Table_46" id="46">
  <tableColumns count="4">
    <tableColumn name="Name" id="1"/>
    <tableColumn name="Rarity" id="2"/>
    <tableColumn name="Raw UUID" id="3"/>
    <tableColumn name="Spawn Command" id="4"/>
  </tableColumns>
  <tableStyleInfo name="ArmorShieldsClothes-style 3" showColumnStripes="0" showFirstColumn="1" showLastColumn="1" showRowStripes="1"/>
</table>
</file>

<file path=xl/tables/table47.xml><?xml version="1.0" encoding="utf-8"?>
<table xmlns="http://schemas.openxmlformats.org/spreadsheetml/2006/main" ref="A179:D271" displayName="Table_47" name="Table_47" id="47">
  <tableColumns count="4">
    <tableColumn name="Name" id="1"/>
    <tableColumn name="Rarity" id="2"/>
    <tableColumn name="Raw UUID" id="3"/>
    <tableColumn name="Spawn Command" id="4"/>
  </tableColumns>
  <tableStyleInfo name="ArmorShieldsClothes-style 4" showColumnStripes="0" showFirstColumn="1" showLastColumn="1" showRowStripes="1"/>
</table>
</file>

<file path=xl/tables/table48.xml><?xml version="1.0" encoding="utf-8"?>
<table xmlns="http://schemas.openxmlformats.org/spreadsheetml/2006/main" ref="A274:D314" displayName="Table_48" name="Table_48" id="48">
  <tableColumns count="4">
    <tableColumn name="Name" id="1"/>
    <tableColumn name="Rarity" id="2"/>
    <tableColumn name="Raw UUID" id="3"/>
    <tableColumn name="Spawn Command" id="4"/>
  </tableColumns>
  <tableStyleInfo name="ArmorShieldsClothes-style 5" showColumnStripes="0" showFirstColumn="1" showLastColumn="1" showRowStripes="1"/>
</table>
</file>

<file path=xl/tables/table49.xml><?xml version="1.0" encoding="utf-8"?>
<table xmlns="http://schemas.openxmlformats.org/spreadsheetml/2006/main" ref="A317:D370" displayName="Table_49" name="Table_49" id="49">
  <tableColumns count="4">
    <tableColumn name="Name" id="1"/>
    <tableColumn name="Rarity" id="2"/>
    <tableColumn name="Raw UUID" id="3"/>
    <tableColumn name="Spawn Command" id="4"/>
  </tableColumns>
  <tableStyleInfo name="ArmorShieldsClothes-style 6" showColumnStripes="0" showFirstColumn="1" showLastColumn="1" showRowStripes="1"/>
</table>
</file>

<file path=xl/tables/table5.xml><?xml version="1.0" encoding="utf-8"?>
<table xmlns="http://schemas.openxmlformats.org/spreadsheetml/2006/main" ref="A40:D76" displayName="Table_5" name="Table_5" id="5">
  <tableColumns count="4">
    <tableColumn name="Name" id="1"/>
    <tableColumn name="Rarity" id="2"/>
    <tableColumn name="Raw UUID" id="3"/>
    <tableColumn name="Spawn Command" id="4"/>
  </tableColumns>
  <tableStyleInfo name="Weapons-style 4" showColumnStripes="0" showFirstColumn="1" showLastColumn="1" showRowStripes="1"/>
</table>
</file>

<file path=xl/tables/table50.xml><?xml version="1.0" encoding="utf-8"?>
<table xmlns="http://schemas.openxmlformats.org/spreadsheetml/2006/main" ref="A373:D400" displayName="Table_50" name="Table_50" id="50">
  <tableColumns count="4">
    <tableColumn name="Name" id="1"/>
    <tableColumn name="Rarity" id="2"/>
    <tableColumn name="Raw UUID" id="3"/>
    <tableColumn name="Spawn Command" id="4"/>
  </tableColumns>
  <tableStyleInfo name="ArmorShieldsClothes-style 7" showColumnStripes="0" showFirstColumn="1" showLastColumn="1" showRowStripes="1"/>
</table>
</file>

<file path=xl/tables/table51.xml><?xml version="1.0" encoding="utf-8"?>
<table xmlns="http://schemas.openxmlformats.org/spreadsheetml/2006/main" ref="A403:D447" displayName="Table_51" name="Table_51" id="51">
  <tableColumns count="4">
    <tableColumn name="Name" id="1"/>
    <tableColumn name="Rarity" id="2"/>
    <tableColumn name="Raw UUID" id="3"/>
    <tableColumn name="Spawn Command" id="4"/>
  </tableColumns>
  <tableStyleInfo name="ArmorShieldsClothes-style 8" showColumnStripes="0" showFirstColumn="1" showLastColumn="1" showRowStripes="1"/>
</table>
</file>

<file path=xl/tables/table52.xml><?xml version="1.0" encoding="utf-8"?>
<table xmlns="http://schemas.openxmlformats.org/spreadsheetml/2006/main" ref="A450:D525" displayName="Table_52" name="Table_52" id="52">
  <tableColumns count="4">
    <tableColumn name="Name" id="1"/>
    <tableColumn name="Rarity" id="2"/>
    <tableColumn name="Raw UUID" id="3"/>
    <tableColumn name="Spawn Command" id="4"/>
  </tableColumns>
  <tableStyleInfo name="ArmorShieldsClothes-style 9" showColumnStripes="0" showFirstColumn="1" showLastColumn="1" showRowStripes="1"/>
</table>
</file>

<file path=xl/tables/table53.xml><?xml version="1.0" encoding="utf-8"?>
<table xmlns="http://schemas.openxmlformats.org/spreadsheetml/2006/main" ref="A2:D120" displayName="Table_53" name="Table_53" id="53">
  <tableColumns count="4">
    <tableColumn name="Name" id="1"/>
    <tableColumn name="Rarity" id="2"/>
    <tableColumn name="Raw UUID" id="3"/>
    <tableColumn name="Spawn Command" id="4"/>
  </tableColumns>
  <tableStyleInfo name="Consumables-style" showColumnStripes="0" showFirstColumn="1" showLastColumn="1" showRowStripes="1"/>
</table>
</file>

<file path=xl/tables/table54.xml><?xml version="1.0" encoding="utf-8"?>
<table xmlns="http://schemas.openxmlformats.org/spreadsheetml/2006/main" ref="A123:D143" displayName="Table_54" name="Table_54" id="54">
  <tableColumns count="4">
    <tableColumn name="Name" id="1"/>
    <tableColumn name="Rarity" id="2"/>
    <tableColumn name="Raw UUID" id="3"/>
    <tableColumn name="Spawn Command" id="4"/>
  </tableColumns>
  <tableStyleInfo name="Consumables-style 2" showColumnStripes="0" showFirstColumn="1" showLastColumn="1" showRowStripes="1"/>
</table>
</file>

<file path=xl/tables/table55.xml><?xml version="1.0" encoding="utf-8"?>
<table xmlns="http://schemas.openxmlformats.org/spreadsheetml/2006/main" ref="A146:D190" displayName="Table_55" name="Table_55" id="55">
  <tableColumns count="4">
    <tableColumn name="Name" id="1"/>
    <tableColumn name="Rarity" id="2"/>
    <tableColumn name="Raw UUID" id="3"/>
    <tableColumn name="Spawn Command" id="4"/>
  </tableColumns>
  <tableStyleInfo name="Consumables-style 3" showColumnStripes="0" showFirstColumn="1" showLastColumn="1" showRowStripes="1"/>
</table>
</file>

<file path=xl/tables/table56.xml><?xml version="1.0" encoding="utf-8"?>
<table xmlns="http://schemas.openxmlformats.org/spreadsheetml/2006/main" ref="A193:D234" displayName="Table_56" name="Table_56" id="56">
  <tableColumns count="4">
    <tableColumn name="Name" id="1"/>
    <tableColumn name="Rarity" id="2"/>
    <tableColumn name="Raw UUID" id="3"/>
    <tableColumn name="Spawn Command" id="4"/>
  </tableColumns>
  <tableStyleInfo name="Consumables-style 4" showColumnStripes="0" showFirstColumn="1" showLastColumn="1" showRowStripes="1"/>
</table>
</file>

<file path=xl/tables/table57.xml><?xml version="1.0" encoding="utf-8"?>
<table xmlns="http://schemas.openxmlformats.org/spreadsheetml/2006/main" ref="A237:D376" displayName="Table_57" name="Table_57" id="57">
  <tableColumns count="4">
    <tableColumn name="Name" id="1"/>
    <tableColumn name="Rarity" id="2"/>
    <tableColumn name="Raw UUID" id="3"/>
    <tableColumn name="Spawn Command" id="4"/>
  </tableColumns>
  <tableStyleInfo name="Consumables-style 5" showColumnStripes="0" showFirstColumn="1" showLastColumn="1" showRowStripes="1"/>
</table>
</file>

<file path=xl/tables/table58.xml><?xml version="1.0" encoding="utf-8"?>
<table xmlns="http://schemas.openxmlformats.org/spreadsheetml/2006/main" ref="A379:D417" displayName="Table_58" name="Table_58" id="58">
  <tableColumns count="4">
    <tableColumn name="Name" id="1"/>
    <tableColumn name="Rarity" id="2"/>
    <tableColumn name="Raw UUID" id="3"/>
    <tableColumn name="Spawn Command" id="4"/>
  </tableColumns>
  <tableStyleInfo name="Consumables-style 6" showColumnStripes="0" showFirstColumn="1" showLastColumn="1" showRowStripes="1"/>
</table>
</file>

<file path=xl/tables/table59.xml><?xml version="1.0" encoding="utf-8"?>
<table xmlns="http://schemas.openxmlformats.org/spreadsheetml/2006/main" ref="A420:D471" displayName="Table_59" name="Table_59" id="59">
  <tableColumns count="4">
    <tableColumn name="Name" id="1"/>
    <tableColumn name="Rarity" id="2"/>
    <tableColumn name="Raw UUID" id="3"/>
    <tableColumn name="Spawn Command" id="4"/>
  </tableColumns>
  <tableStyleInfo name="Consumables-style 7" showColumnStripes="0" showFirstColumn="1" showLastColumn="1" showRowStripes="1"/>
</table>
</file>

<file path=xl/tables/table6.xml><?xml version="1.0" encoding="utf-8"?>
<table xmlns="http://schemas.openxmlformats.org/spreadsheetml/2006/main" ref="A79:D82" displayName="Table_6" name="Table_6" id="6">
  <tableColumns count="4">
    <tableColumn name="Name" id="1"/>
    <tableColumn name="Rarity" id="2"/>
    <tableColumn name="Raw UUID" id="3"/>
    <tableColumn name="Spawn Command" id="4"/>
  </tableColumns>
  <tableStyleInfo name="Weapons-style 5" showColumnStripes="0" showFirstColumn="1" showLastColumn="1" showRowStripes="1"/>
</table>
</file>

<file path=xl/tables/table60.xml><?xml version="1.0" encoding="utf-8"?>
<table xmlns="http://schemas.openxmlformats.org/spreadsheetml/2006/main" ref="A475:D509" displayName="Table_60" name="Table_60" id="60">
  <tableColumns count="4">
    <tableColumn name="Name" id="1"/>
    <tableColumn name="Rarity" id="2"/>
    <tableColumn name="Raw UUID" id="3"/>
    <tableColumn name="Spawn Command" id="4"/>
  </tableColumns>
  <tableStyleInfo name="Consumables-style 8" showColumnStripes="0" showFirstColumn="1" showLastColumn="1" showRowStripes="1"/>
</table>
</file>

<file path=xl/tables/table61.xml><?xml version="1.0" encoding="utf-8"?>
<table xmlns="http://schemas.openxmlformats.org/spreadsheetml/2006/main" ref="A3:D8" displayName="Table_61" name="Table_61" id="61">
  <tableColumns count="4">
    <tableColumn name="Name" id="1"/>
    <tableColumn name="Rarity" id="2"/>
    <tableColumn name="Raw UUID" id="3"/>
    <tableColumn name="Spawn Command" id="4"/>
  </tableColumns>
  <tableStyleInfo name="KeysStory-style" showColumnStripes="0" showFirstColumn="1" showLastColumn="1" showRowStripes="1"/>
</table>
</file>

<file path=xl/tables/table62.xml><?xml version="1.0" encoding="utf-8"?>
<table xmlns="http://schemas.openxmlformats.org/spreadsheetml/2006/main" ref="A11:D44" displayName="Table_62" name="Table_62" id="62">
  <tableColumns count="4">
    <tableColumn name="Name" id="1"/>
    <tableColumn name="Rarity" id="2"/>
    <tableColumn name="Raw UUID" id="3"/>
    <tableColumn name="Spawn Command" id="4"/>
  </tableColumns>
  <tableStyleInfo name="KeysStory-style 2" showColumnStripes="0" showFirstColumn="1" showLastColumn="1" showRowStripes="1"/>
</table>
</file>

<file path=xl/tables/table63.xml><?xml version="1.0" encoding="utf-8"?>
<table xmlns="http://schemas.openxmlformats.org/spreadsheetml/2006/main" ref="A47:D56" displayName="Table_63" name="Table_63" id="63">
  <tableColumns count="4">
    <tableColumn name="Name" id="1"/>
    <tableColumn name="Rarity" id="2"/>
    <tableColumn name="Raw UUID" id="3"/>
    <tableColumn name="Spawn Command" id="4"/>
  </tableColumns>
  <tableStyleInfo name="KeysStory-style 3" showColumnStripes="0" showFirstColumn="1" showLastColumn="1" showRowStripes="1"/>
</table>
</file>

<file path=xl/tables/table64.xml><?xml version="1.0" encoding="utf-8"?>
<table xmlns="http://schemas.openxmlformats.org/spreadsheetml/2006/main" ref="A59:D103" displayName="Table_64" name="Table_64" id="64">
  <tableColumns count="4">
    <tableColumn name="Name" id="1"/>
    <tableColumn name="Rarity" id="2"/>
    <tableColumn name="Raw UUID" id="3"/>
    <tableColumn name="Spawn Command" id="4"/>
  </tableColumns>
  <tableStyleInfo name="KeysStory-style 4" showColumnStripes="0" showFirstColumn="1" showLastColumn="1" showRowStripes="1"/>
</table>
</file>

<file path=xl/tables/table65.xml><?xml version="1.0" encoding="utf-8"?>
<table xmlns="http://schemas.openxmlformats.org/spreadsheetml/2006/main" ref="A106:D354" displayName="Table_65" name="Table_65" id="65">
  <tableColumns count="4">
    <tableColumn name="Name" id="1"/>
    <tableColumn name="Rarity" id="2"/>
    <tableColumn name="Raw UUID" id="3"/>
    <tableColumn name="Spawn Command" id="4"/>
  </tableColumns>
  <tableStyleInfo name="KeysStory-style 5" showColumnStripes="0" showFirstColumn="1" showLastColumn="1" showRowStripes="1"/>
</table>
</file>

<file path=xl/tables/table66.xml><?xml version="1.0" encoding="utf-8"?>
<table xmlns="http://schemas.openxmlformats.org/spreadsheetml/2006/main" ref="A3:D71" displayName="Table_66" name="Table_66" id="66">
  <tableColumns count="4">
    <tableColumn name="Name" id="1"/>
    <tableColumn name="Rarity" id="2"/>
    <tableColumn name="Raw UUID" id="3"/>
    <tableColumn name="Spawn Command" id="4"/>
  </tableColumns>
  <tableStyleInfo name="AlchemyDyes-style" showColumnStripes="0" showFirstColumn="1" showLastColumn="1" showRowStripes="1"/>
</table>
</file>

<file path=xl/tables/table67.xml><?xml version="1.0" encoding="utf-8"?>
<table xmlns="http://schemas.openxmlformats.org/spreadsheetml/2006/main" ref="A74:D138" displayName="Table_67" name="Table_67" id="67">
  <tableColumns count="4">
    <tableColumn name="Name" id="1"/>
    <tableColumn name="Rarity" id="2"/>
    <tableColumn name="Raw UUID" id="3"/>
    <tableColumn name="Spawn Command" id="4"/>
  </tableColumns>
  <tableStyleInfo name="AlchemyDyes-style 2" showColumnStripes="0" showFirstColumn="1" showLastColumn="1" showRowStripes="1"/>
</table>
</file>

<file path=xl/tables/table68.xml><?xml version="1.0" encoding="utf-8"?>
<table xmlns="http://schemas.openxmlformats.org/spreadsheetml/2006/main" ref="A142:D184" displayName="Table_68" name="Table_68" id="68">
  <tableColumns count="4">
    <tableColumn name="Name" id="1"/>
    <tableColumn name="Rarity" id="2"/>
    <tableColumn name="Raw UUID" id="3"/>
    <tableColumn name="Spawn Command" id="4"/>
  </tableColumns>
  <tableStyleInfo name="AlchemyDyes-style 3" showColumnStripes="0" showFirstColumn="1" showLastColumn="1" showRowStripes="1"/>
</table>
</file>

<file path=xl/tables/table69.xml><?xml version="1.0" encoding="utf-8"?>
<table xmlns="http://schemas.openxmlformats.org/spreadsheetml/2006/main" ref="A2:D84" displayName="Table_69" name="Table_69" id="69">
  <tableColumns count="4">
    <tableColumn name="Name" id="1"/>
    <tableColumn name="Rarity" id="2"/>
    <tableColumn name="Raw UUID" id="3"/>
    <tableColumn name="Spawn Command" id="4"/>
  </tableColumns>
  <tableStyleInfo name="ContainersValuables-style" showColumnStripes="0" showFirstColumn="1" showLastColumn="1" showRowStripes="1"/>
</table>
</file>

<file path=xl/tables/table7.xml><?xml version="1.0" encoding="utf-8"?>
<table xmlns="http://schemas.openxmlformats.org/spreadsheetml/2006/main" ref="A85:D99" displayName="Table_7" name="Table_7" id="7">
  <tableColumns count="4">
    <tableColumn name="Name" id="1"/>
    <tableColumn name="Rarity" id="2"/>
    <tableColumn name="Raw UUID" id="3"/>
    <tableColumn name="Spawn Command" id="4"/>
  </tableColumns>
  <tableStyleInfo name="Weapons-style 6" showColumnStripes="0" showFirstColumn="1" showLastColumn="1" showRowStripes="1"/>
</table>
</file>

<file path=xl/tables/table70.xml><?xml version="1.0" encoding="utf-8"?>
<table xmlns="http://schemas.openxmlformats.org/spreadsheetml/2006/main" ref="A88:D93" displayName="Table_70" name="Table_70" id="70">
  <tableColumns count="4">
    <tableColumn name="Name" id="1"/>
    <tableColumn name="Rarity" id="2"/>
    <tableColumn name="Raw UUID" id="3"/>
    <tableColumn name="Spawn Command" id="4"/>
  </tableColumns>
  <tableStyleInfo name="ContainersValuables-style 2" showColumnStripes="0" showFirstColumn="1" showLastColumn="1" showRowStripes="1"/>
</table>
</file>

<file path=xl/tables/table71.xml><?xml version="1.0" encoding="utf-8"?>
<table xmlns="http://schemas.openxmlformats.org/spreadsheetml/2006/main" ref="A96:D113" displayName="Table_71" name="Table_71" id="71">
  <tableColumns count="4">
    <tableColumn name="Name" id="1"/>
    <tableColumn name="Rarity" id="2"/>
    <tableColumn name="Raw UUID" id="3"/>
    <tableColumn name="Spawn Command" id="4"/>
  </tableColumns>
  <tableStyleInfo name="ContainersValuables-style 3" showColumnStripes="0" showFirstColumn="1" showLastColumn="1" showRowStripes="1"/>
</table>
</file>

<file path=xl/tables/table72.xml><?xml version="1.0" encoding="utf-8"?>
<table xmlns="http://schemas.openxmlformats.org/spreadsheetml/2006/main" ref="A116:D179" displayName="Table_72" name="Table_72" id="72">
  <tableColumns count="4">
    <tableColumn name="Name" id="1"/>
    <tableColumn name="Rarity" id="2"/>
    <tableColumn name="Raw UUID" id="3"/>
    <tableColumn name="Spawn Command" id="4"/>
  </tableColumns>
  <tableStyleInfo name="ContainersValuables-style 4" showColumnStripes="0" showFirstColumn="1" showLastColumn="1" showRowStripes="1"/>
</table>
</file>

<file path=xl/tables/table73.xml><?xml version="1.0" encoding="utf-8"?>
<table xmlns="http://schemas.openxmlformats.org/spreadsheetml/2006/main" ref="A182:D220" displayName="Table_73" name="Table_73" id="73">
  <tableColumns count="4">
    <tableColumn name="Name" id="1"/>
    <tableColumn name="Rarity" id="2"/>
    <tableColumn name="Raw UUID" id="3"/>
    <tableColumn name="Spawn Command" id="4"/>
  </tableColumns>
  <tableStyleInfo name="ContainersValuables-style 5" showColumnStripes="0" showFirstColumn="1" showLastColumn="1" showRowStripes="1"/>
</table>
</file>

<file path=xl/tables/table74.xml><?xml version="1.0" encoding="utf-8"?>
<table xmlns="http://schemas.openxmlformats.org/spreadsheetml/2006/main" ref="A5:D11" displayName="Table_74" name="Table_74" id="74">
  <tableColumns count="4">
    <tableColumn name="Name" id="1"/>
    <tableColumn name="Rarity" id="2"/>
    <tableColumn name="Raw UUID" id="3"/>
    <tableColumn name="Spawn Command" id="4"/>
  </tableColumns>
  <tableStyleInfo name="Sets-style" showColumnStripes="0" showFirstColumn="1" showLastColumn="1" showRowStripes="1"/>
</table>
</file>

<file path=xl/tables/table75.xml><?xml version="1.0" encoding="utf-8"?>
<table xmlns="http://schemas.openxmlformats.org/spreadsheetml/2006/main" ref="A14:D17" displayName="Table_75" name="Table_75" id="75">
  <tableColumns count="4">
    <tableColumn name="Name" id="1"/>
    <tableColumn name="Rarity" id="2"/>
    <tableColumn name="Raw UUID" id="3"/>
    <tableColumn name="Spawn Command" id="4"/>
  </tableColumns>
  <tableStyleInfo name="Sets-style 2" showColumnStripes="0" showFirstColumn="1" showLastColumn="1" showRowStripes="1"/>
</table>
</file>

<file path=xl/tables/table76.xml><?xml version="1.0" encoding="utf-8"?>
<table xmlns="http://schemas.openxmlformats.org/spreadsheetml/2006/main" ref="A20:D24" displayName="Table_76" name="Table_76" id="76">
  <tableColumns count="4">
    <tableColumn name="Name" id="1"/>
    <tableColumn name="Rarity" id="2"/>
    <tableColumn name="Raw UUID" id="3"/>
    <tableColumn name="Spawn Command" id="4"/>
  </tableColumns>
  <tableStyleInfo name="Sets-style 3" showColumnStripes="0" showFirstColumn="1" showLastColumn="1" showRowStripes="1"/>
</table>
</file>

<file path=xl/tables/table77.xml><?xml version="1.0" encoding="utf-8"?>
<table xmlns="http://schemas.openxmlformats.org/spreadsheetml/2006/main" ref="A27:D53" displayName="Table_77" name="Table_77" id="77">
  <tableColumns count="4">
    <tableColumn name="Name" id="1"/>
    <tableColumn name="Rarity" id="2"/>
    <tableColumn name="Raw UUID" id="3"/>
    <tableColumn name="Spawn Command" id="4"/>
  </tableColumns>
  <tableStyleInfo name="Sets-style 4" showColumnStripes="0" showFirstColumn="1" showLastColumn="1" showRowStripes="1"/>
</table>
</file>

<file path=xl/tables/table8.xml><?xml version="1.0" encoding="utf-8"?>
<table xmlns="http://schemas.openxmlformats.org/spreadsheetml/2006/main" ref="A102:D112" displayName="Table_8" name="Table_8" id="8">
  <tableColumns count="4">
    <tableColumn name="Name" id="1"/>
    <tableColumn name="Rarity" id="2"/>
    <tableColumn name="Raw UUID" id="3"/>
    <tableColumn name="Spawn Command" id="4"/>
  </tableColumns>
  <tableStyleInfo name="Weapons-style 7" showColumnStripes="0" showFirstColumn="1" showLastColumn="1" showRowStripes="1"/>
</table>
</file>

<file path=xl/tables/table9.xml><?xml version="1.0" encoding="utf-8"?>
<table xmlns="http://schemas.openxmlformats.org/spreadsheetml/2006/main" ref="A115:D126" displayName="Table_9" name="Table_9" id="9">
  <tableColumns count="4">
    <tableColumn name="Name" id="1"/>
    <tableColumn name="Rarity" id="2"/>
    <tableColumn name="Raw UUID" id="3"/>
    <tableColumn name="Spawn Command" id="4"/>
  </tableColumns>
  <tableStyleInfo name="Weapons-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exusmods.com/baldursgate3/mods/9827"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table" Target="../tables/table2.xml"/><Relationship Id="rId62" Type="http://schemas.openxmlformats.org/officeDocument/2006/relationships/table" Target="../tables/table24.xml"/><Relationship Id="rId61" Type="http://schemas.openxmlformats.org/officeDocument/2006/relationships/table" Target="../tables/table23.xml"/><Relationship Id="rId42" Type="http://schemas.openxmlformats.org/officeDocument/2006/relationships/table" Target="../tables/table4.xml"/><Relationship Id="rId64" Type="http://schemas.openxmlformats.org/officeDocument/2006/relationships/table" Target="../tables/table26.xml"/><Relationship Id="rId41" Type="http://schemas.openxmlformats.org/officeDocument/2006/relationships/table" Target="../tables/table3.xml"/><Relationship Id="rId63" Type="http://schemas.openxmlformats.org/officeDocument/2006/relationships/table" Target="../tables/table25.xml"/><Relationship Id="rId44" Type="http://schemas.openxmlformats.org/officeDocument/2006/relationships/table" Target="../tables/table6.xml"/><Relationship Id="rId66" Type="http://schemas.openxmlformats.org/officeDocument/2006/relationships/table" Target="../tables/table28.xml"/><Relationship Id="rId43" Type="http://schemas.openxmlformats.org/officeDocument/2006/relationships/table" Target="../tables/table5.xml"/><Relationship Id="rId65" Type="http://schemas.openxmlformats.org/officeDocument/2006/relationships/table" Target="../tables/table27.xml"/><Relationship Id="rId46" Type="http://schemas.openxmlformats.org/officeDocument/2006/relationships/table" Target="../tables/table8.xml"/><Relationship Id="rId68" Type="http://schemas.openxmlformats.org/officeDocument/2006/relationships/table" Target="../tables/table30.xml"/><Relationship Id="rId45" Type="http://schemas.openxmlformats.org/officeDocument/2006/relationships/table" Target="../tables/table7.xml"/><Relationship Id="rId67" Type="http://schemas.openxmlformats.org/officeDocument/2006/relationships/table" Target="../tables/table29.xml"/><Relationship Id="rId60" Type="http://schemas.openxmlformats.org/officeDocument/2006/relationships/table" Target="../tables/table22.xml"/><Relationship Id="rId1" Type="http://schemas.openxmlformats.org/officeDocument/2006/relationships/hyperlink" Target="https://i.imgur.com/Gn92Csh.jpg" TargetMode="External"/><Relationship Id="rId2" Type="http://schemas.openxmlformats.org/officeDocument/2006/relationships/drawing" Target="../drawings/drawing2.xml"/><Relationship Id="rId48" Type="http://schemas.openxmlformats.org/officeDocument/2006/relationships/table" Target="../tables/table10.xml"/><Relationship Id="rId47" Type="http://schemas.openxmlformats.org/officeDocument/2006/relationships/table" Target="../tables/table9.xml"/><Relationship Id="rId69" Type="http://schemas.openxmlformats.org/officeDocument/2006/relationships/table" Target="../tables/table31.xml"/><Relationship Id="rId49" Type="http://schemas.openxmlformats.org/officeDocument/2006/relationships/table" Target="../tables/table11.xml"/><Relationship Id="rId51" Type="http://schemas.openxmlformats.org/officeDocument/2006/relationships/table" Target="../tables/table13.xml"/><Relationship Id="rId73" Type="http://schemas.openxmlformats.org/officeDocument/2006/relationships/table" Target="../tables/table35.xml"/><Relationship Id="rId50" Type="http://schemas.openxmlformats.org/officeDocument/2006/relationships/table" Target="../tables/table12.xml"/><Relationship Id="rId72" Type="http://schemas.openxmlformats.org/officeDocument/2006/relationships/table" Target="../tables/table34.xml"/><Relationship Id="rId53" Type="http://schemas.openxmlformats.org/officeDocument/2006/relationships/table" Target="../tables/table15.xml"/><Relationship Id="rId75" Type="http://schemas.openxmlformats.org/officeDocument/2006/relationships/table" Target="../tables/table37.xml"/><Relationship Id="rId52" Type="http://schemas.openxmlformats.org/officeDocument/2006/relationships/table" Target="../tables/table14.xml"/><Relationship Id="rId74" Type="http://schemas.openxmlformats.org/officeDocument/2006/relationships/table" Target="../tables/table36.xml"/><Relationship Id="rId55" Type="http://schemas.openxmlformats.org/officeDocument/2006/relationships/table" Target="../tables/table17.xml"/><Relationship Id="rId54" Type="http://schemas.openxmlformats.org/officeDocument/2006/relationships/table" Target="../tables/table16.xml"/><Relationship Id="rId76" Type="http://schemas.openxmlformats.org/officeDocument/2006/relationships/table" Target="../tables/table38.xml"/><Relationship Id="rId57" Type="http://schemas.openxmlformats.org/officeDocument/2006/relationships/table" Target="../tables/table19.xml"/><Relationship Id="rId56" Type="http://schemas.openxmlformats.org/officeDocument/2006/relationships/table" Target="../tables/table18.xml"/><Relationship Id="rId71" Type="http://schemas.openxmlformats.org/officeDocument/2006/relationships/table" Target="../tables/table33.xml"/><Relationship Id="rId70" Type="http://schemas.openxmlformats.org/officeDocument/2006/relationships/table" Target="../tables/table32.xml"/><Relationship Id="rId59" Type="http://schemas.openxmlformats.org/officeDocument/2006/relationships/table" Target="../tables/table21.xml"/><Relationship Id="rId58"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9" Type="http://schemas.openxmlformats.org/officeDocument/2006/relationships/table" Target="../tables/table41.xml"/><Relationship Id="rId7" Type="http://schemas.openxmlformats.org/officeDocument/2006/relationships/table" Target="../tables/table39.xml"/><Relationship Id="rId8" Type="http://schemas.openxmlformats.org/officeDocument/2006/relationships/table" Target="../tables/table40.xml"/><Relationship Id="rId11" Type="http://schemas.openxmlformats.org/officeDocument/2006/relationships/table" Target="../tables/table43.xml"/><Relationship Id="rId10" Type="http://schemas.openxmlformats.org/officeDocument/2006/relationships/table" Target="../tables/table42.xml"/></Relationships>
</file>

<file path=xl/worksheets/_rels/sheet4.xml.rels><?xml version="1.0" encoding="UTF-8" standalone="yes"?><Relationships xmlns="http://schemas.openxmlformats.org/package/2006/relationships"><Relationship Id="rId20" Type="http://schemas.openxmlformats.org/officeDocument/2006/relationships/table" Target="../tables/table51.xml"/><Relationship Id="rId21" Type="http://schemas.openxmlformats.org/officeDocument/2006/relationships/table" Target="../tables/table52.xml"/><Relationship Id="rId1" Type="http://schemas.openxmlformats.org/officeDocument/2006/relationships/hyperlink" Target="https://bg3.wiki/wiki/Drow_Studded_Leather_Armour" TargetMode="External"/><Relationship Id="rId2" Type="http://schemas.openxmlformats.org/officeDocument/2006/relationships/hyperlink" Target="https://i.imgur.com/Gn92Csh.jpg" TargetMode="External"/><Relationship Id="rId3" Type="http://schemas.openxmlformats.org/officeDocument/2006/relationships/drawing" Target="../drawings/drawing4.xml"/><Relationship Id="rId13" Type="http://schemas.openxmlformats.org/officeDocument/2006/relationships/table" Target="../tables/table44.xml"/><Relationship Id="rId15" Type="http://schemas.openxmlformats.org/officeDocument/2006/relationships/table" Target="../tables/table46.xml"/><Relationship Id="rId14" Type="http://schemas.openxmlformats.org/officeDocument/2006/relationships/table" Target="../tables/table45.xml"/><Relationship Id="rId17" Type="http://schemas.openxmlformats.org/officeDocument/2006/relationships/table" Target="../tables/table48.xml"/><Relationship Id="rId16" Type="http://schemas.openxmlformats.org/officeDocument/2006/relationships/table" Target="../tables/table47.xml"/><Relationship Id="rId19" Type="http://schemas.openxmlformats.org/officeDocument/2006/relationships/table" Target="../tables/table50.xml"/><Relationship Id="rId18"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exusmods.com/baldursgate3/mods/206" TargetMode="External"/><Relationship Id="rId2" Type="http://schemas.openxmlformats.org/officeDocument/2006/relationships/drawing" Target="../drawings/drawing5.xml"/><Relationship Id="rId11" Type="http://schemas.openxmlformats.org/officeDocument/2006/relationships/table" Target="../tables/table53.xml"/><Relationship Id="rId13" Type="http://schemas.openxmlformats.org/officeDocument/2006/relationships/table" Target="../tables/table55.xml"/><Relationship Id="rId12" Type="http://schemas.openxmlformats.org/officeDocument/2006/relationships/table" Target="../tables/table54.xml"/><Relationship Id="rId15" Type="http://schemas.openxmlformats.org/officeDocument/2006/relationships/table" Target="../tables/table57.xml"/><Relationship Id="rId14" Type="http://schemas.openxmlformats.org/officeDocument/2006/relationships/table" Target="../tables/table56.xml"/><Relationship Id="rId17" Type="http://schemas.openxmlformats.org/officeDocument/2006/relationships/table" Target="../tables/table59.xml"/><Relationship Id="rId16" Type="http://schemas.openxmlformats.org/officeDocument/2006/relationships/table" Target="../tables/table58.xml"/><Relationship Id="rId18" Type="http://schemas.openxmlformats.org/officeDocument/2006/relationships/table" Target="../tables/table6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9" Type="http://schemas.openxmlformats.org/officeDocument/2006/relationships/table" Target="../tables/table63.xml"/><Relationship Id="rId7" Type="http://schemas.openxmlformats.org/officeDocument/2006/relationships/table" Target="../tables/table61.xml"/><Relationship Id="rId8" Type="http://schemas.openxmlformats.org/officeDocument/2006/relationships/table" Target="../tables/table62.xml"/><Relationship Id="rId11" Type="http://schemas.openxmlformats.org/officeDocument/2006/relationships/table" Target="../tables/table65.xml"/><Relationship Id="rId10" Type="http://schemas.openxmlformats.org/officeDocument/2006/relationships/table" Target="../tables/table64.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exusmods.com/baldursgate3/mods/12007" TargetMode="External"/><Relationship Id="rId2" Type="http://schemas.openxmlformats.org/officeDocument/2006/relationships/drawing" Target="../drawings/drawing7.xml"/><Relationship Id="rId6" Type="http://schemas.openxmlformats.org/officeDocument/2006/relationships/table" Target="../tables/table66.xml"/><Relationship Id="rId7" Type="http://schemas.openxmlformats.org/officeDocument/2006/relationships/table" Target="../tables/table67.xml"/><Relationship Id="rId8" Type="http://schemas.openxmlformats.org/officeDocument/2006/relationships/table" Target="../tables/table6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9" Type="http://schemas.openxmlformats.org/officeDocument/2006/relationships/table" Target="../tables/table71.xml"/><Relationship Id="rId7" Type="http://schemas.openxmlformats.org/officeDocument/2006/relationships/table" Target="../tables/table69.xml"/><Relationship Id="rId8" Type="http://schemas.openxmlformats.org/officeDocument/2006/relationships/table" Target="../tables/table70.xml"/><Relationship Id="rId11" Type="http://schemas.openxmlformats.org/officeDocument/2006/relationships/table" Target="../tables/table73.xml"/><Relationship Id="rId10" Type="http://schemas.openxmlformats.org/officeDocument/2006/relationships/table" Target="../tables/table72.xml"/></Relationships>
</file>

<file path=xl/worksheets/_rels/sheet9.xml.rels><?xml version="1.0" encoding="UTF-8" standalone="yes"?><Relationships xmlns="http://schemas.openxmlformats.org/package/2006/relationships"><Relationship Id="rId1" Type="http://schemas.openxmlformats.org/officeDocument/2006/relationships/hyperlink" Target="https://i.imgur.com/Gn92Csh.jpg" TargetMode="External"/><Relationship Id="rId2" Type="http://schemas.openxmlformats.org/officeDocument/2006/relationships/hyperlink" Target="https://i.imgur.com/Gn92Csh.jpg" TargetMode="External"/><Relationship Id="rId3" Type="http://schemas.openxmlformats.org/officeDocument/2006/relationships/hyperlink" Target="https://bg3.wiki/wiki/Oathbreaker_Knight_Boots" TargetMode="External"/><Relationship Id="rId4" Type="http://schemas.openxmlformats.org/officeDocument/2006/relationships/drawing" Target="../drawings/drawing9.xml"/><Relationship Id="rId9" Type="http://schemas.openxmlformats.org/officeDocument/2006/relationships/table" Target="../tables/table74.xml"/><Relationship Id="rId11" Type="http://schemas.openxmlformats.org/officeDocument/2006/relationships/table" Target="../tables/table76.xml"/><Relationship Id="rId10" Type="http://schemas.openxmlformats.org/officeDocument/2006/relationships/table" Target="../tables/table75.xml"/><Relationship Id="rId12"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9.5"/>
    <col customWidth="1" min="3" max="3" width="19.75"/>
    <col customWidth="1" min="4" max="4" width="72.5"/>
    <col customWidth="1" min="5" max="5" width="14.0"/>
  </cols>
  <sheetData>
    <row r="1">
      <c r="A1" s="1" t="s">
        <v>0</v>
      </c>
    </row>
    <row r="2">
      <c r="A2" s="1"/>
    </row>
    <row r="3">
      <c r="A3" s="1" t="s">
        <v>1</v>
      </c>
    </row>
    <row r="4">
      <c r="A4" s="2"/>
    </row>
    <row r="5">
      <c r="A5" s="3" t="s">
        <v>2</v>
      </c>
      <c r="B5" s="4"/>
      <c r="C5" s="4"/>
      <c r="D5" s="4"/>
      <c r="E5" s="5"/>
    </row>
    <row r="6">
      <c r="A6" s="6" t="s">
        <v>3</v>
      </c>
      <c r="E6" s="7"/>
    </row>
    <row r="7">
      <c r="A7" s="8" t="s">
        <v>4</v>
      </c>
      <c r="E7" s="7"/>
    </row>
    <row r="8">
      <c r="A8" s="9" t="s">
        <v>5</v>
      </c>
      <c r="B8" s="10"/>
      <c r="C8" s="10"/>
      <c r="D8" s="10"/>
      <c r="E8" s="11"/>
    </row>
    <row r="9">
      <c r="A9" s="1"/>
    </row>
    <row r="10">
      <c r="A10" s="1" t="s">
        <v>6</v>
      </c>
    </row>
    <row r="11">
      <c r="A11" s="12" t="s">
        <v>7</v>
      </c>
      <c r="B11" s="13" t="s">
        <v>8</v>
      </c>
      <c r="C11" s="13" t="s">
        <v>9</v>
      </c>
      <c r="D11" s="14" t="s">
        <v>10</v>
      </c>
      <c r="E11" s="15"/>
    </row>
    <row r="12">
      <c r="A12" s="16" t="str">
        <f>HYPERLINK("https://bg3.wiki/wiki/Supply_Pack", "Supply Pack (x100)")</f>
        <v>Supply Pack (x100)</v>
      </c>
      <c r="B12" s="17" t="s">
        <v>11</v>
      </c>
      <c r="C12" s="18" t="s">
        <v>12</v>
      </c>
      <c r="D12" s="19" t="str">
        <f>"Osi.TemplateAddTo("""&amp; C12 &amp;""", GetHostCharacter(), 100, 1);"</f>
        <v>Osi.TemplateAddTo("398e7328-ce90-4c02-94a2-93341fac499a", GetHostCharacter(), 100, 1);</v>
      </c>
      <c r="E12" s="20"/>
    </row>
    <row r="13">
      <c r="A13" s="21" t="str">
        <f>HYPERLINK("https://bg3.wiki/wiki/Gold", "Gold (90'000)")</f>
        <v>Gold (90'000)</v>
      </c>
      <c r="B13" s="22" t="s">
        <v>11</v>
      </c>
      <c r="C13" s="23" t="s">
        <v>13</v>
      </c>
      <c r="D13" s="24" t="str">
        <f>"Osi.TemplateAddTo("""&amp; C13 &amp;""", GetHostCharacter(), 90000, 1);"</f>
        <v>Osi.TemplateAddTo("1c3c9c74-34a1-4685-989e-410dc080be6f", GetHostCharacter(), 90000, 1);</v>
      </c>
      <c r="E13" s="15"/>
    </row>
    <row r="14">
      <c r="A14" s="21" t="str">
        <f>HYPERLINK("https://bg3.wiki/wiki/Shovel_(item)", "Shovel")</f>
        <v>Shovel</v>
      </c>
      <c r="B14" s="22" t="s">
        <v>11</v>
      </c>
      <c r="C14" s="23" t="s">
        <v>14</v>
      </c>
      <c r="D14" s="19" t="str">
        <f>"Osi.TemplateAddTo("""&amp; C14 &amp;""", GetHostCharacter(), 1, 1);"</f>
        <v>Osi.TemplateAddTo("73efd1f7-5616-4ca8-84e6-6128aa6efaea", GetHostCharacter(), 1, 1);</v>
      </c>
      <c r="E14" s="15"/>
    </row>
    <row r="15">
      <c r="A15" s="21" t="str">
        <f>HYPERLINK("https://bg3.wiki/wiki/Trap_Disarm_Toolkit", "Trap Disarm Toolkit (x100)")</f>
        <v>Trap Disarm Toolkit (x100)</v>
      </c>
      <c r="B15" s="22" t="s">
        <v>11</v>
      </c>
      <c r="C15" s="23" t="s">
        <v>15</v>
      </c>
      <c r="D15" s="24" t="str">
        <f t="shared" ref="D15:D16" si="1">"Osi.TemplateAddTo("""&amp; C15 &amp;""", GetHostCharacter(), 100, 1);"</f>
        <v>Osi.TemplateAddTo("22c74b5e-bef2-41b1-b9ed-f4acc766d4ee", GetHostCharacter(), 100, 1);</v>
      </c>
      <c r="E15" s="15"/>
    </row>
    <row r="16">
      <c r="A16" s="21" t="str">
        <f>HYPERLINK("https://bg3.wiki/wiki/Thieves%27_Tools", "Thieves' Tools (x100)")</f>
        <v>Thieves' Tools (x100)</v>
      </c>
      <c r="B16" s="22" t="s">
        <v>11</v>
      </c>
      <c r="C16" s="23" t="s">
        <v>16</v>
      </c>
      <c r="D16" s="24" t="str">
        <f t="shared" si="1"/>
        <v>Osi.TemplateAddTo("e32a200c-5b63-414d-ae57-00e7b38f125b", GetHostCharacter(), 100, 1);</v>
      </c>
      <c r="E16" s="15"/>
    </row>
    <row r="17">
      <c r="A17" s="16" t="str">
        <f>HYPERLINK("https://bg3.wiki/wiki/Amulet_of_Misty_Step", "Amulet of Misty Step")</f>
        <v>Amulet of Misty Step</v>
      </c>
      <c r="B17" s="17" t="s">
        <v>17</v>
      </c>
      <c r="C17" s="18" t="s">
        <v>18</v>
      </c>
      <c r="D17" s="19" t="str">
        <f t="shared" ref="D17:D21" si="2">"Osi.TemplateAddTo("""&amp; C17 &amp;""", GetHostCharacter(), 1, 1);"</f>
        <v>Osi.TemplateAddTo("338848e7-b2c6-4f97-879b-cb3439b4f959", GetHostCharacter(), 1, 1);</v>
      </c>
      <c r="E17" s="20"/>
    </row>
    <row r="18">
      <c r="A18" s="21" t="str">
        <f>HYPERLINK("https://bg3.wiki/wiki/Boots_of_Persistence", "Boots of Persistence")</f>
        <v>Boots of Persistence</v>
      </c>
      <c r="B18" s="22" t="s">
        <v>19</v>
      </c>
      <c r="C18" s="23" t="s">
        <v>20</v>
      </c>
      <c r="D18" s="24" t="str">
        <f t="shared" si="2"/>
        <v>Osi.TemplateAddTo("f3d8ff49-eaac-4c10-9421-3fd2180c7b39", GetHostCharacter(), 1, 1);</v>
      </c>
    </row>
    <row r="19">
      <c r="A19" s="25" t="str">
        <f>HYPERLINK("https://bg3.wiki/wiki/Fabricated_Arbalest", "Fabricated Arbalest")</f>
        <v>Fabricated Arbalest</v>
      </c>
      <c r="B19" s="17" t="s">
        <v>19</v>
      </c>
      <c r="C19" s="18" t="s">
        <v>21</v>
      </c>
      <c r="D19" s="19" t="str">
        <f t="shared" si="2"/>
        <v>Osi.TemplateAddTo("45d888b5-e002-4bb8-85d7-6df569aceaa4", GetHostCharacter(), 1, 1);</v>
      </c>
      <c r="E19" s="20"/>
    </row>
    <row r="20">
      <c r="A20" s="25" t="str">
        <f>HYPERLINK("https://bg3.wiki/wiki/Hellfire_Engine_Crossbow", "Hellfire Engine Crossbow")</f>
        <v>Hellfire Engine Crossbow</v>
      </c>
      <c r="B20" s="17" t="s">
        <v>19</v>
      </c>
      <c r="C20" s="18" t="s">
        <v>22</v>
      </c>
      <c r="D20" s="19" t="str">
        <f t="shared" si="2"/>
        <v>Osi.TemplateAddTo("f746397f-c489-4121-8499-40017981e290", GetHostCharacter(), 1, 1);</v>
      </c>
      <c r="E20" s="20"/>
    </row>
    <row r="21">
      <c r="A21" s="26" t="s">
        <v>23</v>
      </c>
      <c r="B21" s="22" t="s">
        <v>24</v>
      </c>
      <c r="C21" s="23" t="s">
        <v>25</v>
      </c>
      <c r="D21" s="24" t="str">
        <f t="shared" si="2"/>
        <v>Osi.TemplateAddTo("59c190d2-4b91-44f5-a720-f75d338dd341", GetHostCharacter(), 1, 1);</v>
      </c>
      <c r="E21" s="27" t="s">
        <v>26</v>
      </c>
    </row>
    <row r="22">
      <c r="A22" s="16" t="str">
        <f>HYPERLINK("https://bg3.wiki/wiki/Arrow_of_Transposition", "Arrow of Transposition (x100)")</f>
        <v>Arrow of Transposition (x100)</v>
      </c>
      <c r="B22" s="17" t="s">
        <v>24</v>
      </c>
      <c r="C22" s="18" t="s">
        <v>27</v>
      </c>
      <c r="D22" s="19" t="str">
        <f t="shared" ref="D22:D23" si="3">"Osi.TemplateAddTo("""&amp; C22 &amp;""", GetHostCharacter(), 100, 1);"</f>
        <v>Osi.TemplateAddTo("4cf7bbbb-1d1b-4bec-b82a-cdc3cce33f7a", GetHostCharacter(), 100, 1);</v>
      </c>
      <c r="E22" s="20"/>
    </row>
    <row r="23">
      <c r="A23" s="28" t="str">
        <f>HYPERLINK("https://bg3.wiki/wiki/Smokepowder_Arrow", "Smokepowder Arrow (x100)")</f>
        <v>Smokepowder Arrow (x100)</v>
      </c>
      <c r="B23" s="29" t="s">
        <v>24</v>
      </c>
      <c r="C23" s="30" t="s">
        <v>28</v>
      </c>
      <c r="D23" s="31" t="str">
        <f t="shared" si="3"/>
        <v>Osi.TemplateAddTo("0788a2bb-c732-4ebb-abf9-2ef150f509be", GetHostCharacter(), 100, 1);</v>
      </c>
      <c r="E23" s="20"/>
    </row>
    <row r="24">
      <c r="A24" s="32"/>
      <c r="B24" s="32"/>
      <c r="C24" s="32"/>
      <c r="D24" s="32"/>
      <c r="E24" s="32"/>
    </row>
  </sheetData>
  <mergeCells count="10">
    <mergeCell ref="A8:E8"/>
    <mergeCell ref="A9:E9"/>
    <mergeCell ref="A10:E10"/>
    <mergeCell ref="A1:E1"/>
    <mergeCell ref="A2:E2"/>
    <mergeCell ref="A3:E3"/>
    <mergeCell ref="A4:E4"/>
    <mergeCell ref="A5:E5"/>
    <mergeCell ref="A6:E6"/>
    <mergeCell ref="A7:E7"/>
  </mergeCells>
  <conditionalFormatting sqref="B11:B23 B25">
    <cfRule type="cellIs" dxfId="0" priority="1" operator="equal">
      <formula>"Common"</formula>
    </cfRule>
  </conditionalFormatting>
  <conditionalFormatting sqref="B11:B23 B25">
    <cfRule type="cellIs" dxfId="1" priority="2" operator="equal">
      <formula>"rare"</formula>
    </cfRule>
  </conditionalFormatting>
  <conditionalFormatting sqref="B11:B23 B25">
    <cfRule type="cellIs" dxfId="2" priority="3" operator="equal">
      <formula>"Very Rare"</formula>
    </cfRule>
  </conditionalFormatting>
  <conditionalFormatting sqref="B11:B23 B25">
    <cfRule type="cellIs" dxfId="3" priority="4" operator="equal">
      <formula>"Uncommon"</formula>
    </cfRule>
  </conditionalFormatting>
  <conditionalFormatting sqref="B11:B23 B25">
    <cfRule type="cellIs" dxfId="4" priority="5" operator="equal">
      <formula>"Legendary"</formula>
    </cfRule>
  </conditionalFormatting>
  <conditionalFormatting sqref="B11:B23 B25">
    <cfRule type="cellIs" dxfId="5" priority="6" operator="equal">
      <formula>"Story Item"</formula>
    </cfRule>
  </conditionalFormatting>
  <conditionalFormatting sqref="C11:C23 C25">
    <cfRule type="containsText" dxfId="6" priority="7" operator="containsText" text="todo">
      <formula>NOT(ISERROR(SEARCH(("todo"),(C11))))</formula>
    </cfRule>
  </conditionalFormatting>
  <hyperlinks>
    <hyperlink r:id="rId1" ref="A6"/>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9.5"/>
    <col customWidth="1" min="3" max="3" width="20.63"/>
    <col customWidth="1" min="4" max="4" width="70.0"/>
    <col customWidth="1" min="5" max="5" width="54.75"/>
  </cols>
  <sheetData>
    <row r="1">
      <c r="A1" s="33" t="s">
        <v>29</v>
      </c>
    </row>
    <row r="2">
      <c r="A2" s="22" t="s">
        <v>30</v>
      </c>
      <c r="B2" s="22"/>
      <c r="C2" s="23"/>
      <c r="D2" s="22"/>
    </row>
    <row r="3">
      <c r="A3" s="34" t="s">
        <v>7</v>
      </c>
      <c r="B3" s="35" t="s">
        <v>8</v>
      </c>
      <c r="C3" s="35" t="s">
        <v>9</v>
      </c>
      <c r="D3" s="36" t="s">
        <v>10</v>
      </c>
      <c r="E3" s="37"/>
    </row>
    <row r="4">
      <c r="A4" s="21" t="str">
        <f>HYPERLINK("https://bg3.wiki/wiki/Battleaxe", "Battleaxe")</f>
        <v>Battleaxe</v>
      </c>
      <c r="B4" s="22" t="s">
        <v>11</v>
      </c>
      <c r="C4" s="23" t="s">
        <v>31</v>
      </c>
      <c r="D4" s="24" t="str">
        <f t="shared" ref="D4:D13" si="1">"Osi.TemplateAddTo("""&amp; C4 &amp;""", GetHostCharacter(), 1, 1);"</f>
        <v>Osi.TemplateAddTo("a086b825-8f17-4f0e-855b-178f8cdc515a", GetHostCharacter(), 1, 1);</v>
      </c>
    </row>
    <row r="5">
      <c r="A5" s="21" t="str">
        <f>HYPERLINK("https://bg3.wiki/wiki/Battleaxe_%2B1", "Battleaxe +1")</f>
        <v>Battleaxe +1</v>
      </c>
      <c r="B5" s="22" t="s">
        <v>17</v>
      </c>
      <c r="C5" s="23" t="s">
        <v>32</v>
      </c>
      <c r="D5" s="24" t="str">
        <f t="shared" si="1"/>
        <v>Osi.TemplateAddTo("c17ee133-cbb5-418f-88be-5ef27991cf50", GetHostCharacter(), 1, 1);</v>
      </c>
    </row>
    <row r="6">
      <c r="A6" s="21" t="str">
        <f>HYPERLINK("https://bg3.wiki/wiki/Ceremonial_Battleaxe", "Ceremonial Battleaxe")</f>
        <v>Ceremonial Battleaxe</v>
      </c>
      <c r="B6" s="22" t="s">
        <v>17</v>
      </c>
      <c r="C6" s="23" t="s">
        <v>32</v>
      </c>
      <c r="D6" s="24" t="str">
        <f t="shared" si="1"/>
        <v>Osi.TemplateAddTo("c17ee133-cbb5-418f-88be-5ef27991cf50", GetHostCharacter(), 1, 1);</v>
      </c>
    </row>
    <row r="7">
      <c r="A7" s="21" t="str">
        <f>HYPERLINK("https://bg3.wiki/wiki/Combination_Axe", "Combination Axe")</f>
        <v>Combination Axe</v>
      </c>
      <c r="B7" s="22" t="s">
        <v>24</v>
      </c>
      <c r="C7" s="23" t="s">
        <v>33</v>
      </c>
      <c r="D7" s="24" t="str">
        <f t="shared" si="1"/>
        <v>Osi.TemplateAddTo("35465a58-d21d-46b4-a429-64d187b0781f", GetHostCharacter(), 1, 1);</v>
      </c>
    </row>
    <row r="8">
      <c r="A8" s="21" t="str">
        <f>HYPERLINK("https://bg3.wiki/wiki/Pactbound_Battleaxe", "Pactbound Battleaxe")</f>
        <v>Pactbound Battleaxe</v>
      </c>
      <c r="B8" s="22" t="s">
        <v>11</v>
      </c>
      <c r="C8" s="23" t="s">
        <v>34</v>
      </c>
      <c r="D8" s="24" t="str">
        <f t="shared" si="1"/>
        <v>Osi.TemplateAddTo("407954e3-71e4-4611-9221-0ba3ea71d6e8", GetHostCharacter(), 1, 1);</v>
      </c>
    </row>
    <row r="9">
      <c r="A9" s="21" t="str">
        <f>HYPERLINK("https://bg3.wiki/wiki/Rebound_Battleaxe", "Rebound Battleaxe")</f>
        <v>Rebound Battleaxe</v>
      </c>
      <c r="B9" s="22" t="s">
        <v>24</v>
      </c>
      <c r="C9" s="23" t="s">
        <v>35</v>
      </c>
      <c r="D9" s="24" t="str">
        <f t="shared" si="1"/>
        <v>Osi.TemplateAddTo("d2d5141a-9804-49b6-96e2-5738d85feffa", GetHostCharacter(), 1, 1);</v>
      </c>
    </row>
    <row r="10">
      <c r="A10" s="21" t="str">
        <f>HYPERLINK("https://bg3.wiki/wiki/Shadow_Battleaxe", "Shadow Battleaxe")</f>
        <v>Shadow Battleaxe</v>
      </c>
      <c r="B10" s="22" t="s">
        <v>17</v>
      </c>
      <c r="C10" s="23" t="s">
        <v>36</v>
      </c>
      <c r="D10" s="24" t="str">
        <f t="shared" si="1"/>
        <v>Osi.TemplateAddTo("6364a270-0ca4-45e2-aab2-7673bb5c156e", GetHostCharacter(), 1, 1);</v>
      </c>
    </row>
    <row r="11">
      <c r="A11" s="21" t="str">
        <f>HYPERLINK("https://bg3.wiki/wiki/Thermodynamo_Axe", "Thermodynamo Axe")</f>
        <v>Thermodynamo Axe</v>
      </c>
      <c r="B11" s="22" t="s">
        <v>24</v>
      </c>
      <c r="C11" s="23" t="s">
        <v>37</v>
      </c>
      <c r="D11" s="24" t="str">
        <f t="shared" si="1"/>
        <v>Osi.TemplateAddTo("b8f28da8-f8f5-4679-8c5f-ecc505811208", GetHostCharacter(), 1, 1);</v>
      </c>
    </row>
    <row r="12">
      <c r="A12" s="21" t="str">
        <f>HYPERLINK("https://bg3.wiki/wiki/Vicious_Battleaxe", "Vicious Battleaxe")</f>
        <v>Vicious Battleaxe</v>
      </c>
      <c r="B12" s="22" t="s">
        <v>24</v>
      </c>
      <c r="C12" s="23" t="s">
        <v>38</v>
      </c>
      <c r="D12" s="24" t="str">
        <f t="shared" si="1"/>
        <v>Osi.TemplateAddTo("3ff89075-1ef3-487e-b456-a1b536fd681a", GetHostCharacter(), 1, 1);</v>
      </c>
    </row>
    <row r="13">
      <c r="A13" s="38" t="str">
        <f>HYPERLINK("https://bg3.wiki/wiki/Witchbreaker", "Witchbreaker")</f>
        <v>Witchbreaker</v>
      </c>
      <c r="B13" s="39" t="s">
        <v>17</v>
      </c>
      <c r="C13" s="40" t="s">
        <v>39</v>
      </c>
      <c r="D13" s="41" t="str">
        <f t="shared" si="1"/>
        <v>Osi.TemplateAddTo("c77553e2-f192-4835-baa9-bdfb63521532", GetHostCharacter(), 1, 1);</v>
      </c>
    </row>
    <row r="14">
      <c r="C14" s="42"/>
    </row>
    <row r="15">
      <c r="A15" s="22" t="s">
        <v>40</v>
      </c>
      <c r="B15" s="22"/>
      <c r="C15" s="23"/>
      <c r="D15" s="22"/>
    </row>
    <row r="16">
      <c r="A16" s="34" t="s">
        <v>7</v>
      </c>
      <c r="B16" s="35" t="s">
        <v>8</v>
      </c>
      <c r="C16" s="35" t="s">
        <v>9</v>
      </c>
      <c r="D16" s="36" t="s">
        <v>10</v>
      </c>
      <c r="E16" s="37"/>
    </row>
    <row r="17">
      <c r="A17" s="21" t="str">
        <f>HYPERLINK("https://bg3.wiki/wiki/Broken_Club", "Broken Club")</f>
        <v>Broken Club</v>
      </c>
      <c r="B17" s="22" t="s">
        <v>11</v>
      </c>
      <c r="C17" s="23" t="s">
        <v>41</v>
      </c>
      <c r="D17" s="24" t="str">
        <f t="shared" ref="D17:D26" si="2">"Osi.TemplateAddTo("""&amp; C17 &amp;""", GetHostCharacter(), 1, 1);"</f>
        <v>Osi.TemplateAddTo("0ca0e540-dabe-4bf4-9e23-c006f03ffae2", GetHostCharacter(), 1, 1);</v>
      </c>
    </row>
    <row r="18">
      <c r="A18" s="21" t="str">
        <f>HYPERLINK("https://bg3.wiki/wiki/Club", "Club")</f>
        <v>Club</v>
      </c>
      <c r="B18" s="22" t="s">
        <v>11</v>
      </c>
      <c r="C18" s="23" t="s">
        <v>42</v>
      </c>
      <c r="D18" s="24" t="str">
        <f t="shared" si="2"/>
        <v>Osi.TemplateAddTo("d9c87013-1f41-4c17-b71d-f353ec0d64e8", GetHostCharacter(), 1, 1);</v>
      </c>
    </row>
    <row r="19">
      <c r="A19" s="21" t="str">
        <f>HYPERLINK("https://bg3.wiki/wiki/Club_%2B1", "Club +1")</f>
        <v>Club +1</v>
      </c>
      <c r="B19" s="22" t="s">
        <v>17</v>
      </c>
      <c r="C19" s="23" t="s">
        <v>43</v>
      </c>
      <c r="D19" s="24" t="str">
        <f t="shared" si="2"/>
        <v>Osi.TemplateAddTo("b30dca22-22bc-496e-b3b6-dd5744b73869", GetHostCharacter(), 1, 1);</v>
      </c>
    </row>
    <row r="20">
      <c r="A20" s="21" t="str">
        <f>HYPERLINK("https://bg3.wiki/wiki/Club_of_Hill_Giant_Strength", "Club of Hill Giant Strength")</f>
        <v>Club of Hill Giant Strength</v>
      </c>
      <c r="B20" s="22" t="s">
        <v>17</v>
      </c>
      <c r="C20" s="23" t="s">
        <v>44</v>
      </c>
      <c r="D20" s="24" t="str">
        <f t="shared" si="2"/>
        <v>Osi.TemplateAddTo("768010ce-dcfe-43bb-8398-2d681d4fa6eb", GetHostCharacter(), 1, 1);</v>
      </c>
    </row>
    <row r="21">
      <c r="A21" s="21" t="str">
        <f>HYPERLINK("https://bg3.wiki/wiki/Cultist_Brand", "Cultist Brand")</f>
        <v>Cultist Brand</v>
      </c>
      <c r="B21" s="22" t="s">
        <v>11</v>
      </c>
      <c r="C21" s="23" t="s">
        <v>45</v>
      </c>
      <c r="D21" s="24" t="str">
        <f t="shared" si="2"/>
        <v>Osi.TemplateAddTo("28373d60-893f-411c-a029-35c31665c821", GetHostCharacter(), 1, 1);</v>
      </c>
    </row>
    <row r="22">
      <c r="A22" s="21" t="str">
        <f>HYPERLINK("https://bg3.wiki/wiki/Enforcer_Club", "Enforcer Club")</f>
        <v>Enforcer Club</v>
      </c>
      <c r="B22" s="22" t="s">
        <v>17</v>
      </c>
      <c r="C22" s="23" t="s">
        <v>46</v>
      </c>
      <c r="D22" s="24" t="str">
        <f t="shared" si="2"/>
        <v>Osi.TemplateAddTo("d3cd1f93-64bb-4d57-bafc-19ee1cefc564", GetHostCharacter(), 1, 1);</v>
      </c>
    </row>
    <row r="23">
      <c r="A23" s="21" t="str">
        <f>HYPERLINK("https://bg3.wiki/wiki/Ironwood_Club", "Ironwood Club")</f>
        <v>Ironwood Club</v>
      </c>
      <c r="B23" s="22" t="s">
        <v>17</v>
      </c>
      <c r="C23" s="23" t="s">
        <v>47</v>
      </c>
      <c r="D23" s="24" t="str">
        <f t="shared" si="2"/>
        <v>Osi.TemplateAddTo("67ce5d1a-e0cd-48ce-94a9-9a17615e13d9", GetHostCharacter(), 1, 1);</v>
      </c>
    </row>
    <row r="24">
      <c r="A24" s="21" t="str">
        <f>HYPERLINK("https://bg3.wiki/wiki/Salami", "Salami (Yes, the food is a weapon)") </f>
        <v>Salami (Yes, the food is a weapon)</v>
      </c>
      <c r="B24" s="22" t="s">
        <v>11</v>
      </c>
      <c r="C24" s="23" t="s">
        <v>48</v>
      </c>
      <c r="D24" s="24" t="str">
        <f t="shared" si="2"/>
        <v>Osi.TemplateAddTo("e082f373-81ec-4f4b-818b-9ee86952e2fa", GetHostCharacter(), 1, 1);</v>
      </c>
    </row>
    <row r="25">
      <c r="A25" s="21" t="str">
        <f>HYPERLINK("https://bg3.wiki/wiki/Twisting_Branch", "Twisting Branch")</f>
        <v>Twisting Branch</v>
      </c>
      <c r="B25" s="22" t="s">
        <v>11</v>
      </c>
      <c r="C25" s="23" t="s">
        <v>49</v>
      </c>
      <c r="D25" s="24" t="str">
        <f t="shared" si="2"/>
        <v>Osi.TemplateAddTo("c71e2798-31ae-4f57-8073-c6195c2e9d02", GetHostCharacter(), 1, 1);</v>
      </c>
    </row>
    <row r="26">
      <c r="A26" s="38" t="str">
        <f>HYPERLINK("https://bg3.wiki/wiki/Whipping_Cane", "Whipping Cane")</f>
        <v>Whipping Cane</v>
      </c>
      <c r="B26" s="39" t="s">
        <v>11</v>
      </c>
      <c r="C26" s="40" t="s">
        <v>50</v>
      </c>
      <c r="D26" s="41" t="str">
        <f t="shared" si="2"/>
        <v>Osi.TemplateAddTo("3a9e4e60-9f58-4fb9-8a16-4cf784ad6f0d", GetHostCharacter(), 1, 1);</v>
      </c>
    </row>
    <row r="27">
      <c r="C27" s="42"/>
    </row>
    <row r="28">
      <c r="A28" s="22" t="s">
        <v>51</v>
      </c>
      <c r="B28" s="22"/>
      <c r="C28" s="23"/>
      <c r="D28" s="22"/>
    </row>
    <row r="29">
      <c r="A29" s="34" t="s">
        <v>7</v>
      </c>
      <c r="B29" s="35" t="s">
        <v>8</v>
      </c>
      <c r="C29" s="35" t="s">
        <v>9</v>
      </c>
      <c r="D29" s="36" t="s">
        <v>10</v>
      </c>
      <c r="E29" s="37"/>
    </row>
    <row r="30">
      <c r="A30" s="21" t="str">
        <f>HYPERLINK("https://bg3.wiki/wiki/Cemetery-Blue_Torch", "Cemetery-Blue Torch")</f>
        <v>Cemetery-Blue Torch</v>
      </c>
      <c r="B30" s="22" t="s">
        <v>11</v>
      </c>
      <c r="C30" s="23" t="s">
        <v>52</v>
      </c>
      <c r="D30" s="24" t="str">
        <f t="shared" ref="D30:D37" si="3">"Osi.TemplateAddTo("""&amp; C30 &amp;""", GetHostCharacter(), 1, 1);"</f>
        <v>Osi.TemplateAddTo("4668297e-7fc8-4384-af34-165813e9abe1", GetHostCharacter(), 1, 1);</v>
      </c>
    </row>
    <row r="31">
      <c r="A31" s="21" t="str">
        <f>HYPERLINK("https://bg3.wiki/wiki/Drunk-Purple_Torch", "Drunk-Purple Torch")</f>
        <v>Drunk-Purple Torch</v>
      </c>
      <c r="B31" s="22" t="s">
        <v>11</v>
      </c>
      <c r="C31" s="23" t="s">
        <v>53</v>
      </c>
      <c r="D31" s="24" t="str">
        <f t="shared" si="3"/>
        <v>Osi.TemplateAddTo("f7c72034-b7ed-459f-9f2f-3c42144271ef", GetHostCharacter(), 1, 1);</v>
      </c>
    </row>
    <row r="32">
      <c r="A32" s="21" t="str">
        <f>HYPERLINK("https://bg3.wiki/wiki/Lantern", "Lantern")</f>
        <v>Lantern</v>
      </c>
      <c r="B32" s="22" t="s">
        <v>11</v>
      </c>
      <c r="C32" s="23" t="s">
        <v>54</v>
      </c>
      <c r="D32" s="24" t="str">
        <f t="shared" si="3"/>
        <v>Osi.TemplateAddTo("81705db9-5b32-4ccd-91be-f8bad863ec48", GetHostCharacter(), 1, 1);</v>
      </c>
    </row>
    <row r="33">
      <c r="A33" s="21" t="str">
        <f>HYPERLINK("https://bg3.wiki/wiki/Moonlantern", "Moonlantern")</f>
        <v>Moonlantern</v>
      </c>
      <c r="B33" s="22" t="s">
        <v>55</v>
      </c>
      <c r="C33" s="23" t="s">
        <v>56</v>
      </c>
      <c r="D33" s="24" t="str">
        <f t="shared" si="3"/>
        <v>Osi.TemplateAddTo("9aca1109-a59d-47d3-8f35-f248b70518f9", GetHostCharacter(), 1, 1);</v>
      </c>
    </row>
    <row r="34">
      <c r="A34" s="21" t="str">
        <f>HYPERLINK("https://bg3.wiki/wiki/Plague-Green_Torch", "Plague-Green Torch")</f>
        <v>Plague-Green Torch</v>
      </c>
      <c r="B34" s="22" t="s">
        <v>11</v>
      </c>
      <c r="C34" s="23" t="s">
        <v>57</v>
      </c>
      <c r="D34" s="24" t="str">
        <f t="shared" si="3"/>
        <v>Osi.TemplateAddTo("fabf8b48-9c73-498a-a4ad-f9bf07024f19", GetHostCharacter(), 1, 1);</v>
      </c>
    </row>
    <row r="35">
      <c r="A35" s="21" t="str">
        <f>HYPERLINK("https://bg3.wiki/wiki/Shadow_Lantern", "Shadow Lantern")</f>
        <v>Shadow Lantern</v>
      </c>
      <c r="B35" s="22" t="s">
        <v>24</v>
      </c>
      <c r="C35" s="23" t="s">
        <v>58</v>
      </c>
      <c r="D35" s="24" t="str">
        <f t="shared" si="3"/>
        <v>Osi.TemplateAddTo("c9ebcfae-8c9a-4acc-8a30-da7830b32121", GetHostCharacter(), 1, 1);</v>
      </c>
    </row>
    <row r="36">
      <c r="A36" s="21" t="str">
        <f>HYPERLINK("https://bg3.wiki/wiki/Torch", "Torch")</f>
        <v>Torch</v>
      </c>
      <c r="B36" s="22" t="s">
        <v>11</v>
      </c>
      <c r="C36" s="23" t="s">
        <v>59</v>
      </c>
      <c r="D36" s="24" t="str">
        <f t="shared" si="3"/>
        <v>Osi.TemplateAddTo("50c43f27-a12e-412c-88f0-56e15eba692a", GetHostCharacter(), 1, 1);</v>
      </c>
    </row>
    <row r="37">
      <c r="A37" s="38" t="str">
        <f>HYPERLINK("https://bg3.wiki/wiki/Torch_of_Revocation", "Torch of Revocation")</f>
        <v>Torch of Revocation</v>
      </c>
      <c r="B37" s="39" t="s">
        <v>55</v>
      </c>
      <c r="C37" s="40" t="s">
        <v>60</v>
      </c>
      <c r="D37" s="41" t="str">
        <f t="shared" si="3"/>
        <v>Osi.TemplateAddTo("88be0257-cd9a-4922-85c9-178ad8579af2", GetHostCharacter(), 1, 1);</v>
      </c>
    </row>
    <row r="38">
      <c r="C38" s="42"/>
    </row>
    <row r="39">
      <c r="A39" s="22" t="s">
        <v>61</v>
      </c>
      <c r="B39" s="22"/>
      <c r="C39" s="23"/>
      <c r="D39" s="22"/>
    </row>
    <row r="40">
      <c r="A40" s="34" t="s">
        <v>7</v>
      </c>
      <c r="B40" s="35" t="s">
        <v>8</v>
      </c>
      <c r="C40" s="35" t="s">
        <v>9</v>
      </c>
      <c r="D40" s="36" t="s">
        <v>10</v>
      </c>
      <c r="E40" s="37"/>
    </row>
    <row r="41">
      <c r="A41" s="21" t="str">
        <f>HYPERLINK("https://bg3.wiki/wiki/Arcane_Absorption_Dagger", "Arcane Absorption Dagger")</f>
        <v>Arcane Absorption Dagger</v>
      </c>
      <c r="B41" s="22" t="s">
        <v>19</v>
      </c>
      <c r="C41" s="23" t="s">
        <v>62</v>
      </c>
      <c r="D41" s="24" t="str">
        <f t="shared" ref="D41:D76" si="4">"Osi.TemplateAddTo("""&amp; C41 &amp;""", GetHostCharacter(), 1, 1);"</f>
        <v>Osi.TemplateAddTo("cf89e4d8-485c-4cef-8098-959834cc8ac1", GetHostCharacter(), 1, 1);</v>
      </c>
    </row>
    <row r="42">
      <c r="A42" s="21" t="str">
        <f>HYPERLINK("https://bg3.wiki/wiki/Artificial_Leech", "Artificial Leech")</f>
        <v>Artificial Leech</v>
      </c>
      <c r="B42" s="22" t="s">
        <v>11</v>
      </c>
      <c r="C42" s="23" t="s">
        <v>63</v>
      </c>
      <c r="D42" s="24" t="str">
        <f t="shared" si="4"/>
        <v>Osi.TemplateAddTo("81158eec-1fd0-4fd7-8b02-ce7f5e45f8b5", GetHostCharacter(), 1, 1);</v>
      </c>
    </row>
    <row r="43">
      <c r="A43" s="21" t="str">
        <f>HYPERLINK("https://bg3.wiki/wiki/Artificial_Leech_(%2B1)", "Artificial Leech (+1)")</f>
        <v>Artificial Leech (+1)</v>
      </c>
      <c r="B43" s="22" t="s">
        <v>17</v>
      </c>
      <c r="C43" s="23" t="s">
        <v>64</v>
      </c>
      <c r="D43" s="24" t="str">
        <f t="shared" si="4"/>
        <v>Osi.TemplateAddTo("a27e3e3a-ef55-4733-9655-29c7913d26d5", GetHostCharacter(), 1, 1);</v>
      </c>
    </row>
    <row r="44">
      <c r="A44" s="21" t="str">
        <f>HYPERLINK("https://bg3.wiki/wiki/Assassin%27s_Touch", "Assassin's Touch")</f>
        <v>Assassin's Touch</v>
      </c>
      <c r="B44" s="22" t="s">
        <v>17</v>
      </c>
      <c r="C44" s="23" t="s">
        <v>65</v>
      </c>
      <c r="D44" s="24" t="str">
        <f t="shared" si="4"/>
        <v>Osi.TemplateAddTo("520d3f36-af72-4385-89af-f585c8edc9cf", GetHostCharacter(), 1, 1);</v>
      </c>
    </row>
    <row r="45">
      <c r="A45" s="21" t="str">
        <f>HYPERLINK("https://bg3.wiki/wiki/Bloodthirst", "Bloodthirst")</f>
        <v>Bloodthirst</v>
      </c>
      <c r="B45" s="22" t="s">
        <v>66</v>
      </c>
      <c r="C45" s="23" t="s">
        <v>67</v>
      </c>
      <c r="D45" s="24" t="str">
        <f t="shared" si="4"/>
        <v>Osi.TemplateAddTo("d90abf24-3c4e-4bbf-84aa-def05ca9962a", GetHostCharacter(), 1, 1);</v>
      </c>
    </row>
    <row r="46">
      <c r="A46" s="21" t="str">
        <f>HYPERLINK("https://bg3.wiki/wiki/Cold_Snap", "Cold Snap")</f>
        <v>Cold Snap</v>
      </c>
      <c r="B46" s="22" t="s">
        <v>24</v>
      </c>
      <c r="C46" s="23" t="s">
        <v>68</v>
      </c>
      <c r="D46" s="24" t="str">
        <f t="shared" si="4"/>
        <v>Osi.TemplateAddTo("a8661143-d94d-4f49-a92f-cbd0a9a500a1", GetHostCharacter(), 1, 1);</v>
      </c>
    </row>
    <row r="47">
      <c r="A47" s="21" t="str">
        <f>HYPERLINK("https://bg3.wiki/wiki/Dagger", "Dagger")</f>
        <v>Dagger</v>
      </c>
      <c r="B47" s="22" t="s">
        <v>11</v>
      </c>
      <c r="C47" s="23" t="s">
        <v>69</v>
      </c>
      <c r="D47" s="24" t="str">
        <f t="shared" si="4"/>
        <v>Osi.TemplateAddTo("569b0f3d-abcd-4b01-aaf0-979091288163", GetHostCharacter(), 1, 1);</v>
      </c>
    </row>
    <row r="48">
      <c r="A48" s="21" t="str">
        <f>HYPERLINK("https://bg3.wiki/wiki/Dagger", "Dagger (Justiciar)")</f>
        <v>Dagger (Justiciar)</v>
      </c>
      <c r="B48" s="22" t="s">
        <v>11</v>
      </c>
      <c r="C48" s="23" t="s">
        <v>70</v>
      </c>
      <c r="D48" s="24" t="str">
        <f t="shared" si="4"/>
        <v>Osi.TemplateAddTo("258ce9f3-3f32-4546-ae6e-196b3e8e91b5", GetHostCharacter(), 1, 1);</v>
      </c>
    </row>
    <row r="49">
      <c r="A49" s="21" t="str">
        <f>HYPERLINK("https://bg3.wiki/wiki/Dagger_%2B1", "Dagger +1")</f>
        <v>Dagger +1</v>
      </c>
      <c r="B49" s="22" t="s">
        <v>17</v>
      </c>
      <c r="C49" s="23" t="s">
        <v>71</v>
      </c>
      <c r="D49" s="24" t="str">
        <f t="shared" si="4"/>
        <v>Osi.TemplateAddTo("1eab180b-5bf9-48ea-aece-7ba20d1deb78", GetHostCharacter(), 1, 1);</v>
      </c>
    </row>
    <row r="50">
      <c r="A50" s="21" t="str">
        <f>HYPERLINK("https://bg3.wiki/wiki/Dagger_%2B2", "Dagger +2")</f>
        <v>Dagger +2</v>
      </c>
      <c r="B50" s="22" t="s">
        <v>24</v>
      </c>
      <c r="C50" s="23" t="s">
        <v>72</v>
      </c>
      <c r="D50" s="24" t="str">
        <f t="shared" si="4"/>
        <v>Osi.TemplateAddTo("c68026c8-8af9-4a05-b77a-246a01bafe61", GetHostCharacter(), 1, 1);</v>
      </c>
    </row>
    <row r="51">
      <c r="A51" s="21" t="str">
        <f>HYPERLINK("https://bg3.wiki/wiki/Dagger_of_Shar", "Dagger of Shar")</f>
        <v>Dagger of Shar</v>
      </c>
      <c r="B51" s="22" t="s">
        <v>17</v>
      </c>
      <c r="C51" s="23" t="s">
        <v>73</v>
      </c>
      <c r="D51" s="24" t="str">
        <f t="shared" si="4"/>
        <v>Osi.TemplateAddTo("12f1e6ce-7042-481b-879b-fa81c7688c7d", GetHostCharacter(), 1, 1);</v>
      </c>
    </row>
    <row r="52">
      <c r="A52" s="21" t="str">
        <f>HYPERLINK("https://bg3.wiki/wiki/Dolor_Amarus", "Dolor Amarus")</f>
        <v>Dolor Amarus</v>
      </c>
      <c r="B52" s="22" t="s">
        <v>24</v>
      </c>
      <c r="C52" s="23" t="s">
        <v>74</v>
      </c>
      <c r="D52" s="24" t="str">
        <f t="shared" si="4"/>
        <v>Osi.TemplateAddTo("d3e121fb-09c0-4478-84f1-f4f3e28cd50f", GetHostCharacter(), 1, 1);</v>
      </c>
    </row>
    <row r="53">
      <c r="A53" s="21" t="str">
        <f>HYPERLINK("https://bg3.wiki/wiki/Dread_Iron_Dagger", "Dread Iron Dagger")</f>
        <v>Dread Iron Dagger</v>
      </c>
      <c r="B53" s="22" t="s">
        <v>24</v>
      </c>
      <c r="C53" s="23" t="s">
        <v>75</v>
      </c>
      <c r="D53" s="24" t="str">
        <f t="shared" si="4"/>
        <v>Osi.TemplateAddTo("9829ba14-b236-4e50-ad54-426ff618074b", GetHostCharacter(), 1, 1);</v>
      </c>
    </row>
    <row r="54">
      <c r="A54" s="21" t="str">
        <f>HYPERLINK("https://bg3.wiki/wiki/Gleamdance_Dagger", "Gleamdance Dagger")</f>
        <v>Gleamdance Dagger</v>
      </c>
      <c r="B54" s="22" t="s">
        <v>24</v>
      </c>
      <c r="C54" s="23" t="s">
        <v>76</v>
      </c>
      <c r="D54" s="24" t="str">
        <f t="shared" si="4"/>
        <v>Osi.TemplateAddTo("3d449afb-b99a-492c-b636-85ced6b39e69", GetHostCharacter(), 1, 1);</v>
      </c>
    </row>
    <row r="55">
      <c r="A55" s="21" t="str">
        <f>HYPERLINK("https://bg3.wiki/wiki/Goblinbane_Dagger", "Goblinbane Dagger")</f>
        <v>Goblinbane Dagger</v>
      </c>
      <c r="B55" s="22" t="s">
        <v>17</v>
      </c>
      <c r="C55" s="23" t="s">
        <v>77</v>
      </c>
      <c r="D55" s="24" t="str">
        <f t="shared" si="4"/>
        <v>Osi.TemplateAddTo("529fe100-de0b-4a34-a669-4861ee4538a2", GetHostCharacter(), 1, 1);</v>
      </c>
    </row>
    <row r="56">
      <c r="A56" s="21" t="str">
        <f>HYPERLINK("https://bg3.wiki/wiki/Hunter%27s_Dagger", "Hunter's Dagger")</f>
        <v>Hunter's Dagger</v>
      </c>
      <c r="B56" s="22" t="s">
        <v>17</v>
      </c>
      <c r="C56" s="23" t="s">
        <v>78</v>
      </c>
      <c r="D56" s="24" t="str">
        <f t="shared" si="4"/>
        <v>Osi.TemplateAddTo("e101101e-e4ba-48b6-9f82-267ca1cd84dc", GetHostCharacter(), 1, 1);</v>
      </c>
    </row>
    <row r="57">
      <c r="A57" s="21" t="str">
        <f>HYPERLINK("https://bg3.wiki/wiki/Mind_Sundering_Dagger", "Mind Sundering Dagger")</f>
        <v>Mind Sundering Dagger</v>
      </c>
      <c r="B57" s="22" t="s">
        <v>17</v>
      </c>
      <c r="C57" s="23" t="s">
        <v>79</v>
      </c>
      <c r="D57" s="24" t="str">
        <f t="shared" si="4"/>
        <v>Osi.TemplateAddTo("33e89c49-6e6f-4143-a57e-c53344422dbf", GetHostCharacter(), 1, 1);</v>
      </c>
    </row>
    <row r="58">
      <c r="A58" s="21" t="str">
        <f>HYPERLINK("https://bg3.wiki/wiki/Murderous_Cut", "Murderous Cut")</f>
        <v>Murderous Cut</v>
      </c>
      <c r="B58" s="22" t="s">
        <v>17</v>
      </c>
      <c r="C58" s="23" t="s">
        <v>80</v>
      </c>
      <c r="D58" s="24" t="str">
        <f t="shared" si="4"/>
        <v>Osi.TemplateAddTo("2384a69e-7d7d-4052-84ee-2f53fa45320f", GetHostCharacter(), 1, 1);</v>
      </c>
    </row>
    <row r="59">
      <c r="A59" s="21" t="str">
        <f>HYPERLINK("https://bg3.wiki/wiki/Needle_of_the_Outlaw_Rogue", "Needle of the Outlaw Rogue")</f>
        <v>Needle of the Outlaw Rogue</v>
      </c>
      <c r="B59" s="22" t="s">
        <v>11</v>
      </c>
      <c r="C59" s="23" t="s">
        <v>81</v>
      </c>
      <c r="D59" s="24" t="str">
        <f t="shared" si="4"/>
        <v>Osi.TemplateAddTo("0eadec28-a9ce-4dbf-be86-63f58a49b902", GetHostCharacter(), 1, 1);</v>
      </c>
    </row>
    <row r="60">
      <c r="A60" s="21" t="str">
        <f>HYPERLINK("https://bg3.wiki/wiki/Polished_Dagger", "Polished Dagger")</f>
        <v>Polished Dagger</v>
      </c>
      <c r="B60" s="22" t="s">
        <v>11</v>
      </c>
      <c r="C60" s="23" t="s">
        <v>82</v>
      </c>
      <c r="D60" s="24" t="str">
        <f t="shared" si="4"/>
        <v>Osi.TemplateAddTo("7dbbded9-04fa-4b70-8b5a-131beedc1479", GetHostCharacter(), 1, 1);</v>
      </c>
    </row>
    <row r="61">
      <c r="A61" s="21" t="str">
        <f>HYPERLINK("https://bg3.wiki/wiki/Poo-Scraper", "Poo-Scraper")</f>
        <v>Poo-Scraper</v>
      </c>
      <c r="B61" s="22" t="s">
        <v>11</v>
      </c>
      <c r="C61" s="23" t="s">
        <v>83</v>
      </c>
      <c r="D61" s="24" t="str">
        <f t="shared" si="4"/>
        <v>Osi.TemplateAddTo("26398e41-8636-4fd5-bc12-d7971dfe1ca8", GetHostCharacter(), 1, 1);</v>
      </c>
    </row>
    <row r="62">
      <c r="A62" s="21" t="str">
        <f>HYPERLINK("https://bg3.wiki/wiki/Promise", "Promise")</f>
        <v>Promise</v>
      </c>
      <c r="B62" s="22" t="s">
        <v>17</v>
      </c>
      <c r="C62" s="23" t="s">
        <v>84</v>
      </c>
      <c r="D62" s="24" t="str">
        <f t="shared" si="4"/>
        <v>Osi.TemplateAddTo("9e31fd58-c2a6-487c-9054-913aecd5ce32", GetHostCharacter(), 1, 1);</v>
      </c>
    </row>
    <row r="63">
      <c r="A63" s="21" t="str">
        <f>HYPERLINK("https://bg3.wiki/wiki/Rhapsody", "Rhapsody")</f>
        <v>Rhapsody</v>
      </c>
      <c r="B63" s="22" t="s">
        <v>19</v>
      </c>
      <c r="C63" s="23" t="s">
        <v>85</v>
      </c>
      <c r="D63" s="24" t="str">
        <f t="shared" si="4"/>
        <v>Osi.TemplateAddTo("c5375a2c-f03c-464b-a482-5251debbfabb", GetHostCharacter(), 1, 1);</v>
      </c>
    </row>
    <row r="64">
      <c r="A64" s="21" t="str">
        <f>HYPERLINK("https://bg3.wiki/wiki/Ritual_Dagger", "Ritual Dagger")</f>
        <v>Ritual Dagger</v>
      </c>
      <c r="B64" s="22" t="s">
        <v>17</v>
      </c>
      <c r="C64" s="23" t="s">
        <v>86</v>
      </c>
      <c r="D64" s="24" t="str">
        <f t="shared" si="4"/>
        <v>Osi.TemplateAddTo("11aa209f-6e42-40bd-a12c-aa33445c21ea", GetHostCharacter(), 1, 1);</v>
      </c>
    </row>
    <row r="65">
      <c r="A65" s="21" t="str">
        <f>HYPERLINK("https://bg3.wiki/wiki/Ritual_Dagger_of_Shar", "Ritual Dagger of Shar")</f>
        <v>Ritual Dagger of Shar</v>
      </c>
      <c r="B65" s="22" t="s">
        <v>17</v>
      </c>
      <c r="C65" s="23" t="s">
        <v>87</v>
      </c>
      <c r="D65" s="24" t="str">
        <f t="shared" si="4"/>
        <v>Osi.TemplateAddTo("2b07d6f1-d698-47e2-9531-500cbffd9853", GetHostCharacter(), 1, 1);</v>
      </c>
    </row>
    <row r="66">
      <c r="A66" s="21" t="str">
        <f>HYPERLINK("https://bg3.wiki/wiki/Rusted_Blade", "Rusted Blade")</f>
        <v>Rusted Blade</v>
      </c>
      <c r="B66" s="22" t="s">
        <v>11</v>
      </c>
      <c r="C66" s="23" t="s">
        <v>88</v>
      </c>
      <c r="D66" s="24" t="str">
        <f t="shared" si="4"/>
        <v>Osi.TemplateAddTo("b51adef1-b17e-463b-b009-c71db48bd195", GetHostCharacter(), 1, 1);</v>
      </c>
    </row>
    <row r="67">
      <c r="A67" s="21" t="str">
        <f>HYPERLINK("https://bg3.wiki/wiki/Rusty_Dagger", "Rusty Dagger")</f>
        <v>Rusty Dagger</v>
      </c>
      <c r="B67" s="22" t="s">
        <v>11</v>
      </c>
      <c r="C67" s="23" t="s">
        <v>89</v>
      </c>
      <c r="D67" s="24" t="str">
        <f t="shared" si="4"/>
        <v>Osi.TemplateAddTo("6a321455-d00f-4164-ab12-3601fef2ae6e", GetHostCharacter(), 1, 1);</v>
      </c>
    </row>
    <row r="68">
      <c r="A68" s="21" t="str">
        <f>HYPERLINK("https://bg3.wiki/wiki/Scalpel", "Scalpel")</f>
        <v>Scalpel</v>
      </c>
      <c r="B68" s="22" t="s">
        <v>11</v>
      </c>
      <c r="C68" s="23" t="s">
        <v>90</v>
      </c>
      <c r="D68" s="24" t="str">
        <f t="shared" si="4"/>
        <v>Osi.TemplateAddTo("3d01cf80-2d13-4225-a520-6558a7f407cd", GetHostCharacter(), 1, 1);</v>
      </c>
    </row>
    <row r="69">
      <c r="A69" s="21" t="str">
        <f>HYPERLINK("https://bg3.wiki/wiki/Scalpel", "Scalpel (more of a dagger)")</f>
        <v>Scalpel (more of a dagger)</v>
      </c>
      <c r="B69" s="22" t="s">
        <v>11</v>
      </c>
      <c r="C69" s="23" t="s">
        <v>91</v>
      </c>
      <c r="D69" s="24" t="str">
        <f t="shared" si="4"/>
        <v>Osi.TemplateAddTo("00353281-1abb-4de6-893b-d6bf7f748da8", GetHostCharacter(), 1, 1);</v>
      </c>
    </row>
    <row r="70">
      <c r="A70" s="21" t="str">
        <f>HYPERLINK("https://bg3.wiki/wiki/Shar%27s_Sting", "Shar's Sting")</f>
        <v>Shar's Sting</v>
      </c>
      <c r="B70" s="22" t="s">
        <v>17</v>
      </c>
      <c r="C70" s="23" t="s">
        <v>92</v>
      </c>
      <c r="D70" s="24" t="str">
        <f t="shared" si="4"/>
        <v>Osi.TemplateAddTo("7773610f-f246-4837-a75f-2d260f815718", GetHostCharacter(), 1, 1);</v>
      </c>
    </row>
    <row r="71">
      <c r="A71" s="21" t="str">
        <f>HYPERLINK("https://bg3.wiki/wiki/Stillmaker", "Stillmaker")</f>
        <v>Stillmaker</v>
      </c>
      <c r="B71" s="22" t="s">
        <v>19</v>
      </c>
      <c r="C71" s="23" t="s">
        <v>93</v>
      </c>
      <c r="D71" s="24" t="str">
        <f t="shared" si="4"/>
        <v>Osi.TemplateAddTo("0cfbd2ef-6eb3-4283-b0c9-8e23a4f9bf8c", GetHostCharacter(), 1, 1);</v>
      </c>
    </row>
    <row r="72">
      <c r="A72" s="21" t="str">
        <f>HYPERLINK("https://bg3.wiki/wiki/Sussur_Dagger", "Sussur Dagger")</f>
        <v>Sussur Dagger</v>
      </c>
      <c r="B72" s="22" t="s">
        <v>24</v>
      </c>
      <c r="C72" s="23" t="s">
        <v>94</v>
      </c>
      <c r="D72" s="24" t="str">
        <f t="shared" si="4"/>
        <v>Osi.TemplateAddTo("8733edb7-f04e-4b6d-ad48-7d49fb782bef", GetHostCharacter(), 1, 1);</v>
      </c>
    </row>
    <row r="73">
      <c r="A73" s="21" t="str">
        <f>HYPERLINK("https://bg3.wiki/wiki/Syringe", "Syringe")</f>
        <v>Syringe</v>
      </c>
      <c r="B73" s="22" t="s">
        <v>11</v>
      </c>
      <c r="C73" s="23" t="s">
        <v>95</v>
      </c>
      <c r="D73" s="24" t="str">
        <f t="shared" si="4"/>
        <v>Osi.TemplateAddTo("75cea463-4395-4600-ad93-7017415b16e3", GetHostCharacter(), 1, 1);</v>
      </c>
    </row>
    <row r="74">
      <c r="A74" s="21" t="str">
        <f>HYPERLINK("https://bg3.wiki/wiki/Syringe_(%2B1)", "Syringe (+1)")</f>
        <v>Syringe (+1)</v>
      </c>
      <c r="B74" s="22" t="s">
        <v>17</v>
      </c>
      <c r="C74" s="23" t="s">
        <v>96</v>
      </c>
      <c r="D74" s="24" t="str">
        <f t="shared" si="4"/>
        <v>Osi.TemplateAddTo("95c3af3c-83b9-4cc0-b633-1493b7daca4d", GetHostCharacter(), 1, 1);</v>
      </c>
    </row>
    <row r="75">
      <c r="A75" s="21" t="str">
        <f>HYPERLINK("https://bg3.wiki/wiki/Vampiric_Dagger", "Vampiric Dagger")</f>
        <v>Vampiric Dagger</v>
      </c>
      <c r="B75" s="22" t="s">
        <v>11</v>
      </c>
      <c r="C75" s="23" t="s">
        <v>97</v>
      </c>
      <c r="D75" s="24" t="str">
        <f t="shared" si="4"/>
        <v>Osi.TemplateAddTo("4a997f13-4fb8-4aca-b3f1-cf206b108805", GetHostCharacter(), 1, 1);</v>
      </c>
    </row>
    <row r="76">
      <c r="A76" s="38" t="str">
        <f>HYPERLINK("https://bg3.wiki/wiki/Worgfang", "Worgfang")</f>
        <v>Worgfang</v>
      </c>
      <c r="B76" s="39" t="s">
        <v>17</v>
      </c>
      <c r="C76" s="40" t="s">
        <v>98</v>
      </c>
      <c r="D76" s="41" t="str">
        <f t="shared" si="4"/>
        <v>Osi.TemplateAddTo("hb31cf979gfaf2g4dd6ga4degcd3517187b06", GetHostCharacter(), 1, 1);</v>
      </c>
    </row>
    <row r="77">
      <c r="C77" s="42"/>
    </row>
    <row r="78">
      <c r="A78" s="22" t="s">
        <v>99</v>
      </c>
      <c r="B78" s="22"/>
      <c r="C78" s="23"/>
      <c r="D78" s="22"/>
    </row>
    <row r="79">
      <c r="A79" s="34" t="s">
        <v>7</v>
      </c>
      <c r="B79" s="35" t="s">
        <v>8</v>
      </c>
      <c r="C79" s="35" t="s">
        <v>9</v>
      </c>
      <c r="D79" s="36" t="s">
        <v>10</v>
      </c>
      <c r="E79" s="37"/>
    </row>
    <row r="80">
      <c r="A80" s="21" t="str">
        <f>HYPERLINK("https://bg3.wiki/wiki/Dart", "Dart")</f>
        <v>Dart</v>
      </c>
      <c r="B80" s="22" t="s">
        <v>11</v>
      </c>
      <c r="C80" s="23" t="s">
        <v>100</v>
      </c>
      <c r="D80" s="24" t="str">
        <f t="shared" ref="D80:D82" si="5">"Osi.TemplateAddTo("""&amp; C80 &amp;""", GetHostCharacter(), 1, 1);"</f>
        <v>Osi.TemplateAddTo("fb08eef6-f6a0-454e-ab14-c1470f3ba18d", GetHostCharacter(), 1, 1);</v>
      </c>
    </row>
    <row r="81">
      <c r="A81" s="21" t="str">
        <f>HYPERLINK("https://bg3.wiki/wiki/Dart_%2B1", "Dart +1")</f>
        <v>Dart +1</v>
      </c>
      <c r="B81" s="22" t="s">
        <v>17</v>
      </c>
      <c r="C81" s="23" t="s">
        <v>101</v>
      </c>
      <c r="D81" s="24" t="str">
        <f t="shared" si="5"/>
        <v>Osi.TemplateAddTo("5557cbf6-ce24-48de-beed-3be1a77e1c82", GetHostCharacter(), 1, 1);</v>
      </c>
    </row>
    <row r="82">
      <c r="A82" s="38" t="str">
        <f>HYPERLINK("https://bg3.wiki/wiki/Dart_%2B2", "Dart +2")</f>
        <v>Dart +2</v>
      </c>
      <c r="B82" s="39" t="s">
        <v>24</v>
      </c>
      <c r="C82" s="40" t="s">
        <v>102</v>
      </c>
      <c r="D82" s="41" t="str">
        <f t="shared" si="5"/>
        <v>Osi.TemplateAddTo("e292c502-b116-4a46-a232-dd53f7838f6f", GetHostCharacter(), 1, 1);</v>
      </c>
    </row>
    <row r="83">
      <c r="C83" s="42"/>
    </row>
    <row r="84">
      <c r="A84" s="22" t="s">
        <v>103</v>
      </c>
      <c r="B84" s="22"/>
      <c r="C84" s="23"/>
      <c r="D84" s="22"/>
    </row>
    <row r="85">
      <c r="A85" s="34" t="s">
        <v>7</v>
      </c>
      <c r="B85" s="35" t="s">
        <v>8</v>
      </c>
      <c r="C85" s="35" t="s">
        <v>9</v>
      </c>
      <c r="D85" s="36" t="s">
        <v>10</v>
      </c>
      <c r="E85" s="37"/>
    </row>
    <row r="86">
      <c r="A86" s="21" t="str">
        <f>HYPERLINK("https://bg3.wiki/wiki/Chaos_Flail", "Chaos Flail")</f>
        <v>Chaos Flail</v>
      </c>
      <c r="B86" s="22" t="s">
        <v>11</v>
      </c>
      <c r="C86" s="23" t="s">
        <v>104</v>
      </c>
      <c r="D86" s="24" t="str">
        <f t="shared" ref="D86:D99" si="6">"Osi.TemplateAddTo("""&amp; C86 &amp;""", GetHostCharacter(), 1, 1);"</f>
        <v>Osi.TemplateAddTo("608e265d-f81b-4c13-a786-e5602852fcf4", GetHostCharacter(), 1, 1);</v>
      </c>
    </row>
    <row r="87">
      <c r="A87" s="21" t="str">
        <f>HYPERLINK("https://bg3.wiki/wiki/Corrosive_Flail", "Corrosive Flail")</f>
        <v>Corrosive Flail</v>
      </c>
      <c r="B87" s="22" t="s">
        <v>24</v>
      </c>
      <c r="C87" s="23" t="s">
        <v>105</v>
      </c>
      <c r="D87" s="24" t="str">
        <f t="shared" si="6"/>
        <v>Osi.TemplateAddTo("0a44de18-b355-4692-9256-d920b9bb25b7", GetHostCharacter(), 1, 1);</v>
      </c>
    </row>
    <row r="88">
      <c r="A88" s="21" t="str">
        <f>HYPERLINK("https://bg3.wiki/wiki/Defender_Flail", "Defender Flail")</f>
        <v>Defender Flail</v>
      </c>
      <c r="B88" s="22" t="s">
        <v>24</v>
      </c>
      <c r="C88" s="23" t="s">
        <v>106</v>
      </c>
      <c r="D88" s="24" t="str">
        <f t="shared" si="6"/>
        <v>Osi.TemplateAddTo("cf19058b-2be6-411c-9227-7058053fa37a", GetHostCharacter(), 1, 1);</v>
      </c>
    </row>
    <row r="89">
      <c r="A89" s="21" t="str">
        <f>HYPERLINK("https://bg3.wiki/wiki/Flail", "Flail (V1)")</f>
        <v>Flail (V1)</v>
      </c>
      <c r="B89" s="22" t="s">
        <v>11</v>
      </c>
      <c r="C89" s="23" t="s">
        <v>107</v>
      </c>
      <c r="D89" s="24" t="str">
        <f t="shared" si="6"/>
        <v>Osi.TemplateAddTo("9eadef92-5dd0-408e-9b55-1cf791cafe9d", GetHostCharacter(), 1, 1);</v>
      </c>
    </row>
    <row r="90">
      <c r="A90" s="21" t="str">
        <f>HYPERLINK("https://bg3.wiki/wiki/Flail", "Flail (V2)")</f>
        <v>Flail (V2)</v>
      </c>
      <c r="B90" s="22" t="s">
        <v>11</v>
      </c>
      <c r="C90" s="23" t="s">
        <v>108</v>
      </c>
      <c r="D90" s="24" t="str">
        <f t="shared" si="6"/>
        <v>Osi.TemplateAddTo("4ef7dcd7-3328-4218-b0d3-520f2afaa529", GetHostCharacter(), 1, 1);</v>
      </c>
    </row>
    <row r="91">
      <c r="A91" s="21" t="str">
        <f>HYPERLINK("https://bg3.wiki/wiki/Flail_%2B1", "Flail +1")</f>
        <v>Flail +1</v>
      </c>
      <c r="B91" s="22" t="s">
        <v>17</v>
      </c>
      <c r="C91" s="23" t="s">
        <v>109</v>
      </c>
      <c r="D91" s="24" t="str">
        <f t="shared" si="6"/>
        <v>Osi.TemplateAddTo("9076abf1-1029-4be9-a7cf-428d2b6fdea5", GetHostCharacter(), 1, 1);</v>
      </c>
    </row>
    <row r="92">
      <c r="A92" s="21" t="str">
        <f>HYPERLINK("https://bg3.wiki/wiki/Flail_%2B2", "Flail +2")</f>
        <v>Flail +2</v>
      </c>
      <c r="B92" s="22" t="s">
        <v>24</v>
      </c>
      <c r="C92" s="23" t="s">
        <v>110</v>
      </c>
      <c r="D92" s="24" t="str">
        <f t="shared" si="6"/>
        <v>Osi.TemplateAddTo("23ab9011-ef66-463e-a8ee-012321be6d1c", GetHostCharacter(), 1, 1);</v>
      </c>
    </row>
    <row r="93">
      <c r="A93" s="21" t="str">
        <f>HYPERLINK("https://bg3.wiki/wiki/Flail_of_Ages", "Flail of Ages")</f>
        <v>Flail of Ages</v>
      </c>
      <c r="B93" s="22" t="s">
        <v>24</v>
      </c>
      <c r="C93" s="23" t="s">
        <v>111</v>
      </c>
      <c r="D93" s="24" t="str">
        <f t="shared" si="6"/>
        <v>Osi.TemplateAddTo("01338cbe-9ff6-485e-9052-838c82a2a753", GetHostCharacter(), 1, 1);</v>
      </c>
    </row>
    <row r="94">
      <c r="A94" s="21" t="str">
        <f>HYPERLINK("https://bg3.wiki/wiki/Flail_of_Dread_Skulls", "Flail of Dread Skulls")</f>
        <v>Flail of Dread Skulls</v>
      </c>
      <c r="B94" s="22" t="s">
        <v>24</v>
      </c>
      <c r="C94" s="23" t="s">
        <v>112</v>
      </c>
      <c r="D94" s="24" t="str">
        <f t="shared" si="6"/>
        <v>Osi.TemplateAddTo("b551469c-5a53-4df3-a2c9-91516ef55695", GetHostCharacter(), 1, 1);</v>
      </c>
    </row>
    <row r="95">
      <c r="A95" s="21" t="str">
        <f>HYPERLINK("https://bg3.wiki/wiki/Flail_of_Myrkul", "Flail of Myrkul")</f>
        <v>Flail of Myrkul</v>
      </c>
      <c r="B95" s="22" t="s">
        <v>11</v>
      </c>
      <c r="C95" s="23" t="s">
        <v>113</v>
      </c>
      <c r="D95" s="24" t="str">
        <f t="shared" si="6"/>
        <v>Osi.TemplateAddTo("4c86f6ac-5829-41f2-a3f0-d3e893334961", GetHostCharacter(), 1, 1);</v>
      </c>
    </row>
    <row r="96">
      <c r="A96" s="21" t="str">
        <f>HYPERLINK("https://bg3.wiki/wiki/Flail_of_the_Vortex", "Flail of the Vortex")</f>
        <v>Flail of the Vortex</v>
      </c>
      <c r="B96" s="22" t="s">
        <v>11</v>
      </c>
      <c r="C96" s="23" t="s">
        <v>114</v>
      </c>
      <c r="D96" s="24" t="str">
        <f t="shared" si="6"/>
        <v>Osi.TemplateAddTo("8f8ad4f1-ee45-45f5-9368-3da979ada65a", GetHostCharacter(), 1, 1);</v>
      </c>
    </row>
    <row r="97">
      <c r="A97" s="21" t="str">
        <f>HYPERLINK("https://bg3.wiki/wiki/Myrkulite_Scourge", "Myrkulite Scourge")</f>
        <v>Myrkulite Scourge</v>
      </c>
      <c r="B97" s="22" t="s">
        <v>17</v>
      </c>
      <c r="C97" s="23" t="s">
        <v>115</v>
      </c>
      <c r="D97" s="24" t="str">
        <f t="shared" si="6"/>
        <v>Osi.TemplateAddTo("05ca18da-41f4-4385-b370-0f75a989e119", GetHostCharacter(), 1, 1);</v>
      </c>
    </row>
    <row r="98">
      <c r="A98" s="21" t="str">
        <f>HYPERLINK("https://bg3.wiki/wiki/Pactbound_Flail", "Pactbound Flail")</f>
        <v>Pactbound Flail</v>
      </c>
      <c r="B98" s="22" t="s">
        <v>11</v>
      </c>
      <c r="C98" s="23" t="s">
        <v>116</v>
      </c>
      <c r="D98" s="24" t="str">
        <f t="shared" si="6"/>
        <v>Osi.TemplateAddTo("02376e06-56bf-429b-890f-e52f5d275262", GetHostCharacter(), 1, 1);</v>
      </c>
    </row>
    <row r="99">
      <c r="A99" s="38" t="str">
        <f>HYPERLINK("https://bg3.wiki/wiki/Planeslayer_Flail", "Planeslayer Flail")</f>
        <v>Planeslayer Flail</v>
      </c>
      <c r="B99" s="39" t="s">
        <v>24</v>
      </c>
      <c r="C99" s="40" t="s">
        <v>117</v>
      </c>
      <c r="D99" s="41" t="str">
        <f t="shared" si="6"/>
        <v>Osi.TemplateAddTo("8c733d14-6cbc-4227-9d87-0e42ce0965c4", GetHostCharacter(), 1, 1);</v>
      </c>
    </row>
    <row r="100">
      <c r="C100" s="42"/>
    </row>
    <row r="101">
      <c r="A101" s="22" t="s">
        <v>118</v>
      </c>
      <c r="B101" s="22"/>
      <c r="C101" s="23"/>
      <c r="D101" s="22"/>
    </row>
    <row r="102">
      <c r="A102" s="34" t="s">
        <v>7</v>
      </c>
      <c r="B102" s="35" t="s">
        <v>8</v>
      </c>
      <c r="C102" s="35" t="s">
        <v>9</v>
      </c>
      <c r="D102" s="36" t="s">
        <v>10</v>
      </c>
      <c r="E102" s="37"/>
    </row>
    <row r="103">
      <c r="A103" s="21" t="str">
        <f>HYPERLINK("https://bg3.wiki/wiki/Drakethroat_Glaive", "Drakethroat Glaive")</f>
        <v>Drakethroat Glaive</v>
      </c>
      <c r="B103" s="22" t="s">
        <v>24</v>
      </c>
      <c r="C103" s="23" t="s">
        <v>119</v>
      </c>
      <c r="D103" s="24" t="str">
        <f t="shared" ref="D103:D112" si="7">"Osi.TemplateAddTo("""&amp; C103 &amp;""", GetHostCharacter(), 1, 1);"</f>
        <v>Osi.TemplateAddTo("89f511d6-6d36-4480-9ee8-6e0145c960ef", GetHostCharacter(), 1, 1);</v>
      </c>
    </row>
    <row r="104">
      <c r="A104" s="21" t="str">
        <f>HYPERLINK("https://bg3.wiki/wiki/Glaive", "Glaive")</f>
        <v>Glaive</v>
      </c>
      <c r="B104" s="22" t="s">
        <v>11</v>
      </c>
      <c r="C104" s="23" t="s">
        <v>120</v>
      </c>
      <c r="D104" s="24" t="str">
        <f t="shared" si="7"/>
        <v>Osi.TemplateAddTo("99f3b2d9-e03d-4cd5-9a67-5435a95682da", GetHostCharacter(), 1, 1);</v>
      </c>
    </row>
    <row r="105">
      <c r="A105" s="21" t="str">
        <f>HYPERLINK("https://bg3.wiki/wiki/Glaive_%2B1", "Glaive +1")</f>
        <v>Glaive +1</v>
      </c>
      <c r="B105" s="22" t="s">
        <v>17</v>
      </c>
      <c r="C105" s="23" t="s">
        <v>121</v>
      </c>
      <c r="D105" s="24" t="str">
        <f t="shared" si="7"/>
        <v>Osi.TemplateAddTo("15d2830c-ac76-4b5b-969d-05197875b1c2", GetHostCharacter(), 1, 1);</v>
      </c>
    </row>
    <row r="106">
      <c r="A106" s="21" t="str">
        <f>HYPERLINK("https://bg3.wiki/wiki/Monster_Slayer_Glaive", "Monster Slayer Glaive")</f>
        <v>Monster Slayer Glaive</v>
      </c>
      <c r="B106" s="22" t="s">
        <v>24</v>
      </c>
      <c r="C106" s="23" t="s">
        <v>122</v>
      </c>
      <c r="D106" s="24" t="str">
        <f t="shared" si="7"/>
        <v>Osi.TemplateAddTo("0c3fcc8d-bf4b-4f65-95ec-a5d1030afe66", GetHostCharacter(), 1, 1);</v>
      </c>
    </row>
    <row r="107">
      <c r="A107" s="21" t="str">
        <f>HYPERLINK("https://bg3.wiki/wiki/Moonlight_Glaive", "Moonlight Glaive")</f>
        <v>Moonlight Glaive</v>
      </c>
      <c r="B107" s="22" t="s">
        <v>24</v>
      </c>
      <c r="C107" s="23" t="s">
        <v>123</v>
      </c>
      <c r="D107" s="24" t="str">
        <f t="shared" si="7"/>
        <v>Osi.TemplateAddTo("24f276e7-f08f-44f1-ab97-3df34fd52add", GetHostCharacter(), 1, 1);</v>
      </c>
    </row>
    <row r="108">
      <c r="A108" s="21" t="str">
        <f>HYPERLINK("https://bg3.wiki/wiki/Pactbound_Glaive", "Pactbound Glaive")</f>
        <v>Pactbound Glaive</v>
      </c>
      <c r="B108" s="22" t="s">
        <v>11</v>
      </c>
      <c r="C108" s="23" t="s">
        <v>124</v>
      </c>
      <c r="D108" s="24" t="str">
        <f t="shared" si="7"/>
        <v>Osi.TemplateAddTo("e7dab8bd-8037-4d8e-9c4e-ebec705912aa", GetHostCharacter(), 1, 1);</v>
      </c>
    </row>
    <row r="109">
      <c r="A109" s="21" t="str">
        <f>HYPERLINK("https://bg3.wiki/wiki/Rusty_Glaive", "Rusty Glaive")</f>
        <v>Rusty Glaive</v>
      </c>
      <c r="B109" s="22" t="s">
        <v>11</v>
      </c>
      <c r="C109" s="23" t="s">
        <v>125</v>
      </c>
      <c r="D109" s="24" t="str">
        <f t="shared" si="7"/>
        <v>Osi.TemplateAddTo("be861724-206e-483e-a42d-9dd131030ad", GetHostCharacter(), 1, 1);</v>
      </c>
    </row>
    <row r="110">
      <c r="A110" s="21" t="str">
        <f>HYPERLINK("https://bg3.wiki/wiki/Scythe_of_Myrkul", "Scythe of Myrkul")</f>
        <v>Scythe of Myrkul</v>
      </c>
      <c r="B110" s="22" t="s">
        <v>11</v>
      </c>
      <c r="C110" s="23" t="s">
        <v>126</v>
      </c>
      <c r="D110" s="24" t="str">
        <f t="shared" si="7"/>
        <v>Osi.TemplateAddTo("3112f0f5-4073-45d2-8e37-eeafa1558896", GetHostCharacter(), 1, 1);</v>
      </c>
    </row>
    <row r="111">
      <c r="A111" s="21" t="str">
        <f>HYPERLINK("https://bg3.wiki/wiki/Sorrow", "Sorrow")</f>
        <v>Sorrow</v>
      </c>
      <c r="B111" s="22" t="s">
        <v>24</v>
      </c>
      <c r="C111" s="23" t="s">
        <v>127</v>
      </c>
      <c r="D111" s="24" t="str">
        <f t="shared" si="7"/>
        <v>Osi.TemplateAddTo("0de9e072-7048-4d07-8bbe-79e0591674c2", GetHostCharacter(), 1, 1);</v>
      </c>
    </row>
    <row r="112">
      <c r="A112" s="38" t="str">
        <f>HYPERLINK("https://bg3.wiki/wiki/The_Dancing_Breeze", "The Dancing Breeze")</f>
        <v>The Dancing Breeze</v>
      </c>
      <c r="B112" s="39" t="s">
        <v>19</v>
      </c>
      <c r="C112" s="40" t="s">
        <v>128</v>
      </c>
      <c r="D112" s="41" t="str">
        <f t="shared" si="7"/>
        <v>Osi.TemplateAddTo("0a6e5a22-414d-4f4e-b9e1-6083822648c4", GetHostCharacter(), 1, 1);</v>
      </c>
    </row>
    <row r="113">
      <c r="C113" s="42"/>
    </row>
    <row r="114">
      <c r="A114" s="22" t="s">
        <v>129</v>
      </c>
      <c r="B114" s="22"/>
      <c r="C114" s="23"/>
      <c r="D114" s="22"/>
    </row>
    <row r="115">
      <c r="A115" s="34" t="s">
        <v>7</v>
      </c>
      <c r="B115" s="35" t="s">
        <v>8</v>
      </c>
      <c r="C115" s="35" t="s">
        <v>9</v>
      </c>
      <c r="D115" s="36" t="s">
        <v>10</v>
      </c>
      <c r="E115" s="37"/>
    </row>
    <row r="116">
      <c r="A116" s="21" t="str">
        <f>HYPERLINK("https://bg3.wiki/wiki/Blooded_Greataxe", "Blooded Greataxe")</f>
        <v>Blooded Greataxe</v>
      </c>
      <c r="B116" s="22" t="s">
        <v>24</v>
      </c>
      <c r="C116" s="23" t="s">
        <v>130</v>
      </c>
      <c r="D116" s="24" t="str">
        <f t="shared" ref="D116:D126" si="8">"Osi.TemplateAddTo("""&amp; C116 &amp;""", GetHostCharacter(), 1, 1);"</f>
        <v>Osi.TemplateAddTo("e1e090ec-ab8c-4db4-a0c3-8b7ab24bb181", GetHostCharacter(), 1, 1);</v>
      </c>
    </row>
    <row r="117">
      <c r="A117" s="21" t="str">
        <f>HYPERLINK("https://bg3.wiki/wiki/Defender_Greataxe", "Defender Greataxe")</f>
        <v>Defender Greataxe</v>
      </c>
      <c r="B117" s="22" t="s">
        <v>24</v>
      </c>
      <c r="C117" s="23" t="s">
        <v>131</v>
      </c>
      <c r="D117" s="24" t="str">
        <f t="shared" si="8"/>
        <v>Osi.TemplateAddTo("560fa90c-942b-4661-a86b-e20f9362c9ba", GetHostCharacter(), 1, 1);</v>
      </c>
    </row>
    <row r="118">
      <c r="A118" s="21" t="str">
        <f>HYPERLINK("https://bg3.wiki/wiki/Exterminator%27s_Axe", "Exterminator's Axe")</f>
        <v>Exterminator's Axe</v>
      </c>
      <c r="B118" s="22" t="s">
        <v>17</v>
      </c>
      <c r="C118" s="23" t="s">
        <v>132</v>
      </c>
      <c r="D118" s="24" t="str">
        <f t="shared" si="8"/>
        <v>Osi.TemplateAddTo("6e05319b-d8c4-4dbc-b0f4-cea561810fa6", GetHostCharacter(), 1, 1);</v>
      </c>
    </row>
    <row r="119">
      <c r="A119" s="21" t="str">
        <f>HYPERLINK("https://bg3.wiki/wiki/Greataxe", "Greataxe (Rounded)")</f>
        <v>Greataxe (Rounded)</v>
      </c>
      <c r="B119" s="22" t="s">
        <v>11</v>
      </c>
      <c r="C119" s="23" t="s">
        <v>133</v>
      </c>
      <c r="D119" s="24" t="str">
        <f t="shared" si="8"/>
        <v>Osi.TemplateAddTo("d5712e24-ce9e-42ce-8fad-6e049b62c28c", GetHostCharacter(), 1, 1);</v>
      </c>
    </row>
    <row r="120">
      <c r="A120" s="21" t="str">
        <f>HYPERLINK("https://bg3.wiki/wiki/Greataxe", "Greataxe (Flat blade)")</f>
        <v>Greataxe (Flat blade)</v>
      </c>
      <c r="B120" s="22" t="s">
        <v>11</v>
      </c>
      <c r="C120" s="23" t="s">
        <v>134</v>
      </c>
      <c r="D120" s="24" t="str">
        <f t="shared" si="8"/>
        <v>Osi.TemplateAddTo("9fffd630-0361-4a3e-95b1-67bcfd43ca9b", GetHostCharacter(), 1, 1);</v>
      </c>
    </row>
    <row r="121">
      <c r="A121" s="21" t="str">
        <f>HYPERLINK("https://bg3.wiki/wiki/Greataxe_%2B1", "Greataxe +1")</f>
        <v>Greataxe +1</v>
      </c>
      <c r="B121" s="22" t="s">
        <v>17</v>
      </c>
      <c r="C121" s="23" t="s">
        <v>135</v>
      </c>
      <c r="D121" s="24" t="str">
        <f t="shared" si="8"/>
        <v>Osi.TemplateAddTo("afbfaee7-e2cd-48e7-8c46-d2377c7320e3", GetHostCharacter(), 1, 1);</v>
      </c>
    </row>
    <row r="122">
      <c r="A122" s="21" t="str">
        <f>HYPERLINK("https://bg3.wiki/wiki/Greataxe_%2B2", "Greataxe +2")</f>
        <v>Greataxe +2</v>
      </c>
      <c r="B122" s="22" t="s">
        <v>24</v>
      </c>
      <c r="C122" s="23" t="s">
        <v>136</v>
      </c>
      <c r="D122" s="24" t="str">
        <f t="shared" si="8"/>
        <v>Osi.TemplateAddTo("ce8a894c-3dc6-48dc-bb8f-af5390890d43", GetHostCharacter(), 1, 1);</v>
      </c>
    </row>
    <row r="123">
      <c r="A123" s="21" t="str">
        <f>HYPERLINK("https://bg3.wiki/wiki/Hellfire_Greataxe", "Hellfire Greataxe")</f>
        <v>Hellfire Greataxe</v>
      </c>
      <c r="B123" s="22" t="s">
        <v>19</v>
      </c>
      <c r="C123" s="23" t="s">
        <v>137</v>
      </c>
      <c r="D123" s="24" t="str">
        <f t="shared" si="8"/>
        <v>Osi.TemplateAddTo("dd0e9fa2-e012-454d-9f2d-53c0a0776015", GetHostCharacter(), 1, 1);</v>
      </c>
    </row>
    <row r="124">
      <c r="A124" s="21" t="str">
        <f>HYPERLINK("https://bg3.wiki/wiki/Sethan", "Sethan")</f>
        <v>Sethan</v>
      </c>
      <c r="B124" s="22" t="s">
        <v>19</v>
      </c>
      <c r="C124" s="23" t="s">
        <v>138</v>
      </c>
      <c r="D124" s="24" t="str">
        <f t="shared" si="8"/>
        <v>Osi.TemplateAddTo("7bbc2408-14de-4129-bab0-db29927b7f43", GetHostCharacter(), 1, 1);</v>
      </c>
    </row>
    <row r="125">
      <c r="A125" s="21" t="str">
        <f>HYPERLINK("https://bg3.wiki/wiki/The_Undead_Bane", "The Undead Bane")</f>
        <v>The Undead Bane</v>
      </c>
      <c r="B125" s="22" t="s">
        <v>17</v>
      </c>
      <c r="C125" s="23" t="s">
        <v>139</v>
      </c>
      <c r="D125" s="24" t="str">
        <f t="shared" si="8"/>
        <v>Osi.TemplateAddTo("9a81cb70-6a5c-465b-b4b9-0931d544095c", GetHostCharacter(), 1, 1);</v>
      </c>
    </row>
    <row r="126">
      <c r="A126" s="38" t="str">
        <f>HYPERLINK("https://bg3.wiki/wiki/Very_Heavy_Greataxe", "Very Heavy Greataxe")</f>
        <v>Very Heavy Greataxe</v>
      </c>
      <c r="B126" s="39" t="s">
        <v>17</v>
      </c>
      <c r="C126" s="40" t="s">
        <v>140</v>
      </c>
      <c r="D126" s="41" t="str">
        <f t="shared" si="8"/>
        <v>Osi.TemplateAddTo("b3ed22d9-dd32-46c3-928a-e7253a843dfc", GetHostCharacter(), 1, 1);</v>
      </c>
    </row>
    <row r="127">
      <c r="C127" s="42"/>
    </row>
    <row r="128">
      <c r="A128" s="22" t="s">
        <v>141</v>
      </c>
      <c r="B128" s="22"/>
      <c r="C128" s="23"/>
      <c r="D128" s="22"/>
    </row>
    <row r="129">
      <c r="A129" s="34" t="s">
        <v>7</v>
      </c>
      <c r="B129" s="35" t="s">
        <v>8</v>
      </c>
      <c r="C129" s="35" t="s">
        <v>9</v>
      </c>
      <c r="D129" s="36" t="s">
        <v>10</v>
      </c>
      <c r="E129" s="37"/>
    </row>
    <row r="130">
      <c r="A130" s="21" t="str">
        <f>HYPERLINK("https://bg3.wiki/wiki/Argument_Solver", "Argument Solver")</f>
        <v>Argument Solver</v>
      </c>
      <c r="B130" s="22" t="s">
        <v>17</v>
      </c>
      <c r="C130" s="23" t="s">
        <v>142</v>
      </c>
      <c r="D130" s="24" t="str">
        <f t="shared" ref="D130:D137" si="9">"Osi.TemplateAddTo("""&amp; C130 &amp;""", GetHostCharacter(), 1, 1);"</f>
        <v>Osi.TemplateAddTo("fddc251b-22d8-4036-a9fb-85fba8635cf0", GetHostCharacter(), 1, 1);</v>
      </c>
    </row>
    <row r="131">
      <c r="A131" s="21" t="str">
        <f>HYPERLINK("https://bg3.wiki/wiki/Gnarled_Tree_Branch", "Gnarled Tree Branch")</f>
        <v>Gnarled Tree Branch</v>
      </c>
      <c r="B131" s="22" t="s">
        <v>11</v>
      </c>
      <c r="C131" s="23" t="s">
        <v>143</v>
      </c>
      <c r="D131" s="24" t="str">
        <f t="shared" si="9"/>
        <v>Osi.TemplateAddTo("01da5a5b-97cd-4989-9ae3-af646eb35bc9", GetHostCharacter(), 1, 1);</v>
      </c>
    </row>
    <row r="132">
      <c r="A132" s="21" t="str">
        <f>HYPERLINK("https://bg3.wiki/wiki/Greatclub", "Greatclub")</f>
        <v>Greatclub</v>
      </c>
      <c r="B132" s="22" t="s">
        <v>11</v>
      </c>
      <c r="C132" s="23" t="s">
        <v>144</v>
      </c>
      <c r="D132" s="24" t="str">
        <f t="shared" si="9"/>
        <v>Osi.TemplateAddTo("19ce6720-03b6-4d22-bf35-4963b510d1da", GetHostCharacter(), 1, 1);</v>
      </c>
    </row>
    <row r="133">
      <c r="A133" s="21" t="str">
        <f>HYPERLINK("https://bg3.wiki/wiki/Greatclub_%2B1", "Greatclub +1")</f>
        <v>Greatclub +1</v>
      </c>
      <c r="B133" s="22" t="s">
        <v>17</v>
      </c>
      <c r="C133" s="23" t="s">
        <v>145</v>
      </c>
      <c r="D133" s="24" t="str">
        <f t="shared" si="9"/>
        <v>Osi.TemplateAddTo("d64e1a13-18a5-4cdc-ac02-977523435f8f", GetHostCharacter(), 1, 1);</v>
      </c>
    </row>
    <row r="134">
      <c r="A134" s="21" t="str">
        <f>HYPERLINK("https://bg3.wiki/wiki/Greatclub_(Minotaur)", "Greatclub (Minotaur)")</f>
        <v>Greatclub (Minotaur)</v>
      </c>
      <c r="B134" s="22" t="s">
        <v>11</v>
      </c>
      <c r="C134" s="23" t="s">
        <v>146</v>
      </c>
      <c r="D134" s="24" t="str">
        <f t="shared" si="9"/>
        <v>Osi.TemplateAddTo("20bd2850-f6b3-4f13-bf96-c566d8df0de4", GetHostCharacter(), 1, 1);</v>
      </c>
    </row>
    <row r="135">
      <c r="A135" s="21" t="str">
        <f>HYPERLINK("https://bg3.wiki/wiki/Heavy_Spiked_Club", "Heavy Spiked Club")</f>
        <v>Heavy Spiked Club</v>
      </c>
      <c r="B135" s="22" t="s">
        <v>11</v>
      </c>
      <c r="C135" s="23" t="s">
        <v>147</v>
      </c>
      <c r="D135" s="24" t="str">
        <f t="shared" si="9"/>
        <v>Osi.TemplateAddTo("1fdc0473-8d0f-4e59-8ef8-9bd67568c002", GetHostCharacter(), 1, 1);</v>
      </c>
    </row>
    <row r="136">
      <c r="A136" s="21" t="str">
        <f>HYPERLINK("https://bg3.wiki/wiki/Punch-Drunk_Bastard", "Punch-Drunk Bastard")</f>
        <v>Punch-Drunk Bastard</v>
      </c>
      <c r="B136" s="22" t="s">
        <v>24</v>
      </c>
      <c r="C136" s="23" t="s">
        <v>148</v>
      </c>
      <c r="D136" s="24" t="str">
        <f t="shared" si="9"/>
        <v>Osi.TemplateAddTo("82029987-a77c-4bb5-99b9-3b513cb551f1", GetHostCharacter(), 1, 1);</v>
      </c>
    </row>
    <row r="137">
      <c r="A137" s="38" t="str">
        <f>HYPERLINK("https://bg3.wiki/wiki/Rat_Bat", "Rat Bat")</f>
        <v>Rat Bat</v>
      </c>
      <c r="B137" s="39" t="s">
        <v>24</v>
      </c>
      <c r="C137" s="40" t="s">
        <v>149</v>
      </c>
      <c r="D137" s="41" t="str">
        <f t="shared" si="9"/>
        <v>Osi.TemplateAddTo("7ee0b513-403b-4fe3-a445-b599defa9331", GetHostCharacter(), 1, 1);</v>
      </c>
    </row>
    <row r="138">
      <c r="C138" s="42"/>
    </row>
    <row r="139">
      <c r="A139" s="22" t="s">
        <v>150</v>
      </c>
      <c r="B139" s="22"/>
      <c r="C139" s="23"/>
      <c r="D139" s="22"/>
    </row>
    <row r="140">
      <c r="A140" s="34" t="s">
        <v>7</v>
      </c>
      <c r="B140" s="35" t="s">
        <v>8</v>
      </c>
      <c r="C140" s="35" t="s">
        <v>9</v>
      </c>
      <c r="D140" s="36" t="s">
        <v>10</v>
      </c>
      <c r="E140" s="37"/>
    </row>
    <row r="141">
      <c r="A141" s="21" t="str">
        <f>HYPERLINK("https://bg3.wiki/wiki/Balduran%27s_Giantslayer", "Balduran's Giantslayer")</f>
        <v>Balduran's Giantslayer</v>
      </c>
      <c r="B141" s="22" t="s">
        <v>66</v>
      </c>
      <c r="C141" s="23" t="s">
        <v>151</v>
      </c>
      <c r="D141" s="24" t="str">
        <f t="shared" ref="D141:D147" si="10">"Osi.TemplateAddTo("""&amp; C141 &amp;""", GetHostCharacter(), 1, 1);"</f>
        <v>Osi.TemplateAddTo("7219fca3-5f41-43a0-8253-f4c09d8b6308", GetHostCharacter(), 1, 1);</v>
      </c>
    </row>
    <row r="142">
      <c r="A142" s="21" t="str">
        <f>HYPERLINK("https://bg3.wiki/wiki/Everburn_Blade", "Everburn Blade")</f>
        <v>Everburn Blade</v>
      </c>
      <c r="B142" s="22" t="s">
        <v>17</v>
      </c>
      <c r="C142" s="23" t="s">
        <v>152</v>
      </c>
      <c r="D142" s="24" t="str">
        <f t="shared" si="10"/>
        <v>Osi.TemplateAddTo("660483f6-8eb3-45be-88a4-327f9d417026", GetHostCharacter(), 1, 1);</v>
      </c>
    </row>
    <row r="143">
      <c r="A143" s="21" t="str">
        <f>HYPERLINK("https://bg3.wiki/wiki/Githyanki_Greatsword", "Githyanki Greatsword")</f>
        <v>Githyanki Greatsword</v>
      </c>
      <c r="B143" s="22" t="s">
        <v>17</v>
      </c>
      <c r="C143" s="23" t="s">
        <v>153</v>
      </c>
      <c r="D143" s="24" t="str">
        <f t="shared" si="10"/>
        <v>Osi.TemplateAddTo("d1082e88-b1e2-479d-913f-1413784d95a1", GetHostCharacter(), 1, 1);</v>
      </c>
    </row>
    <row r="144">
      <c r="A144" s="21" t="str">
        <f>HYPERLINK("https://bg3.wiki/wiki/Githyanki_Greatsword_(Psionic)", "Githyanki Greatsword (Psionic)")</f>
        <v>Githyanki Greatsword (Psionic)</v>
      </c>
      <c r="B144" s="22" t="s">
        <v>17</v>
      </c>
      <c r="C144" s="23" t="s">
        <v>154</v>
      </c>
      <c r="D144" s="24" t="str">
        <f t="shared" si="10"/>
        <v>Osi.TemplateAddTo("769adbf8-d3bf-48f7-8c2b-21fb892b1d33", GetHostCharacter(), 1, 1);</v>
      </c>
    </row>
    <row r="145">
      <c r="A145" s="21" t="str">
        <f>HYPERLINK("https://bg3.wiki/wiki/Greatsword", "Greatsword (W/ Leather Ricasso)")</f>
        <v>Greatsword (W/ Leather Ricasso)</v>
      </c>
      <c r="B145" s="22" t="s">
        <v>11</v>
      </c>
      <c r="C145" s="23" t="s">
        <v>155</v>
      </c>
      <c r="D145" s="24" t="str">
        <f t="shared" si="10"/>
        <v>Osi.TemplateAddTo("ecfb9f69-5bc3-402e-acd8-c91d57e28403", GetHostCharacter(), 1, 1);</v>
      </c>
    </row>
    <row r="146">
      <c r="A146" s="21" t="str">
        <f>HYPERLINK("https://bg3.wiki/wiki/Greatsword", "Greatsword (full metal blade)")</f>
        <v>Greatsword (full metal blade)</v>
      </c>
      <c r="B146" s="22" t="s">
        <v>11</v>
      </c>
      <c r="C146" s="23" t="s">
        <v>156</v>
      </c>
      <c r="D146" s="24" t="str">
        <f t="shared" si="10"/>
        <v>Osi.TemplateAddTo("5e8597e6-7695-4333-8895-1ffe7a47db1d", GetHostCharacter(), 1, 1);</v>
      </c>
    </row>
    <row r="147">
      <c r="A147" s="21" t="str">
        <f>HYPERLINK("https://bg3.wiki/wiki/Greatsword_%2B1", "Greatsword +1")</f>
        <v>Greatsword +1</v>
      </c>
      <c r="B147" s="22" t="s">
        <v>17</v>
      </c>
      <c r="C147" s="23" t="s">
        <v>157</v>
      </c>
      <c r="D147" s="24" t="str">
        <f t="shared" si="10"/>
        <v>Osi.TemplateAddTo("1a2a58b7-4bd5-44d5-b1fe-8cd7e5b53def", GetHostCharacter(), 1, 1);</v>
      </c>
    </row>
    <row r="148">
      <c r="A148" s="21" t="str">
        <f>HYPERLINK("https://bg3.wiki/wiki/Greatsword_%2B1_(Common)", "Greatsword +1 (Common)")</f>
        <v>Greatsword +1 (Common)</v>
      </c>
      <c r="B148" s="22" t="s">
        <v>11</v>
      </c>
      <c r="C148" s="23" t="s">
        <v>158</v>
      </c>
      <c r="D148" s="24"/>
    </row>
    <row r="149">
      <c r="A149" s="21" t="str">
        <f>HYPERLINK("https://bg3.wiki/wiki/Jorgoral%27s_Greatsword", "Jorgoral's Greatsword")</f>
        <v>Jorgoral's Greatsword</v>
      </c>
      <c r="B149" s="22" t="s">
        <v>24</v>
      </c>
      <c r="C149" s="23" t="s">
        <v>159</v>
      </c>
      <c r="D149" s="24" t="str">
        <f t="shared" ref="D149:D159" si="11">"Osi.TemplateAddTo("""&amp; C149 &amp;""", GetHostCharacter(), 1, 1);"</f>
        <v>Osi.TemplateAddTo("26ac9758-19f4-4867-9d5d-57437d6b9794", GetHostCharacter(), 1, 1);</v>
      </c>
    </row>
    <row r="150">
      <c r="A150" s="21" t="str">
        <f>HYPERLINK("https://bg3.wiki/wiki/Pactbound_Greatsword", "Pactbound Greatsword")</f>
        <v>Pactbound Greatsword</v>
      </c>
      <c r="B150" s="22" t="s">
        <v>11</v>
      </c>
      <c r="C150" s="23" t="s">
        <v>160</v>
      </c>
      <c r="D150" s="24" t="str">
        <f t="shared" si="11"/>
        <v>Osi.TemplateAddTo("e90936db-7f65-446c-819d-c7fc6ba44d6c", GetHostCharacter(), 1, 1);</v>
      </c>
    </row>
    <row r="151">
      <c r="A151" s="21" t="str">
        <f>HYPERLINK("https://bg3.wiki/wiki/Reinforced_Greatsword", "Reinforced Greatsword")</f>
        <v>Reinforced Greatsword</v>
      </c>
      <c r="B151" s="22" t="s">
        <v>11</v>
      </c>
      <c r="C151" s="23" t="s">
        <v>161</v>
      </c>
      <c r="D151" s="24" t="str">
        <f t="shared" si="11"/>
        <v>Osi.TemplateAddTo("0bf738cf-c0b7-471c-b66e-91578a6f657f", GetHostCharacter(), 1, 1);</v>
      </c>
    </row>
    <row r="152">
      <c r="A152" s="21" t="str">
        <f>HYPERLINK("https://bg3.wiki/wiki/Rusty_Greatsword", "Rusty Greatsword")</f>
        <v>Rusty Greatsword</v>
      </c>
      <c r="B152" s="22" t="s">
        <v>11</v>
      </c>
      <c r="C152" s="23" t="s">
        <v>162</v>
      </c>
      <c r="D152" s="24" t="str">
        <f t="shared" si="11"/>
        <v>Osi.TemplateAddTo("82311843-dae9-4bda-86fb-40b722daf82e", GetHostCharacter(), 1, 1);</v>
      </c>
    </row>
    <row r="153">
      <c r="A153" s="21" t="str">
        <f>HYPERLINK("https://bg3.wiki/wiki/Silver_Sword_of_the_Astral_Plane", "Silver Sword of the Astral Plane")</f>
        <v>Silver Sword of the Astral Plane</v>
      </c>
      <c r="B153" s="22" t="s">
        <v>66</v>
      </c>
      <c r="C153" s="23" t="s">
        <v>163</v>
      </c>
      <c r="D153" s="24" t="str">
        <f t="shared" si="11"/>
        <v>Osi.TemplateAddTo("f01c3f5d-c542-420f-86c5-bdddf7819e29", GetHostCharacter(), 1, 1);</v>
      </c>
    </row>
    <row r="154">
      <c r="A154" s="21" t="str">
        <f>HYPERLINK("https://bg3.wiki/wiki/Soulbreaker_Greatsword", "Soulbreaker Greatsword")</f>
        <v>Soulbreaker Greatsword</v>
      </c>
      <c r="B154" s="22" t="s">
        <v>24</v>
      </c>
      <c r="C154" s="23" t="s">
        <v>164</v>
      </c>
      <c r="D154" s="24" t="str">
        <f t="shared" si="11"/>
        <v>Osi.TemplateAddTo("523a959d-4101-4beb-9a8e-276c3f687c02", GetHostCharacter(), 1, 1);</v>
      </c>
    </row>
    <row r="155">
      <c r="A155" s="21" t="str">
        <f>HYPERLINK("https://bg3.wiki/wiki/Sussur_Greatsword", "Sussur Greatsword")</f>
        <v>Sussur Greatsword</v>
      </c>
      <c r="B155" s="22" t="s">
        <v>24</v>
      </c>
      <c r="C155" s="23" t="s">
        <v>165</v>
      </c>
      <c r="D155" s="24" t="str">
        <f t="shared" si="11"/>
        <v>Osi.TemplateAddTo("44dedec0-df82-4ed3-b9ca-147bd830e312", GetHostCharacter(), 1, 1);</v>
      </c>
    </row>
    <row r="156">
      <c r="A156" s="21" t="str">
        <f>HYPERLINK("https://bg3.wiki/wiki/Svartlebee%27s_Woundseeker", "Svartlebee's Woundseeker")</f>
        <v>Svartlebee's Woundseeker</v>
      </c>
      <c r="B156" s="22" t="s">
        <v>17</v>
      </c>
      <c r="C156" s="23" t="s">
        <v>166</v>
      </c>
      <c r="D156" s="24" t="str">
        <f t="shared" si="11"/>
        <v>Osi.TemplateAddTo("56316970-8adb-4936-8c73-9d8a7c41a8a4", GetHostCharacter(), 1, 1);</v>
      </c>
    </row>
    <row r="157">
      <c r="A157" s="21" t="str">
        <f>HYPERLINK("https://bg3.wiki/wiki/Sword_of_Chaos", "Sword of Chaos")</f>
        <v>Sword of Chaos</v>
      </c>
      <c r="B157" s="22" t="s">
        <v>19</v>
      </c>
      <c r="C157" s="23" t="s">
        <v>167</v>
      </c>
      <c r="D157" s="24" t="str">
        <f t="shared" si="11"/>
        <v>Osi.TemplateAddTo("e76b0896-dc70-4fb9-b202-cf5efc2de15a", GetHostCharacter(), 1, 1);</v>
      </c>
    </row>
    <row r="158">
      <c r="A158" s="21" t="str">
        <f>HYPERLINK("https://bg3.wiki/wiki/Sword_of_Justice", "Sword of Justice")</f>
        <v>Sword of Justice</v>
      </c>
      <c r="B158" s="22" t="s">
        <v>17</v>
      </c>
      <c r="C158" s="23" t="s">
        <v>168</v>
      </c>
      <c r="D158" s="24" t="str">
        <f t="shared" si="11"/>
        <v>Osi.TemplateAddTo("455383a5-1211-4500-85f9-b71fad3fbf15", GetHostCharacter(), 1, 1);</v>
      </c>
    </row>
    <row r="159">
      <c r="A159" s="38" t="str">
        <f>HYPERLINK("https://bg3.wiki/wiki/Watcher_Greatsword", "Watcher Greatsword")</f>
        <v>Watcher Greatsword</v>
      </c>
      <c r="B159" s="39" t="s">
        <v>11</v>
      </c>
      <c r="C159" s="40" t="s">
        <v>169</v>
      </c>
      <c r="D159" s="41" t="str">
        <f t="shared" si="11"/>
        <v>Osi.TemplateAddTo("ebdf1022-bb30-4a03-ac29-82f488bfce4f", GetHostCharacter(), 1, 1);</v>
      </c>
    </row>
    <row r="160">
      <c r="C160" s="42"/>
    </row>
    <row r="161">
      <c r="A161" s="22" t="s">
        <v>170</v>
      </c>
      <c r="B161" s="22"/>
      <c r="C161" s="23"/>
      <c r="D161" s="22"/>
    </row>
    <row r="162">
      <c r="A162" s="34" t="s">
        <v>7</v>
      </c>
      <c r="B162" s="35" t="s">
        <v>8</v>
      </c>
      <c r="C162" s="35" t="s">
        <v>9</v>
      </c>
      <c r="D162" s="36" t="s">
        <v>10</v>
      </c>
      <c r="E162" s="37"/>
    </row>
    <row r="163">
      <c r="A163" s="21" t="str">
        <f>HYPERLINK("https://bg3.wiki/wiki/Halberd", "Halberd")</f>
        <v>Halberd</v>
      </c>
      <c r="B163" s="22" t="s">
        <v>11</v>
      </c>
      <c r="C163" s="23" t="s">
        <v>171</v>
      </c>
      <c r="D163" s="24" t="str">
        <f t="shared" ref="D163:D171" si="12">"Osi.TemplateAddTo("""&amp; C163 &amp;""", GetHostCharacter(), 1, 1);"</f>
        <v>Osi.TemplateAddTo("f928a70d-5b23-4605-9cae-5342f9ed206e", GetHostCharacter(), 1, 1);</v>
      </c>
    </row>
    <row r="164">
      <c r="A164" s="21" t="str">
        <f>HYPERLINK("https://bg3.wiki/wiki/Halberd_%2B1", "Halberd +1")</f>
        <v>Halberd +1</v>
      </c>
      <c r="B164" s="22" t="s">
        <v>17</v>
      </c>
      <c r="C164" s="23" t="s">
        <v>172</v>
      </c>
      <c r="D164" s="24" t="str">
        <f t="shared" si="12"/>
        <v>Osi.TemplateAddTo("d1019d9d-e5ae-4601-8a63-1b33421926e1", GetHostCharacter(), 1, 1);</v>
      </c>
    </row>
    <row r="165">
      <c r="A165" s="21" t="str">
        <f>HYPERLINK("https://bg3.wiki/wiki/Halberd_of_Vigilance", "Halberd of Vigilance")</f>
        <v>Halberd of Vigilance</v>
      </c>
      <c r="B165" s="22" t="s">
        <v>19</v>
      </c>
      <c r="C165" s="23" t="s">
        <v>173</v>
      </c>
      <c r="D165" s="24" t="str">
        <f t="shared" si="12"/>
        <v>Osi.TemplateAddTo("187691ba-7027-49a8-ba74-d0dc5cafbe12", GetHostCharacter(), 1, 1);</v>
      </c>
    </row>
    <row r="166">
      <c r="A166" s="21" t="str">
        <f>HYPERLINK("https://bg3.wiki/wiki/Harmonium_Halberd", "Harmonium Halberd")</f>
        <v>Harmonium Halberd</v>
      </c>
      <c r="B166" s="22" t="s">
        <v>24</v>
      </c>
      <c r="C166" s="23" t="s">
        <v>174</v>
      </c>
      <c r="D166" s="24" t="str">
        <f t="shared" si="12"/>
        <v>Osi.TemplateAddTo("1060b5af-6119-4237-9e8f-b3a1a054d8c9", GetHostCharacter(), 1, 1);</v>
      </c>
    </row>
    <row r="167">
      <c r="A167" s="21" t="str">
        <f>HYPERLINK("https://bg3.wiki/wiki/Hellbeard_Halberd", "Hellbeard Halberd")</f>
        <v>Hellbeard Halberd</v>
      </c>
      <c r="B167" s="22" t="s">
        <v>24</v>
      </c>
      <c r="C167" s="23" t="s">
        <v>175</v>
      </c>
      <c r="D167" s="24" t="str">
        <f t="shared" si="12"/>
        <v>Osi.TemplateAddTo("35682866-bd23-44a2-9a25-6a3ba2ee2b48", GetHostCharacter(), 1, 1);</v>
      </c>
    </row>
    <row r="168">
      <c r="A168" s="21" t="str">
        <f>HYPERLINK("https://bg3.wiki/wiki/Light_of_Creation", "Light of Creation")</f>
        <v>Light of Creation</v>
      </c>
      <c r="B168" s="22" t="s">
        <v>17</v>
      </c>
      <c r="C168" s="23" t="s">
        <v>176</v>
      </c>
      <c r="D168" s="24" t="str">
        <f t="shared" si="12"/>
        <v>Osi.TemplateAddTo("1534c8ee-3651-477d-999c-b22efc9f850d", GetHostCharacter(), 1, 1);</v>
      </c>
    </row>
    <row r="169">
      <c r="A169" s="21" t="str">
        <f>HYPERLINK("https://bg3.wiki/wiki/Merregon_Halberd", "Merregon Halberd")</f>
        <v>Merregon Halberd</v>
      </c>
      <c r="B169" s="22" t="s">
        <v>17</v>
      </c>
      <c r="C169" s="23" t="s">
        <v>177</v>
      </c>
      <c r="D169" s="24" t="str">
        <f t="shared" si="12"/>
        <v>Osi.TemplateAddTo("c86a3bf4-16b4-4d76-a33d-3df5c265aca8", GetHostCharacter(), 1, 1);</v>
      </c>
    </row>
    <row r="170">
      <c r="A170" s="21" t="str">
        <f>HYPERLINK("https://bg3.wiki/wiki/Rusty_Halberd", "Rusty Halberd")</f>
        <v>Rusty Halberd</v>
      </c>
      <c r="B170" s="22" t="s">
        <v>11</v>
      </c>
      <c r="C170" s="23" t="s">
        <v>178</v>
      </c>
      <c r="D170" s="24" t="str">
        <f t="shared" si="12"/>
        <v>Osi.TemplateAddTo("7addb7c0-f428-4033-9065-f4ad6e4c7e81", GetHostCharacter(), 1, 1);</v>
      </c>
    </row>
    <row r="171">
      <c r="A171" s="38" t="str">
        <f>HYPERLINK("https://bg3.wiki/wiki/The_Skinburster", "The Skinburster")</f>
        <v>The Skinburster</v>
      </c>
      <c r="B171" s="39" t="s">
        <v>17</v>
      </c>
      <c r="C171" s="40" t="s">
        <v>179</v>
      </c>
      <c r="D171" s="41" t="str">
        <f t="shared" si="12"/>
        <v>Osi.TemplateAddTo("64cdd668-5c09-48f3-a064-d4581156ca31", GetHostCharacter(), 1, 1);</v>
      </c>
    </row>
    <row r="172">
      <c r="C172" s="42"/>
    </row>
    <row r="173">
      <c r="A173" s="22" t="s">
        <v>180</v>
      </c>
      <c r="B173" s="22"/>
      <c r="C173" s="23"/>
      <c r="D173" s="22"/>
    </row>
    <row r="174">
      <c r="A174" s="34" t="s">
        <v>7</v>
      </c>
      <c r="B174" s="35" t="s">
        <v>8</v>
      </c>
      <c r="C174" s="35" t="s">
        <v>9</v>
      </c>
      <c r="D174" s="36" t="s">
        <v>10</v>
      </c>
      <c r="E174" s="37"/>
    </row>
    <row r="175">
      <c r="A175" s="21" t="str">
        <f>HYPERLINK("https://bg3.wiki/wiki/Cleaver", "Cleaver")</f>
        <v>Cleaver</v>
      </c>
      <c r="B175" s="22" t="s">
        <v>11</v>
      </c>
      <c r="C175" s="23" t="s">
        <v>181</v>
      </c>
      <c r="D175" s="24" t="str">
        <f t="shared" ref="D175:D182" si="13">"Osi.TemplateAddTo("""&amp; C175 &amp;""", GetHostCharacter(), 1, 1);"</f>
        <v>Osi.TemplateAddTo("b6b4ac25-e54b-441f-b6d3-423ea728cfb1", GetHostCharacter(), 1, 1);</v>
      </c>
    </row>
    <row r="176">
      <c r="A176" s="21" t="str">
        <f>HYPERLINK("https://bg3.wiki/wiki/Comeback_Handaxe", "Comeback Handaxe")</f>
        <v>Comeback Handaxe</v>
      </c>
      <c r="B176" s="22" t="s">
        <v>17</v>
      </c>
      <c r="C176" s="23" t="s">
        <v>182</v>
      </c>
      <c r="D176" s="24" t="str">
        <f t="shared" si="13"/>
        <v>Osi.TemplateAddTo("82999790-f80d-47f7-9383-9bb6cf57a10b", GetHostCharacter(), 1, 1);</v>
      </c>
    </row>
    <row r="177">
      <c r="A177" s="21" t="str">
        <f>HYPERLINK("https://bg3.wiki/wiki/Dad%27s_Axe", "Dad's Axe")</f>
        <v>Dad's Axe</v>
      </c>
      <c r="B177" s="22" t="s">
        <v>11</v>
      </c>
      <c r="C177" s="23" t="s">
        <v>183</v>
      </c>
      <c r="D177" s="24" t="str">
        <f t="shared" si="13"/>
        <v>Osi.TemplateAddTo("b7d2149f-dcd4-4244-858c-aaae7af6e9b3", GetHostCharacter(), 1, 1);</v>
      </c>
    </row>
    <row r="178">
      <c r="A178" s="21" t="str">
        <f>HYPERLINK("https://bg3.wiki/wiki/Dragon%27s_Grasp", "Dragon's Grasp")</f>
        <v>Dragon's Grasp</v>
      </c>
      <c r="B178" s="22" t="s">
        <v>17</v>
      </c>
      <c r="C178" s="23" t="s">
        <v>184</v>
      </c>
      <c r="D178" s="24" t="str">
        <f t="shared" si="13"/>
        <v>Osi.TemplateAddTo("4f67b6cb-ccc4-497e-b5d3-2804726e8706", GetHostCharacter(), 1, 1);</v>
      </c>
    </row>
    <row r="179">
      <c r="A179" s="21" t="str">
        <f>HYPERLINK("https://bg3.wiki/wiki/Handaxe", "Handaxe")</f>
        <v>Handaxe</v>
      </c>
      <c r="B179" s="22" t="s">
        <v>11</v>
      </c>
      <c r="C179" s="23" t="s">
        <v>185</v>
      </c>
      <c r="D179" s="24" t="str">
        <f t="shared" si="13"/>
        <v>Osi.TemplateAddTo("46b64a36-8446-45bd-98e8-ee81e3136baa", GetHostCharacter(), 1, 1);</v>
      </c>
    </row>
    <row r="180">
      <c r="A180" s="21" t="str">
        <f>HYPERLINK("https://bg3.wiki/wiki/Handaxe_%2B1", "Handaxe +1")</f>
        <v>Handaxe +1</v>
      </c>
      <c r="B180" s="22" t="s">
        <v>17</v>
      </c>
      <c r="C180" s="23" t="s">
        <v>186</v>
      </c>
      <c r="D180" s="24" t="str">
        <f t="shared" si="13"/>
        <v>Osi.TemplateAddTo("7a05135d-b285-4186-8a32-a870f1684b60", GetHostCharacter(), 1, 1);</v>
      </c>
    </row>
    <row r="181">
      <c r="A181" s="21" t="str">
        <f>HYPERLINK("https://bg3.wiki/wiki/Ritual_Axe", "Ritual Axe")</f>
        <v>Ritual Axe</v>
      </c>
      <c r="B181" s="22" t="s">
        <v>17</v>
      </c>
      <c r="C181" s="23" t="s">
        <v>187</v>
      </c>
      <c r="D181" s="24" t="str">
        <f t="shared" si="13"/>
        <v>Osi.TemplateAddTo("5c996c03-99e9-40c1-8acf-d761550d26f5", GetHostCharacter(), 1, 1);</v>
      </c>
    </row>
    <row r="182">
      <c r="A182" s="38" t="str">
        <f>HYPERLINK("https://bg3.wiki/wiki/Rusty_Handaxe", "Rusty Handaxe")</f>
        <v>Rusty Handaxe</v>
      </c>
      <c r="B182" s="39" t="s">
        <v>11</v>
      </c>
      <c r="C182" s="40" t="s">
        <v>188</v>
      </c>
      <c r="D182" s="41" t="str">
        <f t="shared" si="13"/>
        <v>Osi.TemplateAddTo("2c362536-7ffa-43f4-926c-70dc682ffbff", GetHostCharacter(), 1, 1);</v>
      </c>
    </row>
    <row r="183">
      <c r="C183" s="42"/>
    </row>
    <row r="184">
      <c r="A184" s="22" t="s">
        <v>189</v>
      </c>
      <c r="B184" s="22"/>
      <c r="C184" s="23"/>
      <c r="D184" s="22"/>
    </row>
    <row r="185">
      <c r="A185" s="34" t="s">
        <v>7</v>
      </c>
      <c r="B185" s="35" t="s">
        <v>8</v>
      </c>
      <c r="C185" s="35" t="s">
        <v>9</v>
      </c>
      <c r="D185" s="36" t="s">
        <v>10</v>
      </c>
      <c r="E185" s="37"/>
    </row>
    <row r="186">
      <c r="A186" s="21" t="str">
        <f>HYPERLINK("https://bg3.wiki/wiki/BOOOAL%27s_Arms", "BOOOAL's Arms")</f>
        <v>BOOOAL's Arms</v>
      </c>
      <c r="B186" s="22" t="s">
        <v>11</v>
      </c>
      <c r="C186" s="23" t="s">
        <v>190</v>
      </c>
      <c r="D186" s="24" t="str">
        <f t="shared" ref="D186:D188" si="14">"Osi.TemplateAddTo("""&amp; C186 &amp;""", GetHostCharacter(), 1, 1);"</f>
        <v>Osi.TemplateAddTo("8fdd7b33-6740-4d15-935c-9e54f54e16d4", GetHostCharacter(), 1, 1);</v>
      </c>
    </row>
    <row r="187">
      <c r="A187" s="21" t="str">
        <f>HYPERLINK("https://bg3.wiki/wiki/Javelin", "Javelin")</f>
        <v>Javelin</v>
      </c>
      <c r="B187" s="22" t="s">
        <v>11</v>
      </c>
      <c r="C187" s="23" t="s">
        <v>191</v>
      </c>
      <c r="D187" s="24" t="str">
        <f t="shared" si="14"/>
        <v>Osi.TemplateAddTo("0a7adc8d-b561-4f81-a8f2-ec07b5d54955", GetHostCharacter(), 1, 1);</v>
      </c>
    </row>
    <row r="188">
      <c r="A188" s="38" t="str">
        <f>HYPERLINK("https://bg3.wiki/wiki/Javelin_%2B1", "Javelin +1")</f>
        <v>Javelin +1</v>
      </c>
      <c r="B188" s="39" t="s">
        <v>17</v>
      </c>
      <c r="C188" s="40" t="s">
        <v>192</v>
      </c>
      <c r="D188" s="41" t="str">
        <f t="shared" si="14"/>
        <v>Osi.TemplateAddTo("b908f109-b379-4a49-8f41-5b7f154d9b76", GetHostCharacter(), 1, 1);</v>
      </c>
    </row>
    <row r="189">
      <c r="C189" s="42"/>
    </row>
    <row r="190">
      <c r="A190" s="22" t="s">
        <v>193</v>
      </c>
      <c r="B190" s="22"/>
      <c r="C190" s="23"/>
      <c r="D190" s="22"/>
    </row>
    <row r="191">
      <c r="A191" s="34" t="s">
        <v>7</v>
      </c>
      <c r="B191" s="35" t="s">
        <v>8</v>
      </c>
      <c r="C191" s="35" t="s">
        <v>9</v>
      </c>
      <c r="D191" s="36" t="s">
        <v>10</v>
      </c>
      <c r="E191" s="37"/>
    </row>
    <row r="192">
      <c r="A192" s="21" t="str">
        <f>HYPERLINK("https://bg3.wiki/wiki/Brewing_Ladle", "Brewing Ladle")</f>
        <v>Brewing Ladle</v>
      </c>
      <c r="B192" s="22" t="s">
        <v>17</v>
      </c>
      <c r="C192" s="23" t="s">
        <v>194</v>
      </c>
      <c r="D192" s="24" t="str">
        <f t="shared" ref="D192:D199" si="15">"Osi.TemplateAddTo("""&amp; C192 &amp;""", GetHostCharacter(), 1, 1);"</f>
        <v>Osi.TemplateAddTo("96df6fd6-a688-47ab-b448-0b6d27d1cf1d", GetHostCharacter(), 1, 1);</v>
      </c>
    </row>
    <row r="193">
      <c r="A193" s="21" t="str">
        <f>HYPERLINK("https://bg3.wiki/wiki/Light_Hammer", "Light Hammer (One pointy end)")</f>
        <v>Light Hammer (One pointy end)</v>
      </c>
      <c r="B193" s="22" t="s">
        <v>11</v>
      </c>
      <c r="C193" s="23" t="s">
        <v>195</v>
      </c>
      <c r="D193" s="24" t="str">
        <f t="shared" si="15"/>
        <v>Osi.TemplateAddTo("494f21ac-5a1b-4e91-bd30-551b79532516", GetHostCharacter(), 1, 1);</v>
      </c>
    </row>
    <row r="194">
      <c r="A194" s="21" t="str">
        <f>HYPERLINK("https://bg3.wiki/wiki/Light_Hammer", "Light Hammer (Two flat ends)")</f>
        <v>Light Hammer (Two flat ends)</v>
      </c>
      <c r="B194" s="22" t="s">
        <v>11</v>
      </c>
      <c r="C194" s="23" t="s">
        <v>196</v>
      </c>
      <c r="D194" s="24" t="str">
        <f t="shared" si="15"/>
        <v>Osi.TemplateAddTo("d0bf4aef-e423-49ab-9177-c86b2a8efc9a", GetHostCharacter(), 1, 1);</v>
      </c>
    </row>
    <row r="195">
      <c r="A195" s="21" t="str">
        <f>HYPERLINK("https://bg3.wiki/wiki/Light_Hammer_%2B1", "Light Hammer +1")</f>
        <v>Light Hammer +1</v>
      </c>
      <c r="B195" s="22" t="s">
        <v>17</v>
      </c>
      <c r="C195" s="23" t="s">
        <v>197</v>
      </c>
      <c r="D195" s="24" t="str">
        <f t="shared" si="15"/>
        <v>Osi.TemplateAddTo("d0419aaf-9e20-4029-b8e9-9e1a62661b13", GetHostCharacter(), 1, 1);</v>
      </c>
    </row>
    <row r="196">
      <c r="A196" s="21" t="str">
        <f>HYPERLINK("https://bg3.wiki/wiki/Rusty_Light_Hammer", "Rusty Light Hammer")</f>
        <v>Rusty Light Hammer</v>
      </c>
      <c r="B196" s="22" t="s">
        <v>11</v>
      </c>
      <c r="C196" s="23" t="s">
        <v>198</v>
      </c>
      <c r="D196" s="24" t="str">
        <f t="shared" si="15"/>
        <v>Osi.TemplateAddTo("0c8a9530-273d-4f64-81b9-0d169d890483", GetHostCharacter(), 1, 1);</v>
      </c>
    </row>
    <row r="197">
      <c r="A197" s="21" t="str">
        <f>HYPERLINK("https://bg3.wiki/wiki/Shining_Staver-of-Skulls", "Shining Staver-of-Skulls")</f>
        <v>Shining Staver-of-Skulls</v>
      </c>
      <c r="B197" s="22" t="s">
        <v>17</v>
      </c>
      <c r="C197" s="23" t="s">
        <v>199</v>
      </c>
      <c r="D197" s="24" t="str">
        <f t="shared" si="15"/>
        <v>Osi.TemplateAddTo("b76baf78-5aaf-4c15-9468-6333a0eb4b92", GetHostCharacter(), 1, 1);</v>
      </c>
    </row>
    <row r="198">
      <c r="A198" s="21" t="str">
        <f>HYPERLINK("https://bg3.wiki/wiki/Skybreaker", "Skybreaker")</f>
        <v>Skybreaker</v>
      </c>
      <c r="B198" s="22" t="s">
        <v>17</v>
      </c>
      <c r="C198" s="23" t="s">
        <v>200</v>
      </c>
      <c r="D198" s="24" t="str">
        <f t="shared" si="15"/>
        <v>Osi.TemplateAddTo("733a70a1-2e0f-46f4-aca1-037c0335dc72", GetHostCharacter(), 1, 1);</v>
      </c>
    </row>
    <row r="199">
      <c r="A199" s="38" t="str">
        <f>HYPERLINK("https://bg3.wiki/wiki/Wulbren%27s_Hammer", "Wulbren's Hammer")</f>
        <v>Wulbren's Hammer</v>
      </c>
      <c r="B199" s="39" t="s">
        <v>17</v>
      </c>
      <c r="C199" s="40" t="s">
        <v>201</v>
      </c>
      <c r="D199" s="41" t="str">
        <f t="shared" si="15"/>
        <v>Osi.TemplateAddTo("b6925b99-4b14-48a1-89ca-eb328bb746df", GetHostCharacter(), 1, 1);</v>
      </c>
    </row>
    <row r="200">
      <c r="C200" s="42"/>
    </row>
    <row r="201">
      <c r="A201" s="22" t="s">
        <v>202</v>
      </c>
      <c r="B201" s="22"/>
      <c r="C201" s="23"/>
      <c r="D201" s="22"/>
    </row>
    <row r="202">
      <c r="A202" s="34" t="s">
        <v>7</v>
      </c>
      <c r="B202" s="35" t="s">
        <v>8</v>
      </c>
      <c r="C202" s="35" t="s">
        <v>9</v>
      </c>
      <c r="D202" s="36" t="s">
        <v>10</v>
      </c>
      <c r="E202" s="43"/>
    </row>
    <row r="203">
      <c r="A203" s="21" t="str">
        <f>HYPERLINK("https://bg3.wiki/wiki/Adamantine_Longsword", "Adamantine Longsword")</f>
        <v>Adamantine Longsword</v>
      </c>
      <c r="B203" s="22" t="s">
        <v>24</v>
      </c>
      <c r="C203" s="23" t="s">
        <v>203</v>
      </c>
      <c r="D203" s="24" t="str">
        <f t="shared" ref="D203:D214" si="16">"Osi.TemplateAddTo("""&amp; C203 &amp;""", GetHostCharacter(), 1, 1);"</f>
        <v>Osi.TemplateAddTo("d116f35c-4399-408c-ba90-b455a5d29a1f", GetHostCharacter(), 1, 1);</v>
      </c>
      <c r="E203" s="15"/>
    </row>
    <row r="204">
      <c r="A204" s="21" t="str">
        <f>HYPERLINK("https://bg3.wiki/wiki/Arduous_Flame_Blade", "Arduous Flame Blade")</f>
        <v>Arduous Flame Blade</v>
      </c>
      <c r="B204" s="22" t="s">
        <v>24</v>
      </c>
      <c r="C204" s="23" t="s">
        <v>204</v>
      </c>
      <c r="D204" s="24" t="str">
        <f t="shared" si="16"/>
        <v>Osi.TemplateAddTo("d4cb8410-096a-480e-88fb-7224c6b654f6", GetHostCharacter(), 1, 1);</v>
      </c>
      <c r="E204" s="15"/>
    </row>
    <row r="205">
      <c r="A205" s="21" t="str">
        <f>HYPERLINK("https://bg3.wiki/wiki/Battle-Worn_Blade", "Battle-Worn Blade")</f>
        <v>Battle-Worn Blade</v>
      </c>
      <c r="B205" s="22" t="s">
        <v>11</v>
      </c>
      <c r="C205" s="23" t="s">
        <v>205</v>
      </c>
      <c r="D205" s="24" t="str">
        <f t="shared" si="16"/>
        <v>Osi.TemplateAddTo("269fc6e6-3870-412a-a60a-2357e49a3d5b", GetHostCharacter(), 1, 1);</v>
      </c>
      <c r="E205" s="15"/>
    </row>
    <row r="206">
      <c r="A206" s="21" t="str">
        <f>HYPERLINK("https://bg3.wiki/wiki/Blackguard%27s_Sword", "Blackguard's Sword")</f>
        <v>Blackguard's Sword</v>
      </c>
      <c r="B206" s="22" t="s">
        <v>24</v>
      </c>
      <c r="C206" s="23" t="s">
        <v>206</v>
      </c>
      <c r="D206" s="24" t="str">
        <f t="shared" si="16"/>
        <v>Osi.TemplateAddTo("0a11f6f4-5605-4dff-a3e6-b172e4dba555", GetHostCharacter(), 1, 1);</v>
      </c>
      <c r="E206" s="15"/>
    </row>
    <row r="207">
      <c r="A207" s="21" t="str">
        <f>HYPERLINK("https://bg3.wiki/wiki/Blade_of_Oppressed_Souls", "Blade of Oppressed Souls")</f>
        <v>Blade of Oppressed Souls</v>
      </c>
      <c r="B207" s="22" t="s">
        <v>24</v>
      </c>
      <c r="C207" s="23" t="s">
        <v>207</v>
      </c>
      <c r="D207" s="24" t="str">
        <f t="shared" si="16"/>
        <v>Osi.TemplateAddTo("0a024202-84d0-4466-a958-76b2a163781c", GetHostCharacter(), 1, 1);</v>
      </c>
      <c r="E207" s="15"/>
    </row>
    <row r="208">
      <c r="A208" s="21" t="str">
        <f>HYPERLINK("https://bg3.wiki/wiki/Blood-Bound_Blade", "Blood-Bound Blade")</f>
        <v>Blood-Bound Blade</v>
      </c>
      <c r="B208" s="22" t="s">
        <v>24</v>
      </c>
      <c r="C208" s="23" t="s">
        <v>208</v>
      </c>
      <c r="D208" s="24" t="str">
        <f t="shared" si="16"/>
        <v>Osi.TemplateAddTo("faf8d98c-103d-4524-b609-41d3f1790c5a", GetHostCharacter(), 1, 1);</v>
      </c>
      <c r="E208" s="15"/>
    </row>
    <row r="209">
      <c r="A209" s="21" t="str">
        <f>HYPERLINK("https://bg3.wiki/wiki/Bonesaw", "Bonesaw")</f>
        <v>Bonesaw</v>
      </c>
      <c r="B209" s="22" t="s">
        <v>11</v>
      </c>
      <c r="C209" s="23" t="s">
        <v>209</v>
      </c>
      <c r="D209" s="24" t="str">
        <f t="shared" si="16"/>
        <v>Osi.TemplateAddTo("b9739be6-7c2b-4fe9-be36-13ff1094e79c", GetHostCharacter(), 1, 1);</v>
      </c>
      <c r="E209" s="15"/>
    </row>
    <row r="210">
      <c r="A210" s="21" t="str">
        <f>HYPERLINK("https://bg3.wiki/wiki/Bonesaw_(%2B1)", "Bonesaw (+1)")</f>
        <v>Bonesaw (+1)</v>
      </c>
      <c r="B210" s="22" t="s">
        <v>17</v>
      </c>
      <c r="C210" s="23" t="s">
        <v>210</v>
      </c>
      <c r="D210" s="24" t="str">
        <f t="shared" si="16"/>
        <v>Osi.TemplateAddTo("81177d6e-6761-4f8e-9bbe-1e291dd18664", GetHostCharacter(), 1, 1);</v>
      </c>
      <c r="E210" s="15"/>
    </row>
    <row r="211">
      <c r="A211" s="21" t="str">
        <f>HYPERLINK("https://bg3.wiki/wiki/Ceremonial_Longsword", "Ceremonial Longsword")</f>
        <v>Ceremonial Longsword</v>
      </c>
      <c r="B211" s="22" t="s">
        <v>17</v>
      </c>
      <c r="C211" s="23" t="s">
        <v>211</v>
      </c>
      <c r="D211" s="24" t="str">
        <f t="shared" si="16"/>
        <v>Osi.TemplateAddTo("3fc2ba50-3070-4caa-abe8-3bf885969bde", GetHostCharacter(), 1, 1);</v>
      </c>
      <c r="E211" s="15"/>
    </row>
    <row r="212">
      <c r="A212" s="21" t="str">
        <f>HYPERLINK("https://bg3.wiki/wiki/Cruel_Sting", "Cruel Sting")</f>
        <v>Cruel Sting</v>
      </c>
      <c r="B212" s="22" t="s">
        <v>24</v>
      </c>
      <c r="C212" s="23" t="s">
        <v>212</v>
      </c>
      <c r="D212" s="24" t="str">
        <f t="shared" si="16"/>
        <v>Osi.TemplateAddTo("67ae6ce9-08fd-4ee7-9343-9a408f8ad9fa", GetHostCharacter(), 1, 1);</v>
      </c>
      <c r="E212" s="15"/>
    </row>
    <row r="213">
      <c r="A213" s="21" t="str">
        <f>HYPERLINK("https://bg3.wiki/wiki/Duke_Ravengard%27s_Longsword", "Duke Ravengard's Longsword")</f>
        <v>Duke Ravengard's Longsword</v>
      </c>
      <c r="B213" s="22" t="s">
        <v>24</v>
      </c>
      <c r="C213" s="23" t="s">
        <v>213</v>
      </c>
      <c r="D213" s="24" t="str">
        <f t="shared" si="16"/>
        <v>Osi.TemplateAddTo("06fbf04c-41be-4709-91df-76b4cbc9ccf5", GetHostCharacter(), 1, 1);</v>
      </c>
      <c r="E213" s="15"/>
    </row>
    <row r="214">
      <c r="A214" s="21" t="str">
        <f>HYPERLINK("https://bg3.wiki/wiki/Githyanki_Longsword", "Githyanki Longsword")</f>
        <v>Githyanki Longsword</v>
      </c>
      <c r="B214" s="22" t="s">
        <v>11</v>
      </c>
      <c r="C214" s="23" t="s">
        <v>214</v>
      </c>
      <c r="D214" s="24" t="str">
        <f t="shared" si="16"/>
        <v>Osi.TemplateAddTo("907a794b-b089-406b-880d-6f2df2bb3f13", GetHostCharacter(), 1, 1);</v>
      </c>
      <c r="E214" s="15"/>
    </row>
    <row r="215">
      <c r="A215" s="21" t="str">
        <f>HYPERLINK("https://bg3.wiki/wiki/Githyanki_Longsword_(%2B1)", "Githyanki Longsword (+1)")</f>
        <v>Githyanki Longsword (+1)</v>
      </c>
      <c r="B215" s="22" t="s">
        <v>17</v>
      </c>
      <c r="C215" s="23" t="s">
        <v>158</v>
      </c>
      <c r="D215" s="24"/>
      <c r="E215" s="15"/>
    </row>
    <row r="216">
      <c r="A216" s="21" t="str">
        <f>HYPERLINK("https://bg3.wiki/wiki/Githyanki_Longsword_(Psionic)", "Githyanki Longsword (Psionic)")</f>
        <v>Githyanki Longsword (Psionic)</v>
      </c>
      <c r="B216" s="22" t="s">
        <v>17</v>
      </c>
      <c r="C216" s="23" t="s">
        <v>215</v>
      </c>
      <c r="D216" s="24" t="str">
        <f t="shared" ref="D216:D233" si="17">"Osi.TemplateAddTo("""&amp; C216 &amp;""", GetHostCharacter(), 1, 1);"</f>
        <v>Osi.TemplateAddTo("0553ced5-00b0-4c39-8ee4-519f6401f44a", GetHostCharacter(), 1, 1);</v>
      </c>
      <c r="E216" s="15"/>
    </row>
    <row r="217">
      <c r="A217" s="21" t="str">
        <f>HYPERLINK("https://bg3.wiki/wiki/Infernal_Longsword", "Infernal Longsword")</f>
        <v>Infernal Longsword</v>
      </c>
      <c r="B217" s="22" t="s">
        <v>24</v>
      </c>
      <c r="C217" s="23" t="s">
        <v>216</v>
      </c>
      <c r="D217" s="24" t="str">
        <f t="shared" si="17"/>
        <v>Osi.TemplateAddTo("e1c37edf-ad63-44a5-8fd4-44687169747e", GetHostCharacter(), 1, 1);</v>
      </c>
      <c r="E217" s="15"/>
    </row>
    <row r="218">
      <c r="A218" s="21" t="str">
        <f>HYPERLINK("https://bg3.wiki/wiki/Katana", "Katana")</f>
        <v>Katana</v>
      </c>
      <c r="B218" s="22" t="s">
        <v>17</v>
      </c>
      <c r="C218" s="23" t="s">
        <v>217</v>
      </c>
      <c r="D218" s="24" t="str">
        <f t="shared" si="17"/>
        <v>Osi.TemplateAddTo("7050c02e-f0e1-46b8-9400-2514805ecd2e", GetHostCharacter(), 1, 1);</v>
      </c>
      <c r="E218" s="15"/>
    </row>
    <row r="219">
      <c r="A219" s="21" t="str">
        <f>HYPERLINK("https://bg3.wiki/wiki/King%27s_Knife", "King's Knife")</f>
        <v>King's Knife</v>
      </c>
      <c r="B219" s="22" t="s">
        <v>11</v>
      </c>
      <c r="C219" s="23" t="s">
        <v>218</v>
      </c>
      <c r="D219" s="24" t="str">
        <f t="shared" si="17"/>
        <v>Osi.TemplateAddTo("5908898d-5d9e-40de-ab07-3f8fb5f0174c", GetHostCharacter(), 1, 1);</v>
      </c>
      <c r="E219" s="15"/>
    </row>
    <row r="220">
      <c r="A220" s="21" t="str">
        <f>HYPERLINK("https://bg3.wiki/wiki/Larethian%27s_Wrath", "Larethian's Wrath")</f>
        <v>Larethian's Wrath</v>
      </c>
      <c r="B220" s="22" t="s">
        <v>24</v>
      </c>
      <c r="C220" s="23" t="s">
        <v>219</v>
      </c>
      <c r="D220" s="24" t="str">
        <f t="shared" si="17"/>
        <v>Osi.TemplateAddTo("56a7539c-7c5c-4c44-b8e0-5ff2e5beb4e9", GetHostCharacter(), 1, 1);</v>
      </c>
      <c r="E220" s="15"/>
    </row>
    <row r="221">
      <c r="A221" s="21" t="str">
        <f>HYPERLINK("https://bg3.wiki/wiki/Longsword", "Longsword")</f>
        <v>Longsword</v>
      </c>
      <c r="B221" s="22" t="s">
        <v>11</v>
      </c>
      <c r="C221" s="23" t="s">
        <v>220</v>
      </c>
      <c r="D221" s="24" t="str">
        <f t="shared" si="17"/>
        <v>Osi.TemplateAddTo("1865323f-b428-4791-a0a9-578841e57463", GetHostCharacter(), 1, 1);</v>
      </c>
      <c r="E221" s="15"/>
    </row>
    <row r="222">
      <c r="A222" s="21" t="str">
        <f>HYPERLINK("https://bg3.wiki/wiki/Longsword", "Longsword (Rusty)")</f>
        <v>Longsword (Rusty)</v>
      </c>
      <c r="B222" s="22" t="s">
        <v>11</v>
      </c>
      <c r="C222" s="23" t="s">
        <v>221</v>
      </c>
      <c r="D222" s="24" t="str">
        <f t="shared" si="17"/>
        <v>Osi.TemplateAddTo("2af7255d-bae1-4d4c-a8ba-4a2b5909a794", GetHostCharacter(), 1, 1);</v>
      </c>
      <c r="E222" s="15"/>
    </row>
    <row r="223">
      <c r="A223" s="26" t="s">
        <v>222</v>
      </c>
      <c r="B223" s="22" t="s">
        <v>11</v>
      </c>
      <c r="C223" s="23" t="s">
        <v>223</v>
      </c>
      <c r="D223" s="24" t="str">
        <f t="shared" si="17"/>
        <v>Osi.TemplateAddTo("a4338d7c-5b70-4076-9711-d3803fab2e1b", GetHostCharacter(), 1, 1);</v>
      </c>
      <c r="E223" s="27" t="s">
        <v>224</v>
      </c>
    </row>
    <row r="224">
      <c r="A224" s="26" t="s">
        <v>225</v>
      </c>
      <c r="B224" s="22" t="s">
        <v>11</v>
      </c>
      <c r="C224" s="23" t="s">
        <v>226</v>
      </c>
      <c r="D224" s="24" t="str">
        <f t="shared" si="17"/>
        <v>Osi.TemplateAddTo("a96c763c-db4e-4fc3-968b-ebed9d404aee", GetHostCharacter(), 1, 1);</v>
      </c>
      <c r="E224" s="44" t="s">
        <v>227</v>
      </c>
    </row>
    <row r="225">
      <c r="A225" s="21" t="str">
        <f>HYPERLINK("https://bg3.wiki/wiki/Longsword_%2B1", "Longsword +1")</f>
        <v>Longsword +1</v>
      </c>
      <c r="B225" s="22" t="s">
        <v>17</v>
      </c>
      <c r="C225" s="23" t="s">
        <v>211</v>
      </c>
      <c r="D225" s="24" t="str">
        <f t="shared" si="17"/>
        <v>Osi.TemplateAddTo("3fc2ba50-3070-4caa-abe8-3bf885969bde", GetHostCharacter(), 1, 1);</v>
      </c>
      <c r="E225" s="15"/>
    </row>
    <row r="226">
      <c r="A226" s="21" t="str">
        <f>HYPERLINK("https://bg3.wiki/wiki/Longsword_%2B2", "Longsword +2")</f>
        <v>Longsword +2</v>
      </c>
      <c r="B226" s="22" t="s">
        <v>24</v>
      </c>
      <c r="C226" s="23" t="s">
        <v>228</v>
      </c>
      <c r="D226" s="24" t="str">
        <f t="shared" si="17"/>
        <v>Osi.TemplateAddTo("e3b2adb6-7493-466e-9c65-4281fb74e83f", GetHostCharacter(), 1, 1);</v>
      </c>
      <c r="E226" s="15"/>
    </row>
    <row r="227">
      <c r="A227" s="21" t="str">
        <f>HYPERLINK("https://bg3.wiki/wiki/Moonblade", "Moonblade")</f>
        <v>Moonblade</v>
      </c>
      <c r="B227" s="22" t="s">
        <v>17</v>
      </c>
      <c r="C227" s="23" t="s">
        <v>229</v>
      </c>
      <c r="D227" s="24" t="str">
        <f t="shared" si="17"/>
        <v>Osi.TemplateAddTo("9046e0e3-1e70-4267-9430-3901201e8cbd", GetHostCharacter(), 1, 1);</v>
      </c>
      <c r="E227" s="15"/>
    </row>
    <row r="228">
      <c r="A228" s="21" t="str">
        <f>HYPERLINK("https://bg3.wiki/wiki/Phalar_Aluve", "Phalar Aluve")</f>
        <v>Phalar Aluve</v>
      </c>
      <c r="B228" s="22" t="s">
        <v>24</v>
      </c>
      <c r="C228" s="23" t="s">
        <v>230</v>
      </c>
      <c r="D228" s="24" t="str">
        <f t="shared" si="17"/>
        <v>Osi.TemplateAddTo("6d0d3206-50b5-48ed-af92-a146ed6b98f2", GetHostCharacter(), 1, 1);</v>
      </c>
      <c r="E228" s="15"/>
    </row>
    <row r="229">
      <c r="A229" s="21" t="str">
        <f>HYPERLINK("https://bg3.wiki/wiki/Render_of_Scrumptious_Flesh", "Render of Scrumptious Flesh")</f>
        <v>Render of Scrumptious Flesh</v>
      </c>
      <c r="B229" s="22" t="s">
        <v>24</v>
      </c>
      <c r="C229" s="23" t="s">
        <v>231</v>
      </c>
      <c r="D229" s="24" t="str">
        <f t="shared" si="17"/>
        <v>Osi.TemplateAddTo("5c41bb72-9a50-4d98-a12a-0de374c43f19", GetHostCharacter(), 1, 1);</v>
      </c>
      <c r="E229" s="15"/>
    </row>
    <row r="230">
      <c r="A230" s="21" t="str">
        <f>HYPERLINK("https://bg3.wiki/wiki/Rusty_Longsword", "Rusty Longsword")</f>
        <v>Rusty Longsword</v>
      </c>
      <c r="B230" s="22" t="s">
        <v>11</v>
      </c>
      <c r="C230" s="23" t="s">
        <v>232</v>
      </c>
      <c r="D230" s="24" t="str">
        <f t="shared" si="17"/>
        <v>Osi.TemplateAddTo("dddd2204-0ee3-47b0-a7ea-6b5216a65e89", GetHostCharacter(), 1, 1);</v>
      </c>
      <c r="E230" s="15"/>
    </row>
    <row r="231">
      <c r="A231" s="21" t="str">
        <f>HYPERLINK("https://bg3.wiki/wiki/Singing_Sword", "Singing Sword")</f>
        <v>Singing Sword</v>
      </c>
      <c r="B231" s="22" t="s">
        <v>17</v>
      </c>
      <c r="C231" s="23" t="s">
        <v>233</v>
      </c>
      <c r="D231" s="24" t="str">
        <f t="shared" si="17"/>
        <v>Osi.TemplateAddTo("5e7030e9-d59c-4edf-8278-8981a8e8baef", GetHostCharacter(), 1, 1);</v>
      </c>
      <c r="E231" s="15"/>
    </row>
    <row r="232">
      <c r="A232" s="21" t="str">
        <f>HYPERLINK("https://bg3.wiki/wiki/Sword_of_the_Emperor", "Sword of the Emperor")</f>
        <v>Sword of the Emperor</v>
      </c>
      <c r="B232" s="22" t="s">
        <v>24</v>
      </c>
      <c r="C232" s="23" t="s">
        <v>234</v>
      </c>
      <c r="D232" s="24" t="str">
        <f t="shared" si="17"/>
        <v>Osi.TemplateAddTo("777cb3d5-0689-4cfd-9719-b460897cb9e6", GetHostCharacter(), 1, 1);</v>
      </c>
      <c r="E232" s="15"/>
    </row>
    <row r="233">
      <c r="A233" s="38" t="str">
        <f>HYPERLINK("https://bg3.wiki/wiki/Voss%27_Silver_Sword", "Voss' Silver Sword")</f>
        <v>Voss' Silver Sword</v>
      </c>
      <c r="B233" s="39" t="s">
        <v>19</v>
      </c>
      <c r="C233" s="40" t="s">
        <v>235</v>
      </c>
      <c r="D233" s="41" t="str">
        <f t="shared" si="17"/>
        <v>Osi.TemplateAddTo("20c66f8d-f455-42fc-8e48-543512247e75", GetHostCharacter(), 1, 1);</v>
      </c>
      <c r="E233" s="15"/>
    </row>
    <row r="234">
      <c r="C234" s="42"/>
    </row>
    <row r="235">
      <c r="A235" s="22" t="s">
        <v>236</v>
      </c>
      <c r="B235" s="22"/>
      <c r="C235" s="23"/>
      <c r="D235" s="22"/>
    </row>
    <row r="236">
      <c r="A236" s="34" t="s">
        <v>7</v>
      </c>
      <c r="B236" s="35" t="s">
        <v>8</v>
      </c>
      <c r="C236" s="35" t="s">
        <v>9</v>
      </c>
      <c r="D236" s="36" t="s">
        <v>10</v>
      </c>
      <c r="E236" s="37"/>
    </row>
    <row r="237">
      <c r="A237" s="21" t="str">
        <f>HYPERLINK("https://bg3.wiki/wiki/Adamantine_Mace", "Adamantine Mace")</f>
        <v>Adamantine Mace</v>
      </c>
      <c r="B237" s="22" t="s">
        <v>24</v>
      </c>
      <c r="C237" s="23" t="s">
        <v>237</v>
      </c>
      <c r="D237" s="24" t="str">
        <f t="shared" ref="D237:D252" si="18">"Osi.TemplateAddTo("""&amp; C237 &amp;""", GetHostCharacter(), 1, 1);"</f>
        <v>Osi.TemplateAddTo("df08ec01-52f0-4fdf-b5e7-4fa0970a480a", GetHostCharacter(), 1, 1);</v>
      </c>
    </row>
    <row r="238">
      <c r="A238" s="21" t="str">
        <f>HYPERLINK("https://bg3.wiki/wiki/Ceremonial_Mace", "Ceremonial Mace")</f>
        <v>Ceremonial Mace</v>
      </c>
      <c r="B238" s="22" t="s">
        <v>17</v>
      </c>
      <c r="C238" s="23" t="s">
        <v>238</v>
      </c>
      <c r="D238" s="24" t="str">
        <f t="shared" si="18"/>
        <v>Osi.TemplateAddTo("5a948b12-ca43-4256-9821-0d151036dbd1", GetHostCharacter(), 1, 1);</v>
      </c>
    </row>
    <row r="239">
      <c r="A239" s="21" t="str">
        <f>HYPERLINK("https://bg3.wiki/wiki/Crude_Mace", "Crude Mace")</f>
        <v>Crude Mace</v>
      </c>
      <c r="B239" s="22" t="s">
        <v>11</v>
      </c>
      <c r="C239" s="23" t="s">
        <v>239</v>
      </c>
      <c r="D239" s="24" t="str">
        <f t="shared" si="18"/>
        <v>Osi.TemplateAddTo("7ebf3d2b-39ff-4a18-9114-4d09d17f432f", GetHostCharacter(), 1, 1);</v>
      </c>
    </row>
    <row r="240">
      <c r="A240" s="21" t="str">
        <f>HYPERLINK("https://bg3.wiki/wiki/Deva_Mace", "Deva Mace")</f>
        <v>Deva Mace</v>
      </c>
      <c r="B240" s="22" t="s">
        <v>11</v>
      </c>
      <c r="C240" s="23" t="s">
        <v>240</v>
      </c>
      <c r="D240" s="24" t="str">
        <f t="shared" si="18"/>
        <v>Osi.TemplateAddTo("c0fb0a11-1f29-470c-a95b-102377ef2356", GetHostCharacter(), 1, 1);</v>
      </c>
    </row>
    <row r="241">
      <c r="A241" s="21" t="str">
        <f>HYPERLINK("https://bg3.wiki/wiki/Devotee%27s_Mace", "Devotee's Mace")</f>
        <v>Devotee's Mace</v>
      </c>
      <c r="B241" s="22" t="s">
        <v>66</v>
      </c>
      <c r="C241" s="23" t="s">
        <v>241</v>
      </c>
      <c r="D241" s="24" t="str">
        <f t="shared" si="18"/>
        <v>Osi.TemplateAddTo("f8578a13-a857-4043-91e4-8101c9e7c004", GetHostCharacter(), 1, 1);</v>
      </c>
    </row>
    <row r="242">
      <c r="A242" s="21" t="str">
        <f>HYPERLINK("https://bg3.wiki/wiki/Handmaiden%27s_Mace", "Handmaiden's Mace")</f>
        <v>Handmaiden's Mace</v>
      </c>
      <c r="B242" s="22" t="s">
        <v>19</v>
      </c>
      <c r="C242" s="23" t="s">
        <v>242</v>
      </c>
      <c r="D242" s="24" t="str">
        <f t="shared" si="18"/>
        <v>Osi.TemplateAddTo("c31d6b30-2377-4e3c-a602-d5d527defc11", GetHostCharacter(), 1, 1);</v>
      </c>
    </row>
    <row r="243">
      <c r="A243" s="21" t="str">
        <f>HYPERLINK("https://bg3.wiki/wiki/Infernal_Mace", "Infernal Mace")</f>
        <v>Infernal Mace</v>
      </c>
      <c r="B243" s="22" t="s">
        <v>24</v>
      </c>
      <c r="C243" s="23" t="s">
        <v>243</v>
      </c>
      <c r="D243" s="24" t="str">
        <f t="shared" si="18"/>
        <v>Osi.TemplateAddTo("70909020-27ff-4a63-a03f-30d4818dd1c3", GetHostCharacter(), 1, 1);</v>
      </c>
    </row>
    <row r="244">
      <c r="A244" s="21" t="str">
        <f>HYPERLINK("https://bg3.wiki/wiki/Infernal_Mace_(Uncommon)", "Infernal Mace (Uncommon)")</f>
        <v>Infernal Mace (Uncommon)</v>
      </c>
      <c r="B244" s="22" t="s">
        <v>17</v>
      </c>
      <c r="C244" s="23" t="s">
        <v>244</v>
      </c>
      <c r="D244" s="24" t="str">
        <f t="shared" si="18"/>
        <v>Osi.TemplateAddTo("8e13f737-40e5-4be5-817e-1c5d6199b08b", GetHostCharacter(), 1, 1);</v>
      </c>
    </row>
    <row r="245">
      <c r="A245" s="21" t="str">
        <f>HYPERLINK("https://bg3.wiki/wiki/Loviatar%27s_Scourge", "Loviatar's Scourge")</f>
        <v>Loviatar's Scourge</v>
      </c>
      <c r="B245" s="22" t="s">
        <v>17</v>
      </c>
      <c r="C245" s="23" t="s">
        <v>245</v>
      </c>
      <c r="D245" s="24" t="str">
        <f t="shared" si="18"/>
        <v>Osi.TemplateAddTo("b1dc33ba-c595-4036-9683-26635f297e44", GetHostCharacter(), 1, 1);</v>
      </c>
    </row>
    <row r="246">
      <c r="A246" s="21" t="str">
        <f>HYPERLINK("https://bg3.wiki/wiki/Mace", "Mace")</f>
        <v>Mace</v>
      </c>
      <c r="B246" s="22" t="s">
        <v>11</v>
      </c>
      <c r="C246" s="23" t="s">
        <v>246</v>
      </c>
      <c r="D246" s="24" t="str">
        <f t="shared" si="18"/>
        <v>Osi.TemplateAddTo("3186796d-3ab3-4d49-bfc2-cba1aff0cf5a", GetHostCharacter(), 1, 1);</v>
      </c>
    </row>
    <row r="247">
      <c r="A247" s="21" t="str">
        <f>HYPERLINK("https://bg3.wiki/wiki/Mace_%2B1", "Mace +1")</f>
        <v>Mace +1</v>
      </c>
      <c r="B247" s="22" t="s">
        <v>17</v>
      </c>
      <c r="C247" s="23" t="s">
        <v>238</v>
      </c>
      <c r="D247" s="24" t="str">
        <f t="shared" si="18"/>
        <v>Osi.TemplateAddTo("5a948b12-ca43-4256-9821-0d151036dbd1", GetHostCharacter(), 1, 1);</v>
      </c>
    </row>
    <row r="248">
      <c r="A248" s="21" t="str">
        <f>HYPERLINK("https://bg3.wiki/wiki/Mace_%2B2", "Mace +2")</f>
        <v>Mace +2</v>
      </c>
      <c r="B248" s="22" t="s">
        <v>24</v>
      </c>
      <c r="C248" s="23" t="s">
        <v>247</v>
      </c>
      <c r="D248" s="24" t="str">
        <f t="shared" si="18"/>
        <v>Osi.TemplateAddTo("f203a318-ea9a-4117-8d27-299dabafd1d3", GetHostCharacter(), 1, 1);</v>
      </c>
    </row>
    <row r="249">
      <c r="A249" s="21" t="str">
        <f>HYPERLINK("https://bg3.wiki/wiki/Rusty_Mace", "Rusty Mace")</f>
        <v>Rusty Mace</v>
      </c>
      <c r="B249" s="22" t="s">
        <v>11</v>
      </c>
      <c r="C249" s="23" t="s">
        <v>248</v>
      </c>
      <c r="D249" s="24" t="str">
        <f t="shared" si="18"/>
        <v>Osi.TemplateAddTo("ce1c45a5-5606-4604-9afa-beca19fd03e1", GetHostCharacter(), 1, 1);</v>
      </c>
    </row>
    <row r="250">
      <c r="A250" s="21" t="str">
        <f>HYPERLINK("https://bg3.wiki/wiki/Shattered_Flail", "Shattered Flail")</f>
        <v>Shattered Flail</v>
      </c>
      <c r="B250" s="22" t="s">
        <v>24</v>
      </c>
      <c r="C250" s="23" t="s">
        <v>249</v>
      </c>
      <c r="D250" s="24" t="str">
        <f t="shared" si="18"/>
        <v>Osi.TemplateAddTo("8a527abd-a2ff-4267-a067-d26bdf6742ee", GetHostCharacter(), 1, 1);</v>
      </c>
    </row>
    <row r="251">
      <c r="A251" s="21" t="str">
        <f>HYPERLINK("https://bg3.wiki/wiki/The_Blood_of_Lathander", "The Blood of Lathander")</f>
        <v>The Blood of Lathander</v>
      </c>
      <c r="B251" s="22" t="s">
        <v>66</v>
      </c>
      <c r="C251" s="23" t="s">
        <v>250</v>
      </c>
      <c r="D251" s="24" t="str">
        <f t="shared" si="18"/>
        <v>Osi.TemplateAddTo("7b961f08-46c1-46b1-99bc-c59283831a0b", GetHostCharacter(), 1, 1);</v>
      </c>
    </row>
    <row r="252">
      <c r="A252" s="38" t="str">
        <f>HYPERLINK("https://bg3.wiki/wiki/Xyanyde", "Xyanyde")</f>
        <v>Xyanyde</v>
      </c>
      <c r="B252" s="39" t="s">
        <v>17</v>
      </c>
      <c r="C252" s="40" t="s">
        <v>251</v>
      </c>
      <c r="D252" s="41" t="str">
        <f t="shared" si="18"/>
        <v>Osi.TemplateAddTo("4b0131e0-875a-4f3c-8b41-dbf653857d00", GetHostCharacter(), 1, 1);</v>
      </c>
    </row>
    <row r="253">
      <c r="C253" s="42"/>
    </row>
    <row r="254">
      <c r="A254" s="22" t="s">
        <v>252</v>
      </c>
      <c r="B254" s="22"/>
      <c r="C254" s="23"/>
      <c r="D254" s="22"/>
    </row>
    <row r="255">
      <c r="A255" s="34" t="s">
        <v>7</v>
      </c>
      <c r="B255" s="35" t="s">
        <v>8</v>
      </c>
      <c r="C255" s="35" t="s">
        <v>9</v>
      </c>
      <c r="D255" s="36" t="s">
        <v>10</v>
      </c>
      <c r="E255" s="37"/>
    </row>
    <row r="256">
      <c r="A256" s="21" t="str">
        <f>HYPERLINK("https://bg3.wiki/wiki/Corpsegrinder", "Corpsegrinder")</f>
        <v>Corpsegrinder</v>
      </c>
      <c r="B256" s="22" t="s">
        <v>24</v>
      </c>
      <c r="C256" s="23" t="s">
        <v>253</v>
      </c>
      <c r="D256" s="24" t="str">
        <f t="shared" ref="D256:D264" si="19">"Osi.TemplateAddTo("""&amp; C256 &amp;""", GetHostCharacter(), 1, 1);"</f>
        <v>Osi.TemplateAddTo("c1aa1bf6-2bb8-4472-9e18-b5285101c4b3", GetHostCharacter(), 1, 1);</v>
      </c>
    </row>
    <row r="257">
      <c r="A257" s="21" t="str">
        <f>HYPERLINK("https://bg3.wiki/wiki/Doom_Hammer", "Doom Hammer")</f>
        <v>Doom Hammer</v>
      </c>
      <c r="B257" s="22" t="s">
        <v>17</v>
      </c>
      <c r="C257" s="23" t="s">
        <v>254</v>
      </c>
      <c r="D257" s="24" t="str">
        <f t="shared" si="19"/>
        <v>Osi.TemplateAddTo("2f481fef-1877-4eac-820d-dc3210ff0b36", GetHostCharacter(), 1, 1);</v>
      </c>
    </row>
    <row r="258">
      <c r="A258" s="21" t="str">
        <f>HYPERLINK("https://bg3.wiki/wiki/Foebreaker", "Foebreaker")</f>
        <v>Foebreaker</v>
      </c>
      <c r="B258" s="22" t="s">
        <v>19</v>
      </c>
      <c r="C258" s="23" t="s">
        <v>255</v>
      </c>
      <c r="D258" s="24" t="str">
        <f t="shared" si="19"/>
        <v>Osi.TemplateAddTo("89eacf71-5bf6-4e7f-ac9d-e2d7d1d6bcb0", GetHostCharacter(), 1, 1);</v>
      </c>
    </row>
    <row r="259">
      <c r="A259" s="21" t="str">
        <f>HYPERLINK("https://bg3.wiki/wiki/Hamarhraft", "Hamarhraft")</f>
        <v>Hamarhraft</v>
      </c>
      <c r="B259" s="22" t="s">
        <v>17</v>
      </c>
      <c r="C259" s="23" t="s">
        <v>256</v>
      </c>
      <c r="D259" s="24" t="str">
        <f t="shared" si="19"/>
        <v>Osi.TemplateAddTo("efb003c3-af98-43d7-bcf4-af29702fb531", GetHostCharacter(), 1, 1);</v>
      </c>
    </row>
    <row r="260">
      <c r="A260" s="21" t="str">
        <f>HYPERLINK("https://bg3.wiki/wiki/Maul", "Maul")</f>
        <v>Maul</v>
      </c>
      <c r="B260" s="22" t="s">
        <v>11</v>
      </c>
      <c r="C260" s="23" t="s">
        <v>257</v>
      </c>
      <c r="D260" s="24" t="str">
        <f t="shared" si="19"/>
        <v>Osi.TemplateAddTo("5487ceb4-b009-46ae-8ed6-cd3baaf0a18d", GetHostCharacter(), 1, 1);</v>
      </c>
    </row>
    <row r="261">
      <c r="A261" s="21" t="str">
        <f>HYPERLINK("https://bg3.wiki/wiki/Maul_%2B1", "Maul +1")</f>
        <v>Maul +1</v>
      </c>
      <c r="B261" s="22" t="s">
        <v>17</v>
      </c>
      <c r="C261" s="23" t="s">
        <v>258</v>
      </c>
      <c r="D261" s="24" t="str">
        <f t="shared" si="19"/>
        <v>Osi.TemplateAddTo("7e8ef269-0e7b-4352-8828-89c5fced943c", GetHostCharacter(), 1, 1);</v>
      </c>
    </row>
    <row r="262">
      <c r="A262" s="21" t="str">
        <f>HYPERLINK("https://bg3.wiki/wiki/Pactbound_Maul", "Pactbound Maul")</f>
        <v>Pactbound Maul</v>
      </c>
      <c r="B262" s="22" t="s">
        <v>11</v>
      </c>
      <c r="C262" s="23" t="s">
        <v>259</v>
      </c>
      <c r="D262" s="24" t="str">
        <f t="shared" si="19"/>
        <v>Osi.TemplateAddTo("b92fcaf1-2895-4faa-b952-1d21bf94acba", GetHostCharacter(), 1, 1);</v>
      </c>
    </row>
    <row r="263">
      <c r="A263" s="21" t="str">
        <f>HYPERLINK("https://bg3.wiki/wiki/Rusty_Maul", "Rusty Maul")</f>
        <v>Rusty Maul</v>
      </c>
      <c r="B263" s="22" t="s">
        <v>11</v>
      </c>
      <c r="C263" s="23" t="s">
        <v>260</v>
      </c>
      <c r="D263" s="24" t="str">
        <f t="shared" si="19"/>
        <v>Osi.TemplateAddTo("67e97333-2225-4797-9c06-0a0e08e6edd7", GetHostCharacter(), 1, 1);</v>
      </c>
    </row>
    <row r="264">
      <c r="A264" s="38" t="str">
        <f>HYPERLINK("https://bg3.wiki/wiki/Steadfast_Maul", "Steadfast Maul")</f>
        <v>Steadfast Maul</v>
      </c>
      <c r="B264" s="39" t="s">
        <v>17</v>
      </c>
      <c r="C264" s="40" t="s">
        <v>261</v>
      </c>
      <c r="D264" s="41" t="str">
        <f t="shared" si="19"/>
        <v>Osi.TemplateAddTo("9c0b228c-8330-4407-9877-3b980810a1ae", GetHostCharacter(), 1, 1);</v>
      </c>
    </row>
    <row r="265">
      <c r="C265" s="42"/>
    </row>
    <row r="266">
      <c r="A266" s="22" t="s">
        <v>262</v>
      </c>
      <c r="B266" s="22"/>
      <c r="C266" s="23"/>
      <c r="D266" s="22"/>
    </row>
    <row r="267">
      <c r="A267" s="34" t="s">
        <v>7</v>
      </c>
      <c r="B267" s="35" t="s">
        <v>8</v>
      </c>
      <c r="C267" s="35" t="s">
        <v>9</v>
      </c>
      <c r="D267" s="36" t="s">
        <v>10</v>
      </c>
      <c r="E267" s="37"/>
    </row>
    <row r="268">
      <c r="A268" s="21" t="str">
        <f>HYPERLINK("https://bg3.wiki/wiki/Morningstar", "Morningstar")</f>
        <v>Morningstar</v>
      </c>
      <c r="B268" s="22" t="s">
        <v>11</v>
      </c>
      <c r="C268" s="23" t="s">
        <v>263</v>
      </c>
      <c r="D268" s="24" t="str">
        <f t="shared" ref="D268:D274" si="20">"Osi.TemplateAddTo("""&amp; C268 &amp;""", GetHostCharacter(), 1, 1);"</f>
        <v>Osi.TemplateAddTo("26a9fba6-1a60-4691-84ea-da7ffcb304e0", GetHostCharacter(), 1, 1);</v>
      </c>
    </row>
    <row r="269">
      <c r="A269" s="21" t="str">
        <f>HYPERLINK("https://bg3.wiki/wiki/Morningstar_%2B1", "Morningstar +1")</f>
        <v>Morningstar +1</v>
      </c>
      <c r="B269" s="22" t="s">
        <v>17</v>
      </c>
      <c r="C269" s="23" t="s">
        <v>264</v>
      </c>
      <c r="D269" s="24" t="str">
        <f t="shared" si="20"/>
        <v>Osi.TemplateAddTo("deea755b-5335-49d9-bd0e-dbaab9eaf94c", GetHostCharacter(), 1, 1);</v>
      </c>
    </row>
    <row r="270">
      <c r="A270" s="21" t="str">
        <f>HYPERLINK("https://bg3.wiki/wiki/Ravengard%27s_Scourger", "Ravengard's Scourger")</f>
        <v>Ravengard's Scourger</v>
      </c>
      <c r="B270" s="22" t="s">
        <v>24</v>
      </c>
      <c r="C270" s="23" t="s">
        <v>265</v>
      </c>
      <c r="D270" s="24" t="str">
        <f t="shared" si="20"/>
        <v>Osi.TemplateAddTo("83715b12-8d39-48b7-a981-fe50a4ec2d4e", GetHostCharacter(), 1, 1);</v>
      </c>
    </row>
    <row r="271">
      <c r="A271" s="21" t="str">
        <f>HYPERLINK("https://bg3.wiki/wiki/Rusty_Morningstar", "Rusty Morningstar")</f>
        <v>Rusty Morningstar</v>
      </c>
      <c r="B271" s="22" t="s">
        <v>11</v>
      </c>
      <c r="C271" s="23" t="s">
        <v>266</v>
      </c>
      <c r="D271" s="24" t="str">
        <f t="shared" si="20"/>
        <v>Osi.TemplateAddTo("f8856d2d-ffda-417c-b7a8-c7aa757903b7", GetHostCharacter(), 1, 1);</v>
      </c>
    </row>
    <row r="272">
      <c r="A272" s="21" t="str">
        <f>HYPERLINK("https://bg3.wiki/wiki/The_Sacred_Star", "The Sacred Star")</f>
        <v>The Sacred Star</v>
      </c>
      <c r="B272" s="22" t="s">
        <v>19</v>
      </c>
      <c r="C272" s="23" t="s">
        <v>267</v>
      </c>
      <c r="D272" s="24" t="str">
        <f t="shared" si="20"/>
        <v>Osi.TemplateAddTo("5637bf93-ebd4-4170-a251-d77d9687c58a", GetHostCharacter(), 1, 1);</v>
      </c>
    </row>
    <row r="273">
      <c r="A273" s="21" t="str">
        <f>HYPERLINK("https://bg3.wiki/wiki/Tough_Sunrises", "Tough Sunrises")</f>
        <v>Tough Sunrises</v>
      </c>
      <c r="B273" s="22" t="s">
        <v>17</v>
      </c>
      <c r="C273" s="23" t="s">
        <v>268</v>
      </c>
      <c r="D273" s="24" t="str">
        <f t="shared" si="20"/>
        <v>Osi.TemplateAddTo("907df6ab-93ab-4f51-bf57-ac767d48e382", GetHostCharacter(), 1, 1);</v>
      </c>
    </row>
    <row r="274">
      <c r="A274" s="38" t="str">
        <f>HYPERLINK("https://bg3.wiki/wiki/Twist_of_Fortune", "Twist of Fortune")</f>
        <v>Twist of Fortune</v>
      </c>
      <c r="B274" s="39" t="s">
        <v>24</v>
      </c>
      <c r="C274" s="40" t="s">
        <v>269</v>
      </c>
      <c r="D274" s="41" t="str">
        <f t="shared" si="20"/>
        <v>Osi.TemplateAddTo("12e19834-cf53-4207-93c3-5f0facef5889", GetHostCharacter(), 1, 1);</v>
      </c>
    </row>
    <row r="275">
      <c r="C275" s="42"/>
    </row>
    <row r="276">
      <c r="A276" s="22" t="s">
        <v>270</v>
      </c>
      <c r="B276" s="22"/>
      <c r="C276" s="23"/>
      <c r="D276" s="22"/>
    </row>
    <row r="277">
      <c r="A277" s="34" t="s">
        <v>7</v>
      </c>
      <c r="B277" s="35" t="s">
        <v>8</v>
      </c>
      <c r="C277" s="35" t="s">
        <v>9</v>
      </c>
      <c r="D277" s="36" t="s">
        <v>10</v>
      </c>
      <c r="E277" s="37"/>
    </row>
    <row r="278">
      <c r="A278" s="21" t="str">
        <f>HYPERLINK("https://bg3.wiki/wiki/Breaching_Pikestaff", "Breaching Pikestaff")</f>
        <v>Breaching Pikestaff</v>
      </c>
      <c r="B278" s="22" t="s">
        <v>24</v>
      </c>
      <c r="C278" s="23" t="s">
        <v>271</v>
      </c>
      <c r="D278" s="24" t="str">
        <f t="shared" ref="D278:D286" si="21">"Osi.TemplateAddTo("""&amp; C278 &amp;""", GetHostCharacter(), 1, 1);"</f>
        <v>Osi.TemplateAddTo("661ac892-ee92-46ca-b1b4-1c1df10c7bf0", GetHostCharacter(), 1, 1);</v>
      </c>
    </row>
    <row r="279">
      <c r="A279" s="21" t="str">
        <f>HYPERLINK("https://bg3.wiki/wiki/Broken_Pike", "Broken Pike")</f>
        <v>Broken Pike</v>
      </c>
      <c r="B279" s="22" t="s">
        <v>11</v>
      </c>
      <c r="C279" s="23" t="s">
        <v>272</v>
      </c>
      <c r="D279" s="24" t="str">
        <f t="shared" si="21"/>
        <v>Osi.TemplateAddTo("8454a13e-291f-47ec-a600-d41c32391064", GetHostCharacter(), 1, 1);</v>
      </c>
    </row>
    <row r="280">
      <c r="A280" s="21" t="str">
        <f>HYPERLINK("https://bg3.wiki/wiki/Magical_Pike", "Magical Pike")</f>
        <v>Magical Pike</v>
      </c>
      <c r="B280" s="22" t="s">
        <v>17</v>
      </c>
      <c r="C280" s="23" t="s">
        <v>273</v>
      </c>
      <c r="D280" s="24" t="str">
        <f t="shared" si="21"/>
        <v>Osi.TemplateAddTo("c6323431-6efc-4fb6-af72-75f0a056a449", GetHostCharacter(), 1, 1);</v>
      </c>
    </row>
    <row r="281">
      <c r="A281" s="21" t="str">
        <f>HYPERLINK("https://bg3.wiki/wiki/Pike", "Pike")</f>
        <v>Pike</v>
      </c>
      <c r="B281" s="22" t="s">
        <v>11</v>
      </c>
      <c r="C281" s="23" t="s">
        <v>274</v>
      </c>
      <c r="D281" s="24" t="str">
        <f t="shared" si="21"/>
        <v>Osi.TemplateAddTo("baa5b139-42ad-40fd-b6c3-6b52b092c48e", GetHostCharacter(), 1, 1);</v>
      </c>
    </row>
    <row r="282">
      <c r="A282" s="21" t="str">
        <f>HYPERLINK("https://bg3.wiki/wiki/Pike_%2B1", "Pike +1")</f>
        <v>Pike +1</v>
      </c>
      <c r="B282" s="22" t="s">
        <v>17</v>
      </c>
      <c r="C282" s="23" t="s">
        <v>275</v>
      </c>
      <c r="D282" s="24" t="str">
        <f t="shared" si="21"/>
        <v>Osi.TemplateAddTo("40fa8049-b6c1-4463-b212-52ad13b5d687", GetHostCharacter(), 1, 1);</v>
      </c>
    </row>
    <row r="283">
      <c r="A283" s="21" t="str">
        <f>HYPERLINK("https://bg3.wiki/wiki/Returning_Pike", "Returning Pike")</f>
        <v>Returning Pike</v>
      </c>
      <c r="B283" s="22" t="s">
        <v>17</v>
      </c>
      <c r="C283" s="23" t="s">
        <v>276</v>
      </c>
      <c r="D283" s="24" t="str">
        <f t="shared" si="21"/>
        <v>Osi.TemplateAddTo("1047ac9f-7860-44fd-9154-0f06fe64936c", GetHostCharacter(), 1, 1);</v>
      </c>
    </row>
    <row r="284">
      <c r="A284" s="21" t="str">
        <f>HYPERLINK("https://bg3.wiki/wiki/Rusty_Pike", "Rusty Pike")</f>
        <v>Rusty Pike</v>
      </c>
      <c r="B284" s="22" t="s">
        <v>11</v>
      </c>
      <c r="C284" s="23" t="s">
        <v>277</v>
      </c>
      <c r="D284" s="24" t="str">
        <f t="shared" si="21"/>
        <v>Osi.TemplateAddTo("0eddcd68-36fb-4c9f-8cbb-66513d8d718e", GetHostCharacter(), 1, 1);</v>
      </c>
    </row>
    <row r="285">
      <c r="A285" s="21" t="str">
        <f>HYPERLINK("https://bg3.wiki/wiki/The_Impaler", "The Impaler")</f>
        <v>The Impaler</v>
      </c>
      <c r="B285" s="22" t="s">
        <v>19</v>
      </c>
      <c r="C285" s="23" t="s">
        <v>278</v>
      </c>
      <c r="D285" s="24" t="str">
        <f t="shared" si="21"/>
        <v>Osi.TemplateAddTo("53023726-12bd-4871-805a-66744321dfdb", GetHostCharacter(), 1, 1);</v>
      </c>
    </row>
    <row r="286">
      <c r="A286" s="38" t="str">
        <f>HYPERLINK("https://bg3.wiki/wiki/Unseen_Menace", "Unseen Menace")</f>
        <v>Unseen Menace</v>
      </c>
      <c r="B286" s="39" t="s">
        <v>24</v>
      </c>
      <c r="C286" s="40" t="s">
        <v>279</v>
      </c>
      <c r="D286" s="41" t="str">
        <f t="shared" si="21"/>
        <v>Osi.TemplateAddTo("cd6c6adc-8792-4378-8c63-8169cfad6c55", GetHostCharacter(), 1, 1);</v>
      </c>
    </row>
    <row r="287">
      <c r="C287" s="42"/>
    </row>
    <row r="288">
      <c r="A288" s="22" t="s">
        <v>280</v>
      </c>
      <c r="B288" s="22"/>
      <c r="C288" s="23"/>
      <c r="D288" s="22"/>
    </row>
    <row r="289">
      <c r="A289" s="34" t="s">
        <v>7</v>
      </c>
      <c r="B289" s="35" t="s">
        <v>8</v>
      </c>
      <c r="C289" s="35" t="s">
        <v>9</v>
      </c>
      <c r="D289" s="36" t="s">
        <v>10</v>
      </c>
      <c r="E289" s="43"/>
    </row>
    <row r="290">
      <c r="A290" s="21" t="str">
        <f>HYPERLINK("https://bg3.wiki/wiki/Bigboy%27s_Chew_Toy", "Bigboy's Chew Toy")</f>
        <v>Bigboy's Chew Toy</v>
      </c>
      <c r="B290" s="22" t="s">
        <v>24</v>
      </c>
      <c r="C290" s="23" t="s">
        <v>281</v>
      </c>
      <c r="D290" s="24" t="str">
        <f t="shared" ref="D290:D327" si="22">"Osi.TemplateAddTo("""&amp; C290 &amp;""", GetHostCharacter(), 1, 1);"</f>
        <v>Osi.TemplateAddTo("59cd94ae-c26c-459a-89d8-a1f1ebdd13ba", GetHostCharacter(), 1, 1);</v>
      </c>
      <c r="E290" s="15"/>
    </row>
    <row r="291">
      <c r="A291" s="21" t="str">
        <f>HYPERLINK("https://bg3.wiki/wiki/Cacophony", "Cacophony")</f>
        <v>Cacophony</v>
      </c>
      <c r="B291" s="22" t="s">
        <v>24</v>
      </c>
      <c r="C291" s="23" t="s">
        <v>282</v>
      </c>
      <c r="D291" s="24" t="str">
        <f t="shared" si="22"/>
        <v>Osi.TemplateAddTo("4708068e-542a-4dfb-b8a0-56e1ee371600", GetHostCharacter(), 1, 1);</v>
      </c>
      <c r="E291" s="15"/>
    </row>
    <row r="292">
      <c r="A292" s="21" t="str">
        <f>HYPERLINK("https://bg3.wiki/wiki/Caitiff_Staff", "Caitiff Staff")</f>
        <v>Caitiff Staff</v>
      </c>
      <c r="B292" s="22" t="s">
        <v>24</v>
      </c>
      <c r="C292" s="23" t="s">
        <v>283</v>
      </c>
      <c r="D292" s="24" t="str">
        <f t="shared" si="22"/>
        <v>Osi.TemplateAddTo("518d1630-d2bf-4dca-8c24-9d7ba9d529f3", GetHostCharacter(), 1, 1);</v>
      </c>
      <c r="E292" s="15"/>
    </row>
    <row r="293">
      <c r="A293" s="21" t="str">
        <f>HYPERLINK("https://bg3.wiki/wiki/Corellon%27s_Grace", "Corellon's Grace")</f>
        <v>Corellon's Grace</v>
      </c>
      <c r="B293" s="22" t="s">
        <v>17</v>
      </c>
      <c r="C293" s="23" t="s">
        <v>284</v>
      </c>
      <c r="D293" s="24" t="str">
        <f t="shared" si="22"/>
        <v>Osi.TemplateAddTo("48b4f49b-2937-4664-ac87-7db2c64d09c9", GetHostCharacter(), 1, 1);</v>
      </c>
      <c r="E293" s="15"/>
    </row>
    <row r="294">
      <c r="A294" s="21" t="str">
        <f>HYPERLINK("https://bg3.wiki/wiki/Creation%27s_Echo", "Creation's Echo")</f>
        <v>Creation's Echo</v>
      </c>
      <c r="B294" s="22" t="s">
        <v>24</v>
      </c>
      <c r="C294" s="23" t="s">
        <v>285</v>
      </c>
      <c r="D294" s="24" t="str">
        <f t="shared" si="22"/>
        <v>Osi.TemplateAddTo("62da3651-f2e4-4371-b5f2-fd06dd705030", GetHostCharacter(), 1, 1);</v>
      </c>
      <c r="E294" s="15"/>
    </row>
    <row r="295">
      <c r="A295" s="21" t="str">
        <f>HYPERLINK("https://bg3.wiki/wiki/Despair_of_Athkatla", "Despair of Athkatla")</f>
        <v>Despair of Athkatla</v>
      </c>
      <c r="B295" s="22" t="s">
        <v>24</v>
      </c>
      <c r="C295" s="23" t="s">
        <v>286</v>
      </c>
      <c r="D295" s="24" t="str">
        <f t="shared" si="22"/>
        <v>Osi.TemplateAddTo("e8eca87d-e01f-40d3-8097-a787602f1dc9", GetHostCharacter(), 1, 1);</v>
      </c>
      <c r="E295" s="15"/>
    </row>
    <row r="296">
      <c r="A296" s="21" t="str">
        <f>HYPERLINK("https://bg3.wiki/wiki/Druid_Quarterstaff", "Druid Quarterstaff")</f>
        <v>Druid Quarterstaff</v>
      </c>
      <c r="B296" s="22" t="s">
        <v>11</v>
      </c>
      <c r="C296" s="23" t="s">
        <v>287</v>
      </c>
      <c r="D296" s="24" t="str">
        <f t="shared" si="22"/>
        <v>Osi.TemplateAddTo("b5c85eb7-ed4f-4e90-a317-5547ddaf3650", GetHostCharacter(), 1, 1);</v>
      </c>
      <c r="E296" s="15"/>
    </row>
    <row r="297">
      <c r="A297" s="21" t="str">
        <f>HYPERLINK("https://bg3.wiki/wiki/Gold_Wyrmling_Staff", "Gold Wyrmling Staff")</f>
        <v>Gold Wyrmling Staff</v>
      </c>
      <c r="B297" s="22" t="s">
        <v>24</v>
      </c>
      <c r="C297" s="23" t="s">
        <v>288</v>
      </c>
      <c r="D297" s="24" t="str">
        <f t="shared" si="22"/>
        <v>Osi.TemplateAddTo("8aaf86a8-c884-4368-bcc5-1f91fd210624", GetHostCharacter(), 1, 1);</v>
      </c>
      <c r="E297" s="15"/>
    </row>
    <row r="298">
      <c r="A298" s="21" t="str">
        <f>HYPERLINK("https://bg3.wiki/wiki/Harper_Sacredstriker", "Harper Sacredstriker")</f>
        <v>Harper Sacredstriker</v>
      </c>
      <c r="B298" s="22" t="s">
        <v>24</v>
      </c>
      <c r="C298" s="23" t="s">
        <v>289</v>
      </c>
      <c r="D298" s="24" t="str">
        <f t="shared" si="22"/>
        <v>Osi.TemplateAddTo("111e30c6-ced0-478b-9922-3428cb50b7e1", GetHostCharacter(), 1, 1);</v>
      </c>
      <c r="E298" s="15"/>
    </row>
    <row r="299">
      <c r="A299" s="21" t="str">
        <f>HYPERLINK("https://bg3.wiki/wiki/Hollow%27s_Staff", "Hollow's Staff")</f>
        <v>Hollow's Staff</v>
      </c>
      <c r="B299" s="22" t="s">
        <v>24</v>
      </c>
      <c r="C299" s="23" t="s">
        <v>290</v>
      </c>
      <c r="D299" s="24" t="str">
        <f t="shared" si="22"/>
        <v>Osi.TemplateAddTo("bb1fef3b-ac2b-427e-9b6f-273a8c7e4ff8", GetHostCharacter(), 1, 1);</v>
      </c>
      <c r="E299" s="15"/>
    </row>
    <row r="300">
      <c r="A300" s="21" t="str">
        <f>HYPERLINK("https://bg3.wiki/wiki/Incandescent_Staff", "Incandescent Staff")</f>
        <v>Incandescent Staff</v>
      </c>
      <c r="B300" s="22" t="s">
        <v>19</v>
      </c>
      <c r="C300" s="23" t="s">
        <v>291</v>
      </c>
      <c r="D300" s="24" t="str">
        <f t="shared" si="22"/>
        <v>Osi.TemplateAddTo("b2758975-82c2-4405-ad2d-99cfa21059ff", GetHostCharacter(), 1, 1);</v>
      </c>
      <c r="E300" s="15"/>
    </row>
    <row r="301">
      <c r="A301" s="21" t="str">
        <f>HYPERLINK("https://bg3.wiki/wiki/Markoheshkir", "Markoheshkir")</f>
        <v>Markoheshkir</v>
      </c>
      <c r="B301" s="22" t="s">
        <v>66</v>
      </c>
      <c r="C301" s="23" t="s">
        <v>292</v>
      </c>
      <c r="D301" s="24" t="str">
        <f t="shared" si="22"/>
        <v>Osi.TemplateAddTo("7e39ad11-f8c3-421a-940c-05348c420c7d", GetHostCharacter(), 1, 1);</v>
      </c>
      <c r="E301" s="15"/>
    </row>
    <row r="302">
      <c r="A302" s="21" t="str">
        <f>HYPERLINK("https://bg3.wiki/wiki/Melf%27s_First_Staff", "Melf's First Staff")</f>
        <v>Melf's First Staff</v>
      </c>
      <c r="B302" s="22" t="s">
        <v>17</v>
      </c>
      <c r="C302" s="23" t="s">
        <v>293</v>
      </c>
      <c r="D302" s="24" t="str">
        <f t="shared" si="22"/>
        <v>Osi.TemplateAddTo("1e8e2d4d-904d-4367-ad28-30012915f458", GetHostCharacter(), 1, 1);</v>
      </c>
      <c r="E302" s="15"/>
    </row>
    <row r="303">
      <c r="A303" s="21" t="str">
        <f>HYPERLINK("https://bg3.wiki/wiki/Mourning_Frost", "Mourning Frost")</f>
        <v>Mourning Frost</v>
      </c>
      <c r="B303" s="22" t="s">
        <v>19</v>
      </c>
      <c r="C303" s="23" t="s">
        <v>294</v>
      </c>
      <c r="D303" s="24" t="str">
        <f t="shared" si="22"/>
        <v>Osi.TemplateAddTo("cab10a42-8c85-459a-9d68-b4836388c022", GetHostCharacter(), 1, 1);</v>
      </c>
      <c r="E303" s="15"/>
    </row>
    <row r="304">
      <c r="A304" s="21" t="str">
        <f>HYPERLINK("https://bg3.wiki/wiki/Nature%27s_Snare", "Nature's Snare")</f>
        <v>Nature's Snare</v>
      </c>
      <c r="B304" s="22" t="s">
        <v>17</v>
      </c>
      <c r="C304" s="23" t="s">
        <v>295</v>
      </c>
      <c r="D304" s="24" t="str">
        <f t="shared" si="22"/>
        <v>Osi.TemplateAddTo("4893bf4e-97e1-48e0-ada8-6bbf115ad68b", GetHostCharacter(), 1, 1);</v>
      </c>
      <c r="E304" s="15"/>
    </row>
    <row r="305">
      <c r="A305" s="21" t="str">
        <f>HYPERLINK("https://bg3.wiki/wiki/Pale_Oak", "Pale Oak")</f>
        <v>Pale Oak</v>
      </c>
      <c r="B305" s="22" t="s">
        <v>24</v>
      </c>
      <c r="C305" s="23" t="s">
        <v>296</v>
      </c>
      <c r="D305" s="24" t="str">
        <f t="shared" si="22"/>
        <v>Osi.TemplateAddTo("13f6ff0c-08c4-4e9f-a624-511389b68dc2", GetHostCharacter(), 1, 1);</v>
      </c>
      <c r="E305" s="15"/>
    </row>
    <row r="306">
      <c r="A306" s="21" t="str">
        <f>HYPERLINK("https://bg3.wiki/wiki/Quarterstaff", "Quarterstaff")</f>
        <v>Quarterstaff</v>
      </c>
      <c r="B306" s="22" t="s">
        <v>11</v>
      </c>
      <c r="C306" s="23" t="s">
        <v>297</v>
      </c>
      <c r="D306" s="24" t="str">
        <f t="shared" si="22"/>
        <v>Osi.TemplateAddTo("96e2abaf-78ff-4dcb-a6a3-a5f0c348bd9f", GetHostCharacter(), 1, 1);</v>
      </c>
      <c r="E306" s="15"/>
    </row>
    <row r="307">
      <c r="A307" s="21" t="str">
        <f>HYPERLINK("https://bg3.wiki/wiki/Quarterstaff", "Quarterstaff (Absolutist)")</f>
        <v>Quarterstaff (Absolutist)</v>
      </c>
      <c r="B307" s="22" t="s">
        <v>11</v>
      </c>
      <c r="C307" s="23" t="s">
        <v>298</v>
      </c>
      <c r="D307" s="24" t="str">
        <f t="shared" si="22"/>
        <v>Osi.TemplateAddTo("f99fe985-168c-4ab6-8c21-8fbd1ef16a1a", GetHostCharacter(), 1, 1);</v>
      </c>
      <c r="E307" s="15"/>
    </row>
    <row r="308">
      <c r="A308" s="21" t="str">
        <f>HYPERLINK("https://bg3.wiki/wiki/Quarterstaff_%2B1", "Quarterstaff +1")</f>
        <v>Quarterstaff +1</v>
      </c>
      <c r="B308" s="22" t="s">
        <v>17</v>
      </c>
      <c r="C308" s="23" t="s">
        <v>299</v>
      </c>
      <c r="D308" s="24" t="str">
        <f t="shared" si="22"/>
        <v>Osi.TemplateAddTo("2fa18ee4-92df-486f-97d2-dd0a720b6fad", GetHostCharacter(), 1, 1);</v>
      </c>
      <c r="E308" s="15"/>
    </row>
    <row r="309">
      <c r="A309" s="21" t="str">
        <f>HYPERLINK("https://bg3.wiki/wiki/Quarterstaff_%2B2", "Quarterstaff +2")</f>
        <v>Quarterstaff +2</v>
      </c>
      <c r="B309" s="22" t="s">
        <v>24</v>
      </c>
      <c r="C309" s="23" t="s">
        <v>300</v>
      </c>
      <c r="D309" s="24" t="str">
        <f t="shared" si="22"/>
        <v>Osi.TemplateAddTo("e1e112b2-5465-4e37-acdc-372666ec1521", GetHostCharacter(), 1, 1);</v>
      </c>
      <c r="E309" s="15"/>
    </row>
    <row r="310">
      <c r="A310" s="21" t="str">
        <f>HYPERLINK("https://bg3.wiki/wiki/Rain_Dancer", "Rain Dancer")</f>
        <v>Rain Dancer</v>
      </c>
      <c r="B310" s="22" t="s">
        <v>17</v>
      </c>
      <c r="C310" s="23" t="s">
        <v>301</v>
      </c>
      <c r="D310" s="24" t="str">
        <f t="shared" si="22"/>
        <v>Osi.TemplateAddTo("28b38ae1-8d66-4d8e-a4f0-5d4c6c342c59", GetHostCharacter(), 1, 1);</v>
      </c>
      <c r="E310" s="15"/>
    </row>
    <row r="311">
      <c r="A311" s="21" t="str">
        <f>HYPERLINK("https://bg3.wiki/wiki/Ritual_Staff", "Ritual Staff")</f>
        <v>Ritual Staff</v>
      </c>
      <c r="B311" s="22" t="s">
        <v>11</v>
      </c>
      <c r="C311" s="23" t="s">
        <v>302</v>
      </c>
      <c r="D311" s="24" t="str">
        <f t="shared" si="22"/>
        <v>Osi.TemplateAddTo("58c90cf9-5541-4909-a853-d1a0ca31c046", GetHostCharacter(), 1, 1);</v>
      </c>
      <c r="E311" s="15"/>
    </row>
    <row r="312">
      <c r="A312" s="21" t="str">
        <f>HYPERLINK("https://bg3.wiki/wiki/Rod_of_Resurrection", "Rod of Resurrection")</f>
        <v>Rod of Resurrection</v>
      </c>
      <c r="B312" s="22" t="s">
        <v>11</v>
      </c>
      <c r="C312" s="23" t="s">
        <v>303</v>
      </c>
      <c r="D312" s="24" t="str">
        <f t="shared" si="22"/>
        <v>Osi.TemplateAddTo("be06b20a-a551-4cd5-82d0-e7a952e28584", GetHostCharacter(), 1, 1);</v>
      </c>
      <c r="E312" s="15"/>
    </row>
    <row r="313">
      <c r="A313" s="21" t="str">
        <f>HYPERLINK("https://bg3.wiki/wiki/Spiderstep_Staff", "Spiderstep Staff")</f>
        <v>Spiderstep Staff</v>
      </c>
      <c r="B313" s="22" t="s">
        <v>17</v>
      </c>
      <c r="C313" s="23" t="s">
        <v>304</v>
      </c>
      <c r="D313" s="24" t="str">
        <f t="shared" si="22"/>
        <v>Osi.TemplateAddTo("baa8bd91-09ec-4c92-a0e1-4a5a9d4ea8ed", GetHostCharacter(), 1, 1);</v>
      </c>
      <c r="E313" s="15"/>
    </row>
    <row r="314">
      <c r="A314" s="21" t="str">
        <f>HYPERLINK("https://bg3.wiki/wiki/Staff", "Staff")</f>
        <v>Staff</v>
      </c>
      <c r="B314" s="22" t="s">
        <v>11</v>
      </c>
      <c r="C314" s="23" t="s">
        <v>305</v>
      </c>
      <c r="D314" s="24" t="str">
        <f t="shared" si="22"/>
        <v>Osi.TemplateAddTo("48318705-311a-4b4c-b911-18d260d6db0f", GetHostCharacter(), 1, 1);</v>
      </c>
      <c r="E314" s="15"/>
    </row>
    <row r="315">
      <c r="A315" s="21" t="str">
        <f>HYPERLINK("https://bg3.wiki/wiki/Staff_of_Accretion", "Staff of Accretion")</f>
        <v>Staff of Accretion</v>
      </c>
      <c r="B315" s="22" t="s">
        <v>24</v>
      </c>
      <c r="C315" s="23" t="s">
        <v>306</v>
      </c>
      <c r="D315" s="24" t="str">
        <f t="shared" si="22"/>
        <v>Osi.TemplateAddTo("26c24ccf-8f4a-44a9-ba56-e1d8e9d49ae3", GetHostCharacter(), 1, 1);</v>
      </c>
      <c r="E315" s="15"/>
    </row>
    <row r="316">
      <c r="A316" s="21" t="str">
        <f>HYPERLINK("https://bg3.wiki/wiki/Staff_of_Arcane_Blessing", "Staff of Arcane Blessing")</f>
        <v>Staff of Arcane Blessing</v>
      </c>
      <c r="B316" s="22" t="s">
        <v>17</v>
      </c>
      <c r="C316" s="23" t="s">
        <v>307</v>
      </c>
      <c r="D316" s="24" t="str">
        <f t="shared" si="22"/>
        <v>Osi.TemplateAddTo("da0ba39a-366d-456b-8dbd-1c5790ca40bf", GetHostCharacter(), 1, 1);</v>
      </c>
      <c r="E316" s="15"/>
    </row>
    <row r="317">
      <c r="A317" s="21" t="str">
        <f>HYPERLINK("https://bg3.wiki/wiki/Staff_of_Cherished_Necromancy", "Staff of Cherished Necromancy")</f>
        <v>Staff of Cherished Necromancy</v>
      </c>
      <c r="B317" s="22" t="s">
        <v>19</v>
      </c>
      <c r="C317" s="23" t="s">
        <v>308</v>
      </c>
      <c r="D317" s="24" t="str">
        <f t="shared" si="22"/>
        <v>Osi.TemplateAddTo("ecb02247-a407-445e-8046-856133d198bf", GetHostCharacter(), 1, 1);</v>
      </c>
      <c r="E317" s="15"/>
    </row>
    <row r="318">
      <c r="A318" s="21" t="str">
        <f>HYPERLINK("https://bg3.wiki/wiki/Staff_of_Crones", "Staff of Crones")</f>
        <v>Staff of Crones</v>
      </c>
      <c r="B318" s="22" t="s">
        <v>17</v>
      </c>
      <c r="C318" s="23" t="s">
        <v>309</v>
      </c>
      <c r="D318" s="24" t="str">
        <f t="shared" si="22"/>
        <v>Osi.TemplateAddTo("544e81be-cc28-4fdf-aea7-9a31940af4d0", GetHostCharacter(), 1, 1);</v>
      </c>
      <c r="E318" s="15"/>
    </row>
    <row r="319">
      <c r="A319" s="21" t="str">
        <f>HYPERLINK("https://bg3.wiki/wiki/Staff_of_Interruption", "Staff of Interruption")</f>
        <v>Staff of Interruption</v>
      </c>
      <c r="B319" s="22" t="s">
        <v>24</v>
      </c>
      <c r="C319" s="23" t="s">
        <v>310</v>
      </c>
      <c r="D319" s="24" t="str">
        <f t="shared" si="22"/>
        <v>Osi.TemplateAddTo("fcbb2c63-ac59-42e0-ad0b-d91cf9a47b60", GetHostCharacter(), 1, 1);</v>
      </c>
      <c r="E319" s="15"/>
    </row>
    <row r="320">
      <c r="A320" s="21" t="str">
        <f>HYPERLINK("https://bg3.wiki/wiki/Staff_of_Spellpower", "Staff of Spellpower")</f>
        <v>Staff of Spellpower</v>
      </c>
      <c r="B320" s="22" t="s">
        <v>19</v>
      </c>
      <c r="C320" s="23" t="s">
        <v>311</v>
      </c>
      <c r="D320" s="24" t="str">
        <f t="shared" si="22"/>
        <v>Osi.TemplateAddTo("d09685e8-0122-4ecb-8e9d-2f6f1850427e", GetHostCharacter(), 1, 1);</v>
      </c>
      <c r="E320" s="15"/>
    </row>
    <row r="321">
      <c r="A321" s="21" t="str">
        <f>HYPERLINK("https://bg3.wiki/wiki/Staff_of_a_Mumbling_Wizard", "Staff of a Mumbling Wizard")</f>
        <v>Staff of a Mumbling Wizard</v>
      </c>
      <c r="B321" s="22" t="s">
        <v>17</v>
      </c>
      <c r="C321" s="23" t="s">
        <v>312</v>
      </c>
      <c r="D321" s="24" t="str">
        <f t="shared" si="22"/>
        <v>Osi.TemplateAddTo("cd8e6f82-d128-4077-916e-a6179fd1d190", GetHostCharacter(), 1, 1);</v>
      </c>
      <c r="E321" s="15"/>
    </row>
    <row r="322">
      <c r="A322" s="21" t="str">
        <f>HYPERLINK("https://bg3.wiki/wiki/Staff_of_the_Emperor", "Staff of the Emperor")</f>
        <v>Staff of the Emperor</v>
      </c>
      <c r="B322" s="22" t="s">
        <v>24</v>
      </c>
      <c r="C322" s="23" t="s">
        <v>313</v>
      </c>
      <c r="D322" s="24" t="str">
        <f t="shared" si="22"/>
        <v>Osi.TemplateAddTo("ff63ca4a-a990-43dc-a28b-c6bed7bfa617", GetHostCharacter(), 1, 1);</v>
      </c>
      <c r="E322" s="15"/>
    </row>
    <row r="323">
      <c r="A323" s="21" t="str">
        <f>HYPERLINK("https://bg3.wiki/wiki/Staff_of_the_Moonmaiden", "Staff of the Moonmaiden")</f>
        <v>Staff of the Moonmaiden</v>
      </c>
      <c r="B323" s="22" t="s">
        <v>11</v>
      </c>
      <c r="C323" s="23" t="s">
        <v>314</v>
      </c>
      <c r="D323" s="24" t="str">
        <f t="shared" si="22"/>
        <v>Osi.TemplateAddTo("4f0bc5b8-ff1e-49cd-b1f0-ee45c1ae4a9e", GetHostCharacter(), 1, 1);</v>
      </c>
      <c r="E323" s="15"/>
    </row>
    <row r="324">
      <c r="A324" s="21" t="str">
        <f>HYPERLINK("https://bg3.wiki/wiki/Staff_of_the_Ram", "Staff of the Ram")</f>
        <v>Staff of the Ram</v>
      </c>
      <c r="B324" s="22" t="s">
        <v>19</v>
      </c>
      <c r="C324" s="23" t="s">
        <v>315</v>
      </c>
      <c r="D324" s="24" t="str">
        <f t="shared" si="22"/>
        <v>Osi.TemplateAddTo("f6b9701c-66ca-43d1-adea-2e5b443fa35d ", GetHostCharacter(), 1, 1);</v>
      </c>
      <c r="E324" s="27" t="s">
        <v>316</v>
      </c>
    </row>
    <row r="325">
      <c r="A325" s="21" t="str">
        <f>HYPERLINK("https://bg3.wiki/wiki/The_Spellsparkler", "The Spellsparkler")</f>
        <v>The Spellsparkler</v>
      </c>
      <c r="B325" s="22" t="s">
        <v>24</v>
      </c>
      <c r="C325" s="23" t="s">
        <v>317</v>
      </c>
      <c r="D325" s="24" t="str">
        <f t="shared" si="22"/>
        <v>Osi.TemplateAddTo("53d6be1b-eac1-4b88-83ab-ba17956eca57", GetHostCharacter(), 1, 1);</v>
      </c>
      <c r="E325" s="15"/>
    </row>
    <row r="326">
      <c r="A326" s="21" t="str">
        <f>HYPERLINK("https://bg3.wiki/wiki/Twisted_Oak_Crook", "Twisted Oak Crook")</f>
        <v>Twisted Oak Crook</v>
      </c>
      <c r="B326" s="22" t="s">
        <v>11</v>
      </c>
      <c r="C326" s="23" t="s">
        <v>318</v>
      </c>
      <c r="D326" s="24" t="str">
        <f t="shared" si="22"/>
        <v>Osi.TemplateAddTo("b61f3c6e-a224-4af8-ad16-51b3799e7715", GetHostCharacter(), 1, 1);</v>
      </c>
      <c r="E326" s="15"/>
    </row>
    <row r="327">
      <c r="A327" s="38" t="str">
        <f>HYPERLINK("https://bg3.wiki/wiki/Woe", "Woe")</f>
        <v>Woe</v>
      </c>
      <c r="B327" s="39" t="s">
        <v>19</v>
      </c>
      <c r="C327" s="40" t="s">
        <v>319</v>
      </c>
      <c r="D327" s="41" t="str">
        <f t="shared" si="22"/>
        <v>Osi.TemplateAddTo("cf42b0d0-89d8-4756-b6d7-1e258dceeab0", GetHostCharacter(), 1, 1);</v>
      </c>
      <c r="E327" s="15"/>
    </row>
    <row r="328">
      <c r="C328" s="42"/>
    </row>
    <row r="329">
      <c r="A329" s="22" t="s">
        <v>320</v>
      </c>
      <c r="B329" s="22"/>
      <c r="C329" s="23"/>
      <c r="D329" s="22"/>
    </row>
    <row r="330">
      <c r="A330" s="34" t="s">
        <v>7</v>
      </c>
      <c r="B330" s="35" t="s">
        <v>8</v>
      </c>
      <c r="C330" s="35" t="s">
        <v>9</v>
      </c>
      <c r="D330" s="36" t="s">
        <v>10</v>
      </c>
      <c r="E330" s="37"/>
    </row>
    <row r="331">
      <c r="A331" s="21" t="str">
        <f>HYPERLINK("https://bg3.wiki/wiki/Duellist%27s_Prerogative", "Duellist's Prerogative")</f>
        <v>Duellist's Prerogative</v>
      </c>
      <c r="B331" s="22" t="s">
        <v>66</v>
      </c>
      <c r="C331" s="23" t="s">
        <v>321</v>
      </c>
      <c r="D331" s="24" t="str">
        <f t="shared" ref="D331:D342" si="23">"Osi.TemplateAddTo("""&amp; C331 &amp;""", GetHostCharacter(), 1, 1);"</f>
        <v>Osi.TemplateAddTo("d49bf05e-4f94-4860-bd8c-ae63dae811be", GetHostCharacter(), 1, 1);</v>
      </c>
    </row>
    <row r="332">
      <c r="A332" s="21" t="str">
        <f>HYPERLINK("https://bg3.wiki/wiki/Harmonic_Dueller", "Harmonic Dueller")</f>
        <v>Harmonic Dueller</v>
      </c>
      <c r="B332" s="22" t="s">
        <v>24</v>
      </c>
      <c r="C332" s="23" t="s">
        <v>322</v>
      </c>
      <c r="D332" s="24" t="str">
        <f t="shared" si="23"/>
        <v>Osi.TemplateAddTo("530a5c21-0f52-428f-bf41-ef33fd6c447b", GetHostCharacter(), 1, 1);</v>
      </c>
    </row>
    <row r="333">
      <c r="A333" s="21" t="str">
        <f>HYPERLINK("https://bg3.wiki/wiki/Infernal_Rapier", "Infernal Rapier")</f>
        <v>Infernal Rapier</v>
      </c>
      <c r="B333" s="22" t="s">
        <v>19</v>
      </c>
      <c r="C333" s="23" t="s">
        <v>323</v>
      </c>
      <c r="D333" s="24" t="str">
        <f t="shared" si="23"/>
        <v>Osi.TemplateAddTo("e925fb75-96a5-4634-9e0b-a239e48da115", GetHostCharacter(), 1, 1);</v>
      </c>
    </row>
    <row r="334">
      <c r="A334" s="21" t="str">
        <f>HYPERLINK("https://bg3.wiki/wiki/Pactbound_Rapier", "Pactbound Rapier")</f>
        <v>Pactbound Rapier</v>
      </c>
      <c r="B334" s="22" t="s">
        <v>11</v>
      </c>
      <c r="C334" s="23" t="s">
        <v>324</v>
      </c>
      <c r="D334" s="24" t="str">
        <f t="shared" si="23"/>
        <v>Osi.TemplateAddTo("705662e8-2a7f-4c7e-b0a0-e505395a45e3", GetHostCharacter(), 1, 1);</v>
      </c>
    </row>
    <row r="335">
      <c r="A335" s="21" t="str">
        <f>HYPERLINK("https://bg3.wiki/wiki/Pelorsun_Blade", "Pelorsun Blade")</f>
        <v>Pelorsun Blade</v>
      </c>
      <c r="B335" s="22" t="s">
        <v>19</v>
      </c>
      <c r="C335" s="23" t="s">
        <v>325</v>
      </c>
      <c r="D335" s="24" t="str">
        <f t="shared" si="23"/>
        <v>Osi.TemplateAddTo("467b9a2e-b7e8-4c01-b744-fae8e3b960fd", GetHostCharacter(), 1, 1);</v>
      </c>
    </row>
    <row r="336">
      <c r="A336" s="21" t="str">
        <f>HYPERLINK("https://bg3.wiki/wiki/Rapier", "Rapier")</f>
        <v>Rapier</v>
      </c>
      <c r="B336" s="22" t="s">
        <v>11</v>
      </c>
      <c r="C336" s="23" t="s">
        <v>326</v>
      </c>
      <c r="D336" s="24" t="str">
        <f t="shared" si="23"/>
        <v>Osi.TemplateAddTo("7061f489-4b13-4982-aa09-cf0ad961e75f", GetHostCharacter(), 1, 1);</v>
      </c>
    </row>
    <row r="337">
      <c r="A337" s="21" t="str">
        <f>HYPERLINK("https://bg3.wiki/wiki/Rapier_%2B1", "Rapier +1")</f>
        <v>Rapier +1</v>
      </c>
      <c r="B337" s="22" t="s">
        <v>17</v>
      </c>
      <c r="C337" s="23" t="s">
        <v>327</v>
      </c>
      <c r="D337" s="24" t="str">
        <f t="shared" si="23"/>
        <v>Osi.TemplateAddTo("5a6cea10-b3f6-4370-8eed-0b69b4ba531a", GetHostCharacter(), 1, 1);</v>
      </c>
    </row>
    <row r="338">
      <c r="A338" s="21" t="str">
        <f>HYPERLINK("https://bg3.wiki/wiki/Rapier_%2B2", "Rapier +2")</f>
        <v>Rapier +2</v>
      </c>
      <c r="B338" s="22" t="s">
        <v>24</v>
      </c>
      <c r="C338" s="23" t="s">
        <v>328</v>
      </c>
      <c r="D338" s="24" t="str">
        <f t="shared" si="23"/>
        <v>Osi.TemplateAddTo("5c572e8e-8693-48cf-b494-2df0341f7ced", GetHostCharacter(), 1, 1);</v>
      </c>
    </row>
    <row r="339">
      <c r="A339" s="21" t="str">
        <f>HYPERLINK("https://bg3.wiki/wiki/Rupturing_Blade", "Rupturing Blade")</f>
        <v>Rupturing Blade</v>
      </c>
      <c r="B339" s="22" t="s">
        <v>17</v>
      </c>
      <c r="C339" s="23" t="s">
        <v>329</v>
      </c>
      <c r="D339" s="24" t="str">
        <f t="shared" si="23"/>
        <v>Osi.TemplateAddTo("2d55309e-52ab-4270-9211-e432e4d8fc59", GetHostCharacter(), 1, 1);</v>
      </c>
    </row>
    <row r="340">
      <c r="A340" s="21" t="str">
        <f>HYPERLINK("https://bg3.wiki/wiki/Sanguine_Blade", "Sanguine Blade")</f>
        <v>Sanguine Blade</v>
      </c>
      <c r="B340" s="22" t="s">
        <v>17</v>
      </c>
      <c r="C340" s="23" t="s">
        <v>330</v>
      </c>
      <c r="D340" s="24" t="str">
        <f t="shared" si="23"/>
        <v>Osi.TemplateAddTo("a8dc9927-1aa3-45ee-8fea-4106e431c194", GetHostCharacter(), 1, 1);</v>
      </c>
    </row>
    <row r="341">
      <c r="A341" s="21" t="str">
        <f>HYPERLINK("https://bg3.wiki/wiki/Sword_of_Screams", "Sword of Screams")</f>
        <v>Sword of Screams</v>
      </c>
      <c r="B341" s="22" t="s">
        <v>17</v>
      </c>
      <c r="C341" s="23" t="s">
        <v>331</v>
      </c>
      <c r="D341" s="24" t="str">
        <f t="shared" si="23"/>
        <v>Osi.TemplateAddTo("df6698d2-b690-4aea-be83-956d3b2ea97e", GetHostCharacter(), 1, 1);</v>
      </c>
    </row>
    <row r="342">
      <c r="A342" s="38" t="str">
        <f>HYPERLINK("https://bg3.wiki/wiki/Verminsign", "Verminsign")</f>
        <v>Verminsign</v>
      </c>
      <c r="B342" s="39" t="s">
        <v>17</v>
      </c>
      <c r="C342" s="40" t="s">
        <v>332</v>
      </c>
      <c r="D342" s="41" t="str">
        <f t="shared" si="23"/>
        <v>Osi.TemplateAddTo("31a0245d-48fe-462e-b4bc-4bfe906e49fd", GetHostCharacter(), 1, 1);</v>
      </c>
    </row>
    <row r="343">
      <c r="C343" s="42"/>
    </row>
    <row r="344">
      <c r="A344" s="22" t="s">
        <v>333</v>
      </c>
      <c r="B344" s="22"/>
      <c r="C344" s="23"/>
      <c r="D344" s="22"/>
    </row>
    <row r="345">
      <c r="A345" s="34" t="s">
        <v>7</v>
      </c>
      <c r="B345" s="35" t="s">
        <v>8</v>
      </c>
      <c r="C345" s="35" t="s">
        <v>9</v>
      </c>
      <c r="D345" s="36" t="s">
        <v>10</v>
      </c>
      <c r="E345" s="37"/>
    </row>
    <row r="346">
      <c r="A346" s="21" t="str">
        <f>HYPERLINK("https://bg3.wiki/wiki/Adamantine_Scimitar", "Adamantine Scimitar")</f>
        <v>Adamantine Scimitar</v>
      </c>
      <c r="B346" s="22" t="s">
        <v>24</v>
      </c>
      <c r="C346" s="23" t="s">
        <v>334</v>
      </c>
      <c r="D346" s="24" t="str">
        <f t="shared" ref="D346:D364" si="24">"Osi.TemplateAddTo("""&amp; C346 &amp;""", GetHostCharacter(), 1, 1);"</f>
        <v>Osi.TemplateAddTo("503b4f8d-da61-4fc1-a4b7-cad124a10c69", GetHostCharacter(), 1, 1);</v>
      </c>
    </row>
    <row r="347">
      <c r="A347" s="21" t="str">
        <f>HYPERLINK("https://bg3.wiki/wiki/Belm", "Belm")</f>
        <v>Belm</v>
      </c>
      <c r="B347" s="22" t="s">
        <v>19</v>
      </c>
      <c r="C347" s="23" t="s">
        <v>335</v>
      </c>
      <c r="D347" s="24" t="str">
        <f t="shared" si="24"/>
        <v>Osi.TemplateAddTo("d60524f4-583e-4b16-91b2-871221d441cf", GetHostCharacter(), 1, 1);</v>
      </c>
    </row>
    <row r="348">
      <c r="A348" s="21" t="str">
        <f>HYPERLINK("https://bg3.wiki/wiki/Djinni_Scimitar", "Djinni Scimitar")</f>
        <v>Djinni Scimitar</v>
      </c>
      <c r="B348" s="22" t="s">
        <v>11</v>
      </c>
      <c r="C348" s="23" t="s">
        <v>336</v>
      </c>
      <c r="D348" s="24" t="str">
        <f t="shared" si="24"/>
        <v>Osi.TemplateAddTo("96f7647b-7485-4c0c-aaad-73a332d8e626", GetHostCharacter(), 1, 1);</v>
      </c>
    </row>
    <row r="349">
      <c r="A349" s="21" t="str">
        <f>HYPERLINK("https://bg3.wiki/wiki/Flame_Blade_(weapon)", "Flame Blade (weapon)")</f>
        <v>Flame Blade (weapon)</v>
      </c>
      <c r="B349" s="22" t="s">
        <v>11</v>
      </c>
      <c r="C349" s="23" t="s">
        <v>337</v>
      </c>
      <c r="D349" s="24" t="str">
        <f t="shared" si="24"/>
        <v>Osi.TemplateAddTo("dfb5a6ef-baee-4c0e-9b9d-7f5bd9458131", GetHostCharacter(), 1, 1);</v>
      </c>
    </row>
    <row r="350">
      <c r="A350" s="21" t="str">
        <f>HYPERLINK("https://bg3.wiki/wiki/Goblin_Scimitar", "Goblin Scimitar")</f>
        <v>Goblin Scimitar</v>
      </c>
      <c r="B350" s="22" t="s">
        <v>11</v>
      </c>
      <c r="C350" s="23" t="s">
        <v>338</v>
      </c>
      <c r="D350" s="24" t="str">
        <f t="shared" si="24"/>
        <v>Osi.TemplateAddTo("288356cc-0c6b-43c1-b049-dde418faf1f2", GetHostCharacter(), 1, 1);</v>
      </c>
    </row>
    <row r="351">
      <c r="A351" s="21" t="str">
        <f>HYPERLINK("https://bg3.wiki/wiki/Justiciar%27s_Scimitar", "Justiciar's Scimitar")</f>
        <v>Justiciar's Scimitar</v>
      </c>
      <c r="B351" s="22" t="s">
        <v>19</v>
      </c>
      <c r="C351" s="23" t="s">
        <v>339</v>
      </c>
      <c r="D351" s="24" t="str">
        <f t="shared" si="24"/>
        <v>Osi.TemplateAddTo("74ecc6e4-ee5d-4cd8-96cb-dd677a4acc82", GetHostCharacter(), 1, 1);</v>
      </c>
    </row>
    <row r="352">
      <c r="A352" s="21" t="str">
        <f>HYPERLINK("https://bg3.wiki/wiki/Kurwin%27s_Cauteriser", "Kurwin's Cauteriser")</f>
        <v>Kurwin's Cauteriser</v>
      </c>
      <c r="B352" s="22" t="s">
        <v>17</v>
      </c>
      <c r="C352" s="23" t="s">
        <v>340</v>
      </c>
      <c r="D352" s="24" t="str">
        <f t="shared" si="24"/>
        <v>Osi.TemplateAddTo("d5b4619a-c65f-42eb-b5bb-055aa1249a38", GetHostCharacter(), 1, 1);</v>
      </c>
    </row>
    <row r="353">
      <c r="A353" s="21" t="str">
        <f>HYPERLINK("https://bg3.wiki/wiki/Rusty_Scimitar", "Rusty Scimitar")</f>
        <v>Rusty Scimitar</v>
      </c>
      <c r="B353" s="22" t="s">
        <v>11</v>
      </c>
      <c r="C353" s="23" t="s">
        <v>341</v>
      </c>
      <c r="D353" s="24" t="str">
        <f t="shared" si="24"/>
        <v>Osi.TemplateAddTo("134cca90-23ea-497d-8698-b7a66bab59d3", GetHostCharacter(), 1, 1);</v>
      </c>
    </row>
    <row r="354">
      <c r="A354" s="21" t="str">
        <f>HYPERLINK("https://bg3.wiki/wiki/Salty_Scimitar(rrr)", "Salty Scimitar(rrr)")</f>
        <v>Salty Scimitar(rrr)</v>
      </c>
      <c r="B354" s="22" t="s">
        <v>24</v>
      </c>
      <c r="C354" s="23" t="s">
        <v>342</v>
      </c>
      <c r="D354" s="24" t="str">
        <f t="shared" si="24"/>
        <v>Osi.TemplateAddTo("f9100179-19f6-49f9-8ad5-bda4d21220bc", GetHostCharacter(), 1, 1);</v>
      </c>
    </row>
    <row r="355">
      <c r="A355" s="21" t="str">
        <f>HYPERLINK("https://bg3.wiki/wiki/Scimitar", "Scimitar")</f>
        <v>Scimitar</v>
      </c>
      <c r="B355" s="22" t="s">
        <v>11</v>
      </c>
      <c r="C355" s="23" t="s">
        <v>343</v>
      </c>
      <c r="D355" s="24" t="str">
        <f t="shared" si="24"/>
        <v>Osi.TemplateAddTo("868217db-9dcb-414c-bb88-e321ab3e0349", GetHostCharacter(), 1, 1);</v>
      </c>
    </row>
    <row r="356">
      <c r="A356" s="21" t="str">
        <f>HYPERLINK("https://bg3.wiki/wiki/Scimitar_%2B1", "Scimitar +1")</f>
        <v>Scimitar +1</v>
      </c>
      <c r="B356" s="22" t="s">
        <v>17</v>
      </c>
      <c r="C356" s="23" t="s">
        <v>344</v>
      </c>
      <c r="D356" s="24" t="str">
        <f t="shared" si="24"/>
        <v>Osi.TemplateAddTo("7cc7a0e1-d0b8-4569-afb2-d538e8941894", GetHostCharacter(), 1, 1);</v>
      </c>
    </row>
    <row r="357">
      <c r="A357" s="21" t="str">
        <f>HYPERLINK("https://bg3.wiki/wiki/Scimitar_%2B2", "Scimitar +2")</f>
        <v>Scimitar +2</v>
      </c>
      <c r="B357" s="22" t="s">
        <v>24</v>
      </c>
      <c r="C357" s="23" t="s">
        <v>345</v>
      </c>
      <c r="D357" s="24" t="str">
        <f t="shared" si="24"/>
        <v>Osi.TemplateAddTo("5193af64-48c1-406f-90bf-87f7f01b4684", GetHostCharacter(), 1, 1);</v>
      </c>
    </row>
    <row r="358">
      <c r="A358" s="21" t="str">
        <f>HYPERLINK("https://bg3.wiki/wiki/Scimitar_(Akabi)", "Scimitar (Akabi)")</f>
        <v>Scimitar (Akabi)</v>
      </c>
      <c r="B358" s="22" t="s">
        <v>11</v>
      </c>
      <c r="C358" s="23" t="s">
        <v>346</v>
      </c>
      <c r="D358" s="24" t="str">
        <f t="shared" si="24"/>
        <v>Osi.TemplateAddTo("1576903a-cb77-4a05-be24-1714d8c61e34", GetHostCharacter(), 1, 1);</v>
      </c>
    </row>
    <row r="359">
      <c r="A359" s="21" t="str">
        <f>HYPERLINK("https://bg3.wiki/wiki/Scimitar_(Sharran)", "Scimitar (Sharran)")</f>
        <v>Scimitar (Sharran)</v>
      </c>
      <c r="B359" s="22" t="s">
        <v>11</v>
      </c>
      <c r="C359" s="23" t="s">
        <v>347</v>
      </c>
      <c r="D359" s="24" t="str">
        <f t="shared" si="24"/>
        <v>Osi.TemplateAddTo("afdc3411-7dad-4483-8ee1-e6a8f37b3ee4", GetHostCharacter(), 1, 1);</v>
      </c>
    </row>
    <row r="360">
      <c r="A360" s="21" t="str">
        <f>HYPERLINK("https://bg3.wiki/wiki/Scimitar_of_Cinder", "Scimitar of Cinder")</f>
        <v>Scimitar of Cinder</v>
      </c>
      <c r="B360" s="22" t="s">
        <v>11</v>
      </c>
      <c r="C360" s="23" t="s">
        <v>348</v>
      </c>
      <c r="D360" s="24" t="str">
        <f t="shared" si="24"/>
        <v>Osi.TemplateAddTo("cac16ce7-f5fd-4314-8b79-94b56d6a8a09", GetHostCharacter(), 1, 1);</v>
      </c>
    </row>
    <row r="361">
      <c r="A361" s="21" t="str">
        <f>HYPERLINK("https://bg3.wiki/wiki/Speedy_Reply", "Speedy Reply")</f>
        <v>Speedy Reply</v>
      </c>
      <c r="B361" s="22" t="s">
        <v>17</v>
      </c>
      <c r="C361" s="23" t="s">
        <v>349</v>
      </c>
      <c r="D361" s="24" t="str">
        <f t="shared" si="24"/>
        <v>Osi.TemplateAddTo("4456e2ec-ba1f-4f53-aab8-847249cabc09", GetHostCharacter(), 1, 1);</v>
      </c>
    </row>
    <row r="362">
      <c r="A362" s="21" t="str">
        <f>HYPERLINK("https://bg3.wiki/wiki/Sylvan_Scimitar", "Sylvan Scimitar")</f>
        <v>Sylvan Scimitar</v>
      </c>
      <c r="B362" s="22" t="s">
        <v>17</v>
      </c>
      <c r="C362" s="23" t="s">
        <v>350</v>
      </c>
      <c r="D362" s="24" t="str">
        <f t="shared" si="24"/>
        <v>Osi.TemplateAddTo("b9656931-da39-4024-92a2-f45264593b14", GetHostCharacter(), 1, 1);</v>
      </c>
    </row>
    <row r="363">
      <c r="A363" s="21" t="str">
        <f>HYPERLINK("https://bg3.wiki/wiki/The_Clover", "The Clover")</f>
        <v>The Clover</v>
      </c>
      <c r="B363" s="22" t="s">
        <v>66</v>
      </c>
      <c r="C363" s="23" t="s">
        <v>351</v>
      </c>
      <c r="D363" s="24" t="str">
        <f t="shared" si="24"/>
        <v>Osi.TemplateAddTo("517231eb-e812-43ed-9ce3-482ba7ed31e6", GetHostCharacter(), 1, 1);</v>
      </c>
    </row>
    <row r="364">
      <c r="A364" s="38" t="str">
        <f>HYPERLINK("https://bg3.wiki/wiki/Thorn_Blade", "Thorn Blade")</f>
        <v>Thorn Blade</v>
      </c>
      <c r="B364" s="39" t="s">
        <v>24</v>
      </c>
      <c r="C364" s="40" t="s">
        <v>352</v>
      </c>
      <c r="D364" s="41" t="str">
        <f t="shared" si="24"/>
        <v>Osi.TemplateAddTo("3b44007e-eb36-4c03-b367-6619299b6994", GetHostCharacter(), 1, 1);</v>
      </c>
    </row>
    <row r="365">
      <c r="C365" s="42"/>
    </row>
    <row r="366">
      <c r="A366" s="22" t="s">
        <v>353</v>
      </c>
      <c r="B366" s="22"/>
      <c r="C366" s="23"/>
      <c r="D366" s="22"/>
    </row>
    <row r="367">
      <c r="A367" s="34" t="s">
        <v>7</v>
      </c>
      <c r="B367" s="35" t="s">
        <v>8</v>
      </c>
      <c r="C367" s="35" t="s">
        <v>9</v>
      </c>
      <c r="D367" s="36" t="s">
        <v>10</v>
      </c>
      <c r="E367" s="43"/>
    </row>
    <row r="368">
      <c r="A368" s="21" t="str">
        <f>HYPERLINK("https://bg3.wiki/wiki/Ambusher", "Ambusher")</f>
        <v>Ambusher</v>
      </c>
      <c r="B368" s="22" t="s">
        <v>24</v>
      </c>
      <c r="C368" s="23" t="s">
        <v>354</v>
      </c>
      <c r="D368" s="24" t="str">
        <f t="shared" ref="D368:D375" si="25">"Osi.TemplateAddTo("""&amp; C368 &amp;""", GetHostCharacter(), 1, 1);"</f>
        <v>Osi.TemplateAddTo("7a96f6cc-c6bb-4caf-a1ab-a86af3fa21a5", GetHostCharacter(), 1, 1);</v>
      </c>
      <c r="E368" s="15"/>
    </row>
    <row r="369">
      <c r="A369" s="21" t="str">
        <f>HYPERLINK("https://bg3.wiki/wiki/Assassin%27s_Shortsword", "Assassin's Shortsword")</f>
        <v>Assassin's Shortsword</v>
      </c>
      <c r="B369" s="22" t="s">
        <v>17</v>
      </c>
      <c r="C369" s="23" t="s">
        <v>355</v>
      </c>
      <c r="D369" s="24" t="str">
        <f t="shared" si="25"/>
        <v>Osi.TemplateAddTo("3c14116f-43da-4e73-92d1-903f46a9d55d", GetHostCharacter(), 1, 1);</v>
      </c>
      <c r="E369" s="15"/>
    </row>
    <row r="370">
      <c r="A370" s="21" t="str">
        <f>HYPERLINK("https://bg3.wiki/wiki/Chessa%27s_Practice_Sword", "Chessa's Practice Sword")</f>
        <v>Chessa's Practice Sword</v>
      </c>
      <c r="B370" s="22" t="s">
        <v>11</v>
      </c>
      <c r="C370" s="23" t="s">
        <v>356</v>
      </c>
      <c r="D370" s="24" t="str">
        <f t="shared" si="25"/>
        <v>Osi.TemplateAddTo("c03b08dc-9e1f-46fa-b67f-7136c1ea5fe5", GetHostCharacter(), 1, 1);</v>
      </c>
      <c r="E370" s="15"/>
    </row>
    <row r="371">
      <c r="A371" s="21" t="str">
        <f>HYPERLINK("https://bg3.wiki/wiki/Crimson_Mischief", "Crimson Mischief")</f>
        <v>Crimson Mischief</v>
      </c>
      <c r="B371" s="22" t="s">
        <v>66</v>
      </c>
      <c r="C371" s="23" t="s">
        <v>357</v>
      </c>
      <c r="D371" s="24" t="str">
        <f t="shared" si="25"/>
        <v>Osi.TemplateAddTo("5961d027-75fd-4ad7-964c-8b786b5839fb", GetHostCharacter(), 1, 1);</v>
      </c>
      <c r="E371" s="15"/>
    </row>
    <row r="372">
      <c r="A372" s="21" t="str">
        <f>HYPERLINK("https://bg3.wiki/wiki/Executioner_Sword", "Executioner Sword")</f>
        <v>Executioner Sword</v>
      </c>
      <c r="B372" s="22" t="s">
        <v>24</v>
      </c>
      <c r="C372" s="23" t="s">
        <v>358</v>
      </c>
      <c r="D372" s="24" t="str">
        <f t="shared" si="25"/>
        <v>Osi.TemplateAddTo("3fab682c-abc7-43f0-b9bb-9faa9f612d8d", GetHostCharacter(), 1, 1);</v>
      </c>
      <c r="E372" s="15"/>
    </row>
    <row r="373">
      <c r="A373" s="21" t="str">
        <f>HYPERLINK("https://bg3.wiki/wiki/Fleshrender", "Fleshrender")</f>
        <v>Fleshrender</v>
      </c>
      <c r="B373" s="22" t="s">
        <v>24</v>
      </c>
      <c r="C373" s="23" t="s">
        <v>359</v>
      </c>
      <c r="D373" s="24" t="str">
        <f t="shared" si="25"/>
        <v>Osi.TemplateAddTo("3db6b7be-1e36-405e-94fd-cf5a9f0e4b68", GetHostCharacter(), 1, 1);</v>
      </c>
      <c r="E373" s="15"/>
    </row>
    <row r="374">
      <c r="A374" s="21" t="str">
        <f>HYPERLINK("https://bg3.wiki/wiki/Githyanki_Shortsword", "Githyanki Shortsword")</f>
        <v>Githyanki Shortsword</v>
      </c>
      <c r="B374" s="22" t="s">
        <v>11</v>
      </c>
      <c r="C374" s="23" t="s">
        <v>360</v>
      </c>
      <c r="D374" s="24" t="str">
        <f t="shared" si="25"/>
        <v>Osi.TemplateAddTo("4b54911a-a32d-48ad-8691-ff28801e1275", GetHostCharacter(), 1, 1);</v>
      </c>
      <c r="E374" s="15"/>
    </row>
    <row r="375">
      <c r="A375" s="45" t="s">
        <v>361</v>
      </c>
      <c r="B375" s="22" t="s">
        <v>17</v>
      </c>
      <c r="C375" s="23" t="s">
        <v>362</v>
      </c>
      <c r="D375" s="24" t="str">
        <f t="shared" si="25"/>
        <v>Osi.TemplateAddTo("824a370a-5fc6-4435-b58f-33a0d91f5b08", GetHostCharacter(), 1, 1);</v>
      </c>
      <c r="E375" s="27" t="s">
        <v>363</v>
      </c>
    </row>
    <row r="376">
      <c r="A376" s="21" t="str">
        <f>HYPERLINK("https://bg3.wiki/wiki/Githyanki_Shortsword_(%2B1)", "Githyanki Shortsword (+1)")</f>
        <v>Githyanki Shortsword (+1)</v>
      </c>
      <c r="B376" s="22" t="s">
        <v>17</v>
      </c>
      <c r="C376" s="23" t="s">
        <v>158</v>
      </c>
      <c r="D376" s="24"/>
      <c r="E376" s="27" t="s">
        <v>364</v>
      </c>
    </row>
    <row r="377">
      <c r="A377" s="21" t="str">
        <f>HYPERLINK("https://bg3.wiki/wiki/Harper_Blade", "Harper Blade")</f>
        <v>Harper Blade</v>
      </c>
      <c r="B377" s="22" t="s">
        <v>11</v>
      </c>
      <c r="C377" s="23" t="s">
        <v>365</v>
      </c>
      <c r="D377" s="24" t="str">
        <f t="shared" ref="D377:D395" si="26">"Osi.TemplateAddTo("""&amp; C377 &amp;""", GetHostCharacter(), 1, 1);"</f>
        <v>Osi.TemplateAddTo("ae92ab6e-f0dc-4d4c-a1b2-b84f01325db6", GetHostCharacter(), 1, 1);</v>
      </c>
      <c r="E377" s="15"/>
    </row>
    <row r="378">
      <c r="A378" s="21" t="str">
        <f>HYPERLINK("https://bg3.wiki/wiki/Kass%27_Practice_Sword", "Kass' Practice Sword")</f>
        <v>Kass' Practice Sword</v>
      </c>
      <c r="B378" s="22" t="s">
        <v>11</v>
      </c>
      <c r="C378" s="23" t="s">
        <v>366</v>
      </c>
      <c r="D378" s="24" t="str">
        <f t="shared" si="26"/>
        <v>Osi.TemplateAddTo("75654556-d676-4fb5-b553-bef42fbf0fbb", GetHostCharacter(), 1, 1);</v>
      </c>
      <c r="E378" s="15"/>
    </row>
    <row r="379">
      <c r="A379" s="21" t="str">
        <f>HYPERLINK("https://bg3.wiki/wiki/Knife_of_the_Undermountain_King", "Knife of the Undermountain King")</f>
        <v>Knife of the Undermountain King</v>
      </c>
      <c r="B379" s="22" t="s">
        <v>19</v>
      </c>
      <c r="C379" s="23" t="s">
        <v>367</v>
      </c>
      <c r="D379" s="24" t="str">
        <f t="shared" si="26"/>
        <v>Osi.TemplateAddTo("025e162a-45ec-4f4c-89da-04d8e8dfe606", GetHostCharacter(), 1, 1);</v>
      </c>
      <c r="E379" s="15"/>
    </row>
    <row r="380">
      <c r="A380" s="21" t="str">
        <f>HYPERLINK("https://bg3.wiki/wiki/Practice_Sword", "Practice Sword")</f>
        <v>Practice Sword</v>
      </c>
      <c r="B380" s="22" t="s">
        <v>11</v>
      </c>
      <c r="C380" s="23" t="s">
        <v>368</v>
      </c>
      <c r="D380" s="24" t="str">
        <f t="shared" si="26"/>
        <v>Osi.TemplateAddTo("5e651778-cc78-425e-b27d-483b1c8afa82", GetHostCharacter(), 1, 1);</v>
      </c>
      <c r="E380" s="15"/>
    </row>
    <row r="381">
      <c r="A381" s="21" t="str">
        <f>HYPERLINK("https://bg3.wiki/wiki/Render_of_Mind_and_Body", "Render of Mind and Body")</f>
        <v>Render of Mind and Body</v>
      </c>
      <c r="B381" s="22" t="s">
        <v>17</v>
      </c>
      <c r="C381" s="23" t="s">
        <v>369</v>
      </c>
      <c r="D381" s="24" t="str">
        <f t="shared" si="26"/>
        <v>Osi.TemplateAddTo("f06c0554-bba8-4036-ac92-1b225a578f57", GetHostCharacter(), 1, 1);</v>
      </c>
      <c r="E381" s="15"/>
    </row>
    <row r="382">
      <c r="A382" s="21" t="str">
        <f>HYPERLINK("https://bg3.wiki/wiki/Rusty_Shortsword", "Rusty Shortsword")</f>
        <v>Rusty Shortsword</v>
      </c>
      <c r="B382" s="22" t="s">
        <v>11</v>
      </c>
      <c r="C382" s="23" t="s">
        <v>370</v>
      </c>
      <c r="D382" s="24" t="str">
        <f t="shared" si="26"/>
        <v>Osi.TemplateAddTo("9d66df2d-8e8f-4798-8684-77b738d26704", GetHostCharacter(), 1, 1);</v>
      </c>
      <c r="E382" s="15"/>
    </row>
    <row r="383">
      <c r="A383" s="21" t="str">
        <f>HYPERLINK("https://bg3.wiki/wiki/Shadow_Blade_(weapon)", "Shadow Blade (weapon)")</f>
        <v>Shadow Blade (weapon)</v>
      </c>
      <c r="B383" s="22" t="s">
        <v>17</v>
      </c>
      <c r="C383" s="23" t="s">
        <v>371</v>
      </c>
      <c r="D383" s="24" t="str">
        <f t="shared" si="26"/>
        <v>Osi.TemplateAddTo("66d6cbd5-c231-4fc4-a3b7-80f781b579f7", GetHostCharacter(), 1, 1);</v>
      </c>
      <c r="E383" s="15"/>
    </row>
    <row r="384">
      <c r="A384" s="21" t="str">
        <f>HYPERLINK("https://bg3.wiki/wiki/Shortsword", "Shortsword")</f>
        <v>Shortsword</v>
      </c>
      <c r="B384" s="22" t="s">
        <v>11</v>
      </c>
      <c r="C384" s="23" t="s">
        <v>372</v>
      </c>
      <c r="D384" s="24" t="str">
        <f t="shared" si="26"/>
        <v>Osi.TemplateAddTo("467ddb4f-6791-41fa-99f7-ee8620d63bbe", GetHostCharacter(), 1, 1);</v>
      </c>
      <c r="E384" s="15"/>
    </row>
    <row r="385">
      <c r="A385" s="21" t="str">
        <f>HYPERLINK("https://bg3.wiki/wiki/Shortsword_%2B1", "Shortsword +1")</f>
        <v>Shortsword +1</v>
      </c>
      <c r="B385" s="22" t="s">
        <v>17</v>
      </c>
      <c r="C385" s="23" t="s">
        <v>373</v>
      </c>
      <c r="D385" s="24" t="str">
        <f t="shared" si="26"/>
        <v>Osi.TemplateAddTo("261b946f-154b-4f75-8985-cab6531034a2", GetHostCharacter(), 1, 1);</v>
      </c>
      <c r="E385" s="15"/>
    </row>
    <row r="386">
      <c r="A386" s="21" t="str">
        <f>HYPERLINK("https://bg3.wiki/wiki/Shortsword_%2B2", "Shortsword +2")</f>
        <v>Shortsword +2</v>
      </c>
      <c r="B386" s="22" t="s">
        <v>24</v>
      </c>
      <c r="C386" s="23" t="s">
        <v>374</v>
      </c>
      <c r="D386" s="24" t="str">
        <f t="shared" si="26"/>
        <v>Osi.TemplateAddTo("0839fb15-24ab-4c3a-b168-413a47ed710a", GetHostCharacter(), 1, 1);</v>
      </c>
      <c r="E386" s="15"/>
    </row>
    <row r="387">
      <c r="A387" s="21" t="str">
        <f>HYPERLINK("https://bg3.wiki/wiki/Shortsword_(Yurgir)", "Shortsword (Yurgir)")</f>
        <v>Shortsword (Yurgir)</v>
      </c>
      <c r="B387" s="22" t="s">
        <v>11</v>
      </c>
      <c r="C387" s="23" t="s">
        <v>375</v>
      </c>
      <c r="D387" s="24" t="str">
        <f t="shared" si="26"/>
        <v>Osi.TemplateAddTo("0d5e17a5-510d-468a-8607-77a326bc453c", GetHostCharacter(), 1, 1);</v>
      </c>
      <c r="E387" s="15"/>
    </row>
    <row r="388">
      <c r="A388" s="21" t="str">
        <f>HYPERLINK("https://bg3.wiki/wiki/Shortsword_of_First_Blood", "Shortsword of First Blood")</f>
        <v>Shortsword of First Blood</v>
      </c>
      <c r="B388" s="22" t="s">
        <v>17</v>
      </c>
      <c r="C388" s="23" t="s">
        <v>376</v>
      </c>
      <c r="D388" s="24" t="str">
        <f t="shared" si="26"/>
        <v>Osi.TemplateAddTo("1e172d76-3433-4ee7-ae1a-9e7d8ae0f12b", GetHostCharacter(), 1, 1);</v>
      </c>
      <c r="E388" s="15"/>
    </row>
    <row r="389">
      <c r="A389" s="21" t="str">
        <f>HYPERLINK("https://bg3.wiki/wiki/Slicing_Shortsword", "Slicing Shortsword")</f>
        <v>Slicing Shortsword</v>
      </c>
      <c r="B389" s="22" t="s">
        <v>24</v>
      </c>
      <c r="C389" s="23" t="s">
        <v>377</v>
      </c>
      <c r="D389" s="24" t="str">
        <f t="shared" si="26"/>
        <v>Osi.TemplateAddTo("de0e16f6-6dbb-4edd-8ba5-106486b05552", GetHostCharacter(), 1, 1);</v>
      </c>
      <c r="E389" s="15"/>
    </row>
    <row r="390">
      <c r="A390" s="21" t="str">
        <f>HYPERLINK("https://bg3.wiki/wiki/Steelforged_Sword", "Steelforged Sword")</f>
        <v>Steelforged Sword</v>
      </c>
      <c r="B390" s="22" t="s">
        <v>17</v>
      </c>
      <c r="C390" s="23" t="s">
        <v>378</v>
      </c>
      <c r="D390" s="24" t="str">
        <f t="shared" si="26"/>
        <v>Osi.TemplateAddTo("65b41886-823d-416b-b53e-c332a3aad530", GetHostCharacter(), 1, 1);</v>
      </c>
      <c r="E390" s="15"/>
    </row>
    <row r="391">
      <c r="A391" s="21" t="str">
        <f>HYPERLINK("https://bg3.wiki/wiki/Sword_of_Clutching_Umbra", "Sword of Clutching Umbra")</f>
        <v>Sword of Clutching Umbra</v>
      </c>
      <c r="B391" s="22" t="s">
        <v>24</v>
      </c>
      <c r="C391" s="23" t="s">
        <v>379</v>
      </c>
      <c r="D391" s="24" t="str">
        <f t="shared" si="26"/>
        <v>Osi.TemplateAddTo("82afffba-16cb-47ff-8520-bac8b9c46ad3", GetHostCharacter(), 1, 1);</v>
      </c>
      <c r="E391" s="15"/>
    </row>
    <row r="392">
      <c r="A392" s="21" t="str">
        <f>HYPERLINK("https://bg3.wiki/wiki/Sword_of_Life_Stealing", "Sword of Life Stealing")</f>
        <v>Sword of Life Stealing</v>
      </c>
      <c r="B392" s="22" t="s">
        <v>19</v>
      </c>
      <c r="C392" s="23" t="s">
        <v>380</v>
      </c>
      <c r="D392" s="24" t="str">
        <f t="shared" si="26"/>
        <v>Osi.TemplateAddTo("2b5243b8-658e-4ff2-bccf-0f39e5c53f3e", GetHostCharacter(), 1, 1);</v>
      </c>
      <c r="E392" s="15"/>
    </row>
    <row r="393">
      <c r="A393" s="21" t="str">
        <f>HYPERLINK("https://bg3.wiki/wiki/The_Baneful", "The Baneful")</f>
        <v>The Baneful</v>
      </c>
      <c r="B393" s="22" t="s">
        <v>24</v>
      </c>
      <c r="C393" s="23" t="s">
        <v>381</v>
      </c>
      <c r="D393" s="24" t="str">
        <f t="shared" si="26"/>
        <v>Osi.TemplateAddTo("3b578a43-222e-480b-8a22-2c424471099f", GetHostCharacter(), 1, 1);</v>
      </c>
      <c r="E393" s="15"/>
    </row>
    <row r="394">
      <c r="A394" s="21" t="str">
        <f>HYPERLINK("https://bg3.wiki/wiki/Trepan", "Trepan")</f>
        <v>Trepan</v>
      </c>
      <c r="B394" s="22" t="s">
        <v>11</v>
      </c>
      <c r="C394" s="23" t="s">
        <v>382</v>
      </c>
      <c r="D394" s="24" t="str">
        <f t="shared" si="26"/>
        <v>Osi.TemplateAddTo("764dcd70-9206-457c-9366-7aa9e3370514", GetHostCharacter(), 1, 1);</v>
      </c>
      <c r="E394" s="15"/>
    </row>
    <row r="395">
      <c r="A395" s="38" t="str">
        <f>HYPERLINK("https://bg3.wiki/wiki/Trepan_(%2B1)", "Trepan (+1)")</f>
        <v>Trepan (+1)</v>
      </c>
      <c r="B395" s="39" t="s">
        <v>17</v>
      </c>
      <c r="C395" s="40" t="s">
        <v>383</v>
      </c>
      <c r="D395" s="41" t="str">
        <f t="shared" si="26"/>
        <v>Osi.TemplateAddTo("8fee8eb3-f16b-4b9a-85a0-d46a9cd4937e", GetHostCharacter(), 1, 1);</v>
      </c>
      <c r="E395" s="15"/>
    </row>
    <row r="396">
      <c r="C396" s="42"/>
    </row>
    <row r="397">
      <c r="A397" s="22" t="s">
        <v>384</v>
      </c>
      <c r="B397" s="22"/>
      <c r="C397" s="23"/>
      <c r="D397" s="22"/>
    </row>
    <row r="398">
      <c r="A398" s="34" t="s">
        <v>7</v>
      </c>
      <c r="B398" s="35" t="s">
        <v>8</v>
      </c>
      <c r="C398" s="35" t="s">
        <v>9</v>
      </c>
      <c r="D398" s="36" t="s">
        <v>10</v>
      </c>
      <c r="E398" s="37"/>
    </row>
    <row r="399">
      <c r="A399" s="21" t="str">
        <f>HYPERLINK("https://bg3.wiki/wiki/Pactbound_Sickle", "Pactbound Sickle")</f>
        <v>Pactbound Sickle</v>
      </c>
      <c r="B399" s="22" t="s">
        <v>11</v>
      </c>
      <c r="C399" s="23" t="s">
        <v>385</v>
      </c>
      <c r="D399" s="24" t="str">
        <f t="shared" ref="D399:D401" si="27">"Osi.TemplateAddTo("""&amp; C399 &amp;""", GetHostCharacter(), 1, 1);"</f>
        <v>Osi.TemplateAddTo("b4941ecd-87ba-497d-a9ec-a270f5301738", GetHostCharacter(), 1, 1);</v>
      </c>
    </row>
    <row r="400">
      <c r="A400" s="21" t="str">
        <f>HYPERLINK("https://bg3.wiki/wiki/Rusty_Sickle", "Rusty Sickle")</f>
        <v>Rusty Sickle</v>
      </c>
      <c r="B400" s="22" t="s">
        <v>11</v>
      </c>
      <c r="C400" s="23" t="s">
        <v>386</v>
      </c>
      <c r="D400" s="24" t="str">
        <f t="shared" si="27"/>
        <v>Osi.TemplateAddTo("1d75dc84-b276-47b0-a0be-a5b25dfcb086", GetHostCharacter(), 1, 1);</v>
      </c>
    </row>
    <row r="401">
      <c r="A401" s="21" t="str">
        <f>HYPERLINK("https://bg3.wiki/wiki/Sickle", "Sickle")</f>
        <v>Sickle</v>
      </c>
      <c r="B401" s="22" t="s">
        <v>11</v>
      </c>
      <c r="C401" s="23" t="s">
        <v>387</v>
      </c>
      <c r="D401" s="24" t="str">
        <f t="shared" si="27"/>
        <v>Osi.TemplateAddTo("50d677ed-3a0e-40e9-8291-ee6823af5672", GetHostCharacter(), 1, 1);</v>
      </c>
    </row>
    <row r="402">
      <c r="A402" s="21" t="str">
        <f>HYPERLINK("https://bg3.wiki/wiki/Sickle_(Redcap)", "Sickle (Redcap)")</f>
        <v>Sickle (Redcap)</v>
      </c>
      <c r="B402" s="22" t="s">
        <v>11</v>
      </c>
      <c r="C402" s="23" t="s">
        <v>158</v>
      </c>
      <c r="D402" s="24"/>
    </row>
    <row r="403">
      <c r="A403" s="21" t="str">
        <f>HYPERLINK("https://bg3.wiki/wiki/Sickle_of_BOOOAL", "Sickle of BOOOAL")</f>
        <v>Sickle of BOOOAL</v>
      </c>
      <c r="B403" s="22" t="s">
        <v>24</v>
      </c>
      <c r="C403" s="23" t="s">
        <v>388</v>
      </c>
      <c r="D403" s="24" t="str">
        <f t="shared" ref="D403:D405" si="28">"Osi.TemplateAddTo("""&amp; C403 &amp;""", GetHostCharacter(), 1, 1);"</f>
        <v>Osi.TemplateAddTo("a07f2e91-e084-4fe5-9dbb-ef7de76a3c0a", GetHostCharacter(), 1, 1);</v>
      </c>
    </row>
    <row r="404">
      <c r="A404" s="21" t="str">
        <f>HYPERLINK("https://bg3.wiki/wiki/Sussur_Sickle", "Sussur Sickle")</f>
        <v>Sussur Sickle</v>
      </c>
      <c r="B404" s="22" t="s">
        <v>24</v>
      </c>
      <c r="C404" s="23" t="s">
        <v>389</v>
      </c>
      <c r="D404" s="24" t="str">
        <f t="shared" si="28"/>
        <v>Osi.TemplateAddTo("6b95bb45-41c3-4954-ac2f-ef1aa169b0b6", GetHostCharacter(), 1, 1);</v>
      </c>
    </row>
    <row r="405">
      <c r="A405" s="38" t="str">
        <f>HYPERLINK("https://bg3.wiki/wiki/Wavemother%27s_Sickle", "Wavemother's Sickle")</f>
        <v>Wavemother's Sickle</v>
      </c>
      <c r="B405" s="39" t="s">
        <v>24</v>
      </c>
      <c r="C405" s="40" t="s">
        <v>390</v>
      </c>
      <c r="D405" s="41" t="str">
        <f t="shared" si="28"/>
        <v>Osi.TemplateAddTo("5b4b10cd-089f-4675-8392-5bfa6749d79c", GetHostCharacter(), 1, 1);</v>
      </c>
    </row>
    <row r="406">
      <c r="C406" s="42"/>
    </row>
    <row r="407">
      <c r="A407" s="22" t="s">
        <v>391</v>
      </c>
      <c r="B407" s="22"/>
      <c r="C407" s="23"/>
      <c r="D407" s="22"/>
    </row>
    <row r="408">
      <c r="A408" s="34" t="s">
        <v>7</v>
      </c>
      <c r="B408" s="35" t="s">
        <v>8</v>
      </c>
      <c r="C408" s="35" t="s">
        <v>9</v>
      </c>
      <c r="D408" s="36" t="s">
        <v>10</v>
      </c>
      <c r="E408" s="37"/>
    </row>
    <row r="409">
      <c r="A409" s="21" t="str">
        <f>HYPERLINK("https://bg3.wiki/wiki/False_Spear_of_the_Night", "False Spear of the Night")</f>
        <v>False Spear of the Night</v>
      </c>
      <c r="B409" s="22" t="s">
        <v>11</v>
      </c>
      <c r="C409" s="23" t="s">
        <v>392</v>
      </c>
      <c r="D409" s="24" t="str">
        <f t="shared" ref="D409:D424" si="29">"Osi.TemplateAddTo("""&amp; C409 &amp;""", GetHostCharacter(), 1, 1);"</f>
        <v>Osi.TemplateAddTo("846c9caf-1099-4e50-bb9d-d628d02a70ad", GetHostCharacter(), 1, 1);</v>
      </c>
    </row>
    <row r="410">
      <c r="A410" s="21" t="str">
        <f>HYPERLINK("https://bg3.wiki/wiki/Infernal_Spear", "Infernal Spear")</f>
        <v>Infernal Spear</v>
      </c>
      <c r="B410" s="22" t="s">
        <v>24</v>
      </c>
      <c r="C410" s="23" t="s">
        <v>393</v>
      </c>
      <c r="D410" s="24" t="str">
        <f t="shared" si="29"/>
        <v>Osi.TemplateAddTo("e8f6c0aa-de5c-45a5-97fd-599addc036f1", GetHostCharacter(), 1, 1);</v>
      </c>
    </row>
    <row r="411">
      <c r="A411" s="21" t="str">
        <f>HYPERLINK("https://bg3.wiki/wiki/Jagged_Spear", "Jagged Spear")</f>
        <v>Jagged Spear</v>
      </c>
      <c r="B411" s="22" t="s">
        <v>17</v>
      </c>
      <c r="C411" s="23" t="s">
        <v>394</v>
      </c>
      <c r="D411" s="24" t="str">
        <f t="shared" si="29"/>
        <v>Osi.TemplateAddTo("1fea9dfa-96a6-43c5-bce8-34452baa073e", GetHostCharacter(), 1, 1);</v>
      </c>
    </row>
    <row r="412">
      <c r="A412" s="21" t="str">
        <f>HYPERLINK("https://bg3.wiki/wiki/Lightning_Jabber", "Lightning Jabber")</f>
        <v>Lightning Jabber</v>
      </c>
      <c r="B412" s="22" t="s">
        <v>17</v>
      </c>
      <c r="C412" s="23" t="s">
        <v>395</v>
      </c>
      <c r="D412" s="24" t="str">
        <f t="shared" si="29"/>
        <v>Osi.TemplateAddTo("5dc55fa5-40df-4e67-ab78-d9320176e614", GetHostCharacter(), 1, 1);</v>
      </c>
    </row>
    <row r="413">
      <c r="A413" s="21" t="str">
        <f>HYPERLINK("https://bg3.wiki/wiki/Makeshift_Spear", "Makeshift Spear")</f>
        <v>Makeshift Spear</v>
      </c>
      <c r="B413" s="22" t="s">
        <v>11</v>
      </c>
      <c r="C413" s="23" t="s">
        <v>396</v>
      </c>
      <c r="D413" s="24" t="str">
        <f t="shared" si="29"/>
        <v>Osi.TemplateAddTo("81b017b5-d185-4026-8871-a053aca8648c", GetHostCharacter(), 1, 1);</v>
      </c>
    </row>
    <row r="414">
      <c r="A414" s="21" t="str">
        <f>HYPERLINK("https://bg3.wiki/wiki/Pitchfork", "Pitchfork")</f>
        <v>Pitchfork</v>
      </c>
      <c r="B414" s="22" t="s">
        <v>11</v>
      </c>
      <c r="C414" s="23" t="s">
        <v>397</v>
      </c>
      <c r="D414" s="24" t="str">
        <f t="shared" si="29"/>
        <v>Osi.TemplateAddTo("c8274575-61a2-43a7-bde0-65a278dde287", GetHostCharacter(), 1, 1);</v>
      </c>
    </row>
    <row r="415">
      <c r="A415" s="21" t="str">
        <f>HYPERLINK("https://bg3.wiki/wiki/Rusty_Spear", "Rusty Spear")</f>
        <v>Rusty Spear</v>
      </c>
      <c r="B415" s="22" t="s">
        <v>11</v>
      </c>
      <c r="C415" s="23" t="s">
        <v>398</v>
      </c>
      <c r="D415" s="24" t="str">
        <f t="shared" si="29"/>
        <v>Osi.TemplateAddTo("86450ec8-d876-457f-92c0-7bb11e8f38f8", GetHostCharacter(), 1, 1);</v>
      </c>
    </row>
    <row r="416">
      <c r="A416" s="21" t="str">
        <f>HYPERLINK("https://bg3.wiki/wiki/Sahuagin_Spear", "Sahuagin Spear")</f>
        <v>Sahuagin Spear</v>
      </c>
      <c r="B416" s="22" t="s">
        <v>11</v>
      </c>
      <c r="C416" s="23" t="s">
        <v>399</v>
      </c>
      <c r="D416" s="24" t="str">
        <f t="shared" si="29"/>
        <v>Osi.TemplateAddTo("b8878c58-e510-4c2f-97f0-da9cc442a75f", GetHostCharacter(), 1, 1);</v>
      </c>
    </row>
    <row r="417">
      <c r="A417" s="21" t="str">
        <f>HYPERLINK("https://bg3.wiki/wiki/Sel%C3%BBne%27s_Spear_of_Night", "Selûne's Spear of Night")</f>
        <v>Selûne's Spear of Night</v>
      </c>
      <c r="B417" s="22" t="s">
        <v>66</v>
      </c>
      <c r="C417" s="23" t="s">
        <v>400</v>
      </c>
      <c r="D417" s="24" t="str">
        <f t="shared" si="29"/>
        <v>Osi.TemplateAddTo("2eeabe97-8f29-4f4f-827e-6cfcd8fd1779", GetHostCharacter(), 1, 1);</v>
      </c>
    </row>
    <row r="418">
      <c r="A418" s="21" t="str">
        <f>HYPERLINK("https://bg3.wiki/wiki/Shar%27s_Spear_of_Evening", "Shar's Spear of Evening")</f>
        <v>Shar's Spear of Evening</v>
      </c>
      <c r="B418" s="22" t="s">
        <v>66</v>
      </c>
      <c r="C418" s="23" t="s">
        <v>401</v>
      </c>
      <c r="D418" s="24" t="str">
        <f t="shared" si="29"/>
        <v>Osi.TemplateAddTo("61f31bf6-47ec-41e1-9385-2f6c26facc87", GetHostCharacter(), 1, 1);</v>
      </c>
    </row>
    <row r="419">
      <c r="A419" s="21" t="str">
        <f>HYPERLINK("https://bg3.wiki/wiki/Spear", "Spear")</f>
        <v>Spear</v>
      </c>
      <c r="B419" s="22" t="s">
        <v>11</v>
      </c>
      <c r="C419" s="23" t="s">
        <v>402</v>
      </c>
      <c r="D419" s="24" t="str">
        <f t="shared" si="29"/>
        <v>Osi.TemplateAddTo("9f0f1c0e-012d-44e1-9b29-86c64d2bf675", GetHostCharacter(), 1, 1);</v>
      </c>
    </row>
    <row r="420">
      <c r="A420" s="21" t="str">
        <f>HYPERLINK("https://bg3.wiki/wiki/Spear_%2B1", "Spear +1")</f>
        <v>Spear +1</v>
      </c>
      <c r="B420" s="22" t="s">
        <v>17</v>
      </c>
      <c r="C420" s="23" t="s">
        <v>403</v>
      </c>
      <c r="D420" s="24" t="str">
        <f t="shared" si="29"/>
        <v>Osi.TemplateAddTo("158e6f29-89e9-4279-8f8f-85078f047225", GetHostCharacter(), 1, 1);</v>
      </c>
    </row>
    <row r="421">
      <c r="A421" s="21" t="str">
        <f>HYPERLINK("https://bg3.wiki/wiki/Spear_%2B2", "Spear +2")</f>
        <v>Spear +2</v>
      </c>
      <c r="B421" s="22" t="s">
        <v>24</v>
      </c>
      <c r="C421" s="23" t="s">
        <v>404</v>
      </c>
      <c r="D421" s="24" t="str">
        <f t="shared" si="29"/>
        <v>Osi.TemplateAddTo("74d9758a-84e9-4244-9ae8-14acee76acb3", GetHostCharacter(), 1, 1);</v>
      </c>
    </row>
    <row r="422">
      <c r="A422" s="21" t="str">
        <f>HYPERLINK("https://bg3.wiki/wiki/Spear_of_Night", "Spear of Night")</f>
        <v>Spear of Night</v>
      </c>
      <c r="B422" s="22" t="s">
        <v>24</v>
      </c>
      <c r="C422" s="23" t="s">
        <v>405</v>
      </c>
      <c r="D422" s="24" t="str">
        <f t="shared" si="29"/>
        <v>Osi.TemplateAddTo("d590884d-55a2-4136-9777-531ee7d53f7e", GetHostCharacter(), 1, 1);</v>
      </c>
    </row>
    <row r="423">
      <c r="A423" s="21" t="str">
        <f>HYPERLINK("https://bg3.wiki/wiki/The_Watcher%27s_Guide", "The Watcher's Guide")</f>
        <v>The Watcher's Guide</v>
      </c>
      <c r="B423" s="22" t="s">
        <v>17</v>
      </c>
      <c r="C423" s="23" t="s">
        <v>406</v>
      </c>
      <c r="D423" s="24" t="str">
        <f t="shared" si="29"/>
        <v>Osi.TemplateAddTo("7fdf8022-629a-4b34-b0c0-3295bfb2903d", GetHostCharacter(), 1, 1);</v>
      </c>
    </row>
    <row r="424">
      <c r="A424" s="38" t="str">
        <f>HYPERLINK("https://bg3.wiki/wiki/Vision_of_the_Absolute", "Vision of the Absolute")</f>
        <v>Vision of the Absolute</v>
      </c>
      <c r="B424" s="39" t="s">
        <v>17</v>
      </c>
      <c r="C424" s="40" t="s">
        <v>407</v>
      </c>
      <c r="D424" s="41" t="str">
        <f t="shared" si="29"/>
        <v>Osi.TemplateAddTo("a2f4c951-7db4-4d60-9888-f2ad50af7110", GetHostCharacter(), 1, 1);</v>
      </c>
    </row>
    <row r="425">
      <c r="C425" s="42"/>
    </row>
    <row r="426">
      <c r="A426" s="22" t="s">
        <v>408</v>
      </c>
      <c r="B426" s="22"/>
      <c r="C426" s="23"/>
      <c r="D426" s="22"/>
    </row>
    <row r="427">
      <c r="A427" s="34" t="s">
        <v>7</v>
      </c>
      <c r="B427" s="35" t="s">
        <v>8</v>
      </c>
      <c r="C427" s="35" t="s">
        <v>9</v>
      </c>
      <c r="D427" s="36" t="s">
        <v>10</v>
      </c>
      <c r="E427" s="37"/>
    </row>
    <row r="428">
      <c r="A428" s="21" t="str">
        <f>HYPERLINK("https://bg3.wiki/wiki/Allandra%27s_Whelm", "Allandra's Whelm")</f>
        <v>Allandra's Whelm</v>
      </c>
      <c r="B428" s="22" t="s">
        <v>24</v>
      </c>
      <c r="C428" s="23" t="s">
        <v>409</v>
      </c>
      <c r="D428" s="24" t="str">
        <f t="shared" ref="D428:D437" si="30">"Osi.TemplateAddTo("""&amp; C428 &amp;""", GetHostCharacter(), 1, 1);"</f>
        <v>Osi.TemplateAddTo("503d3d60-8798-4c65-bec1-347392733c86", GetHostCharacter(), 1, 1);</v>
      </c>
    </row>
    <row r="429">
      <c r="A429" s="21" t="str">
        <f>HYPERLINK("https://bg3.wiki/wiki/Nyrulna", "Nyrulna")</f>
        <v>Nyrulna</v>
      </c>
      <c r="B429" s="22" t="s">
        <v>66</v>
      </c>
      <c r="C429" s="23" t="s">
        <v>410</v>
      </c>
      <c r="D429" s="24" t="str">
        <f t="shared" si="30"/>
        <v>Osi.TemplateAddTo("daf0be7f-87d9-448a-b94e-471ffec40ac5", GetHostCharacter(), 1, 1);</v>
      </c>
    </row>
    <row r="430">
      <c r="A430" s="21" t="str">
        <f>HYPERLINK("https://bg3.wiki/wiki/Pactbound_Trident", "Pactbound Trident")</f>
        <v>Pactbound Trident</v>
      </c>
      <c r="B430" s="22" t="s">
        <v>11</v>
      </c>
      <c r="C430" s="23" t="s">
        <v>411</v>
      </c>
      <c r="D430" s="24" t="str">
        <f t="shared" si="30"/>
        <v>Osi.TemplateAddTo("fd1b4c45-e2df-4add-bc56-697d0339c4bd", GetHostCharacter(), 1, 1);</v>
      </c>
    </row>
    <row r="431">
      <c r="A431" s="21" t="str">
        <f>HYPERLINK("https://bg3.wiki/wiki/Rusty_Trident", "Rusty Trident")</f>
        <v>Rusty Trident</v>
      </c>
      <c r="B431" s="22" t="s">
        <v>11</v>
      </c>
      <c r="C431" s="23" t="s">
        <v>412</v>
      </c>
      <c r="D431" s="24" t="str">
        <f t="shared" si="30"/>
        <v>Osi.TemplateAddTo("27ef84b1-ea40-4f06-a013-f6281511f0e9", GetHostCharacter(), 1, 1);</v>
      </c>
    </row>
    <row r="432">
      <c r="A432" s="21" t="str">
        <f>HYPERLINK("https://bg3.wiki/wiki/The_Sparky_Points", "The Sparky Points")</f>
        <v>The Sparky Points</v>
      </c>
      <c r="B432" s="22" t="s">
        <v>24</v>
      </c>
      <c r="C432" s="23" t="s">
        <v>413</v>
      </c>
      <c r="D432" s="24" t="str">
        <f t="shared" si="30"/>
        <v>Osi.TemplateAddTo("cfdc8fdc-9f59-415f-8098-70035585eadb", GetHostCharacter(), 1, 1);</v>
      </c>
    </row>
    <row r="433">
      <c r="A433" s="21" t="str">
        <f>HYPERLINK("https://bg3.wiki/wiki/Trident", "Trident")</f>
        <v>Trident</v>
      </c>
      <c r="B433" s="22" t="s">
        <v>11</v>
      </c>
      <c r="C433" s="23" t="s">
        <v>414</v>
      </c>
      <c r="D433" s="24" t="str">
        <f t="shared" si="30"/>
        <v>Osi.TemplateAddTo("d3807461-7c32-44ae-9aba-49ef4d3bf35e", GetHostCharacter(), 1, 1);</v>
      </c>
    </row>
    <row r="434">
      <c r="A434" s="21" t="str">
        <f>HYPERLINK("https://bg3.wiki/wiki/Trident_%2B1", "Trident +1")</f>
        <v>Trident +1</v>
      </c>
      <c r="B434" s="22" t="s">
        <v>17</v>
      </c>
      <c r="C434" s="23" t="s">
        <v>415</v>
      </c>
      <c r="D434" s="24" t="str">
        <f t="shared" si="30"/>
        <v>Osi.TemplateAddTo("2fab5801-76b1-4669-95d9-7df76bed12dd", GetHostCharacter(), 1, 1);</v>
      </c>
    </row>
    <row r="435">
      <c r="A435" s="21" t="str">
        <f>HYPERLINK("https://bg3.wiki/wiki/Trident_%2B2", "Trident +2")</f>
        <v>Trident +2</v>
      </c>
      <c r="B435" s="22" t="s">
        <v>24</v>
      </c>
      <c r="C435" s="23" t="s">
        <v>416</v>
      </c>
      <c r="D435" s="24" t="str">
        <f t="shared" si="30"/>
        <v>Osi.TemplateAddTo("6cf827d6-5bae-480a-a1b4-d7fdb0e68801", GetHostCharacter(), 1, 1);</v>
      </c>
    </row>
    <row r="436">
      <c r="A436" s="21" t="str">
        <f>HYPERLINK("https://bg3.wiki/wiki/Trident_of_the_Depths", "Trident of the Depths")</f>
        <v>Trident of the Depths</v>
      </c>
      <c r="B436" s="22" t="s">
        <v>11</v>
      </c>
      <c r="C436" s="23" t="s">
        <v>417</v>
      </c>
      <c r="D436" s="24" t="str">
        <f t="shared" si="30"/>
        <v>Osi.TemplateAddTo("ba86b029-9232-4ad2-9e2d-9edcdd1d728b", GetHostCharacter(), 1, 1);</v>
      </c>
    </row>
    <row r="437">
      <c r="A437" s="38" t="str">
        <f>HYPERLINK("https://bg3.wiki/wiki/Trident_of_the_Waves", "Trident of the Waves")</f>
        <v>Trident of the Waves</v>
      </c>
      <c r="B437" s="39" t="s">
        <v>19</v>
      </c>
      <c r="C437" s="40" t="s">
        <v>418</v>
      </c>
      <c r="D437" s="41" t="str">
        <f t="shared" si="30"/>
        <v>Osi.TemplateAddTo("657678f2-5924-4d8e-b8ce-a2079154c91b", GetHostCharacter(), 1, 1);</v>
      </c>
    </row>
    <row r="438">
      <c r="C438" s="42"/>
    </row>
    <row r="439">
      <c r="A439" s="22" t="s">
        <v>419</v>
      </c>
      <c r="B439" s="22"/>
      <c r="C439" s="23"/>
      <c r="D439" s="22"/>
    </row>
    <row r="440">
      <c r="A440" s="34" t="s">
        <v>7</v>
      </c>
      <c r="B440" s="35" t="s">
        <v>8</v>
      </c>
      <c r="C440" s="35" t="s">
        <v>9</v>
      </c>
      <c r="D440" s="36" t="s">
        <v>10</v>
      </c>
      <c r="E440" s="37"/>
    </row>
    <row r="441">
      <c r="A441" s="21" t="str">
        <f>HYPERLINK("https://bg3.wiki/wiki/Deep_Delver", "Deep Delver")</f>
        <v>Deep Delver</v>
      </c>
      <c r="B441" s="22" t="s">
        <v>17</v>
      </c>
      <c r="C441" s="23" t="s">
        <v>420</v>
      </c>
      <c r="D441" s="24" t="str">
        <f t="shared" ref="D441:D445" si="31">"Osi.TemplateAddTo("""&amp; C441 &amp;""", GetHostCharacter(), 1, 1);"</f>
        <v>Osi.TemplateAddTo("a42bf0f7-3a78-4aae-b94f-ed92a89e847c", GetHostCharacter(), 1, 1);</v>
      </c>
    </row>
    <row r="442">
      <c r="A442" s="21" t="str">
        <f>HYPERLINK("https://bg3.wiki/wiki/Hoppy", "Hoppy")</f>
        <v>Hoppy</v>
      </c>
      <c r="B442" s="22" t="s">
        <v>17</v>
      </c>
      <c r="C442" s="23" t="s">
        <v>421</v>
      </c>
      <c r="D442" s="24" t="str">
        <f t="shared" si="31"/>
        <v>Osi.TemplateAddTo("1a0860bf-aa35-4ac4-b98b-2f9fb04426bd", GetHostCharacter(), 1, 1);</v>
      </c>
    </row>
    <row r="443">
      <c r="A443" s="21" t="str">
        <f>HYPERLINK("https://bg3.wiki/wiki/Pickaxe", "Pickaxe")</f>
        <v>Pickaxe</v>
      </c>
      <c r="B443" s="22" t="s">
        <v>11</v>
      </c>
      <c r="C443" s="23" t="s">
        <v>422</v>
      </c>
      <c r="D443" s="24" t="str">
        <f t="shared" si="31"/>
        <v>Osi.TemplateAddTo("8693aa7e-cd47-4990-80e7-51041f036400", GetHostCharacter(), 1, 1);</v>
      </c>
    </row>
    <row r="444">
      <c r="A444" s="21" t="str">
        <f>HYPERLINK("https://bg3.wiki/wiki/War_Pick", "War Pick")</f>
        <v>War Pick</v>
      </c>
      <c r="B444" s="22" t="s">
        <v>11</v>
      </c>
      <c r="C444" s="23" t="s">
        <v>423</v>
      </c>
      <c r="D444" s="24" t="str">
        <f t="shared" si="31"/>
        <v>Osi.TemplateAddTo("a088775a-8f75-42f2-aa74-76a3f80701fa", GetHostCharacter(), 1, 1);</v>
      </c>
    </row>
    <row r="445">
      <c r="A445" s="38" t="str">
        <f>HYPERLINK("https://bg3.wiki/wiki/War_Pick_%2B1", "War Pick +1")</f>
        <v>War Pick +1</v>
      </c>
      <c r="B445" s="39" t="s">
        <v>17</v>
      </c>
      <c r="C445" s="40" t="s">
        <v>424</v>
      </c>
      <c r="D445" s="41" t="str">
        <f t="shared" si="31"/>
        <v>Osi.TemplateAddTo("75586d3e-21b2-4d94-ac99-99a6b0e8c3dd", GetHostCharacter(), 1, 1);</v>
      </c>
    </row>
    <row r="446">
      <c r="C446" s="42"/>
    </row>
    <row r="447">
      <c r="A447" s="22" t="s">
        <v>425</v>
      </c>
      <c r="B447" s="22"/>
      <c r="C447" s="23"/>
      <c r="D447" s="22"/>
    </row>
    <row r="448">
      <c r="A448" s="34" t="s">
        <v>7</v>
      </c>
      <c r="B448" s="35" t="s">
        <v>8</v>
      </c>
      <c r="C448" s="35" t="s">
        <v>9</v>
      </c>
      <c r="D448" s="36" t="s">
        <v>10</v>
      </c>
      <c r="E448" s="37"/>
    </row>
    <row r="449">
      <c r="A449" s="21" t="str">
        <f>HYPERLINK("https://bg3.wiki/wiki/Azer_Warhammer", "Azer Warhammer")</f>
        <v>Azer Warhammer</v>
      </c>
      <c r="B449" s="22" t="s">
        <v>11</v>
      </c>
      <c r="C449" s="23" t="s">
        <v>426</v>
      </c>
      <c r="D449" s="24" t="str">
        <f t="shared" ref="D449:D463" si="32">"Osi.TemplateAddTo("""&amp; C449 &amp;""", GetHostCharacter(), 1, 1);"</f>
        <v>Osi.TemplateAddTo("22baa548-56a4-494c-a9d0-4880d6f1da91", GetHostCharacter(), 1, 1);</v>
      </c>
    </row>
    <row r="450">
      <c r="A450" s="21" t="str">
        <f>HYPERLINK("https://bg3.wiki/wiki/Ceremonial_Warhammer", "Ceremonial Warhammer")</f>
        <v>Ceremonial Warhammer</v>
      </c>
      <c r="B450" s="22" t="s">
        <v>17</v>
      </c>
      <c r="C450" s="23" t="s">
        <v>427</v>
      </c>
      <c r="D450" s="24" t="str">
        <f t="shared" si="32"/>
        <v>Osi.TemplateAddTo("3e1b3db9-036e-4931-ab92-c3730a1c3d5f", GetHostCharacter(), 1, 1);</v>
      </c>
    </row>
    <row r="451">
      <c r="A451" s="21" t="str">
        <f>HYPERLINK("https://bg3.wiki/wiki/Charge-Bound_Warhammer", "Charge-Bound Warhammer")</f>
        <v>Charge-Bound Warhammer</v>
      </c>
      <c r="B451" s="22" t="s">
        <v>24</v>
      </c>
      <c r="C451" s="23" t="s">
        <v>428</v>
      </c>
      <c r="D451" s="24" t="str">
        <f t="shared" si="32"/>
        <v>Osi.TemplateAddTo("50940e05-ba59-4569-a71f-79af34b605a8", GetHostCharacter(), 1, 1);</v>
      </c>
    </row>
    <row r="452">
      <c r="A452" s="21" t="str">
        <f>HYPERLINK("https://bg3.wiki/wiki/Clown_Hammer", "Clown Hammer")</f>
        <v>Clown Hammer</v>
      </c>
      <c r="B452" s="22" t="s">
        <v>24</v>
      </c>
      <c r="C452" s="23" t="s">
        <v>429</v>
      </c>
      <c r="D452" s="24" t="str">
        <f t="shared" si="32"/>
        <v>Osi.TemplateAddTo("72207448-c6b6-42fc-b9ef-a34fdd3c1265", GetHostCharacter(), 1, 1);</v>
      </c>
    </row>
    <row r="453">
      <c r="A453" s="21" t="str">
        <f>HYPERLINK("https://bg3.wiki/wiki/Dwarven_Thrower", "Dwarven Thrower")</f>
        <v>Dwarven Thrower</v>
      </c>
      <c r="B453" s="22" t="s">
        <v>19</v>
      </c>
      <c r="C453" s="23" t="s">
        <v>430</v>
      </c>
      <c r="D453" s="24" t="str">
        <f t="shared" si="32"/>
        <v>Osi.TemplateAddTo("596202a9-7d6b-4bcf-8748-dbf6aa55b002", GetHostCharacter(), 1, 1);</v>
      </c>
    </row>
    <row r="454">
      <c r="A454" s="21" t="str">
        <f>HYPERLINK("https://bg3.wiki/wiki/Faithbreaker", "Faithbreaker")</f>
        <v>Faithbreaker</v>
      </c>
      <c r="B454" s="22" t="s">
        <v>17</v>
      </c>
      <c r="C454" s="23" t="s">
        <v>431</v>
      </c>
      <c r="D454" s="24" t="str">
        <f t="shared" si="32"/>
        <v>Osi.TemplateAddTo("37a29c63-3fcd-43bd-8021-c363dcc852bc", GetHostCharacter(), 1, 1);</v>
      </c>
    </row>
    <row r="455">
      <c r="A455" s="21" t="str">
        <f>HYPERLINK("https://bg3.wiki/wiki/Hammer_of_the_Just", "Hammer of the Just")</f>
        <v>Hammer of the Just</v>
      </c>
      <c r="B455" s="22" t="s">
        <v>24</v>
      </c>
      <c r="C455" s="23" t="s">
        <v>432</v>
      </c>
      <c r="D455" s="24" t="str">
        <f t="shared" si="32"/>
        <v>Osi.TemplateAddTo("d0b0b019-5954-4e80-97f5-4206ac1bc0db", GetHostCharacter(), 1, 1);</v>
      </c>
    </row>
    <row r="456">
      <c r="A456" s="21" t="str">
        <f>HYPERLINK("https://bg3.wiki/wiki/Infernal_Warhammer", "Infernal Warhammer")</f>
        <v>Infernal Warhammer</v>
      </c>
      <c r="B456" s="22" t="s">
        <v>24</v>
      </c>
      <c r="C456" s="23" t="s">
        <v>433</v>
      </c>
      <c r="D456" s="24" t="str">
        <f t="shared" si="32"/>
        <v>Osi.TemplateAddTo("855f49c9-5724-4df9-a23d-0af82116af76", GetHostCharacter(), 1, 1);</v>
      </c>
    </row>
    <row r="457">
      <c r="A457" s="21" t="str">
        <f>HYPERLINK("https://bg3.wiki/wiki/Intransigent_Warhammer", "Intransigent Warhammer")</f>
        <v>Intransigent Warhammer</v>
      </c>
      <c r="B457" s="22" t="s">
        <v>17</v>
      </c>
      <c r="C457" s="23" t="s">
        <v>434</v>
      </c>
      <c r="D457" s="24" t="str">
        <f t="shared" si="32"/>
        <v>Osi.TemplateAddTo("4d1f9bce-1884-47d0-a420-69417f397139", GetHostCharacter(), 1, 1);</v>
      </c>
    </row>
    <row r="458">
      <c r="A458" s="21" t="str">
        <f>HYPERLINK("https://bg3.wiki/wiki/Ketheric%27s_Warhammer", "Ketheric's Warhammer")</f>
        <v>Ketheric's Warhammer</v>
      </c>
      <c r="B458" s="22" t="s">
        <v>24</v>
      </c>
      <c r="C458" s="23" t="s">
        <v>435</v>
      </c>
      <c r="D458" s="24" t="str">
        <f t="shared" si="32"/>
        <v>Osi.TemplateAddTo("1f8252a3-3227-48a3-b500-996e571cac68", GetHostCharacter(), 1, 1);</v>
      </c>
    </row>
    <row r="459">
      <c r="A459" s="21" t="str">
        <f>HYPERLINK("https://bg3.wiki/wiki/Orphic_Hammer", "Orphic Hammer")</f>
        <v>Orphic Hammer</v>
      </c>
      <c r="B459" s="22" t="s">
        <v>55</v>
      </c>
      <c r="C459" s="23" t="s">
        <v>436</v>
      </c>
      <c r="D459" s="24" t="str">
        <f t="shared" si="32"/>
        <v>Osi.TemplateAddTo("9ff968d4-08ff-4da1-a288-959ac8d7abe1", GetHostCharacter(), 1, 1);</v>
      </c>
    </row>
    <row r="460">
      <c r="A460" s="21" t="str">
        <f>HYPERLINK("https://bg3.wiki/wiki/Pactbound_Warhammer", "Pactbound Warhammer")</f>
        <v>Pactbound Warhammer</v>
      </c>
      <c r="B460" s="22" t="s">
        <v>11</v>
      </c>
      <c r="C460" s="23" t="s">
        <v>437</v>
      </c>
      <c r="D460" s="24" t="str">
        <f t="shared" si="32"/>
        <v>Osi.TemplateAddTo("fdaf8461-4d1a-4364-8d7d-4dd9ce824a1e", GetHostCharacter(), 1, 1);</v>
      </c>
    </row>
    <row r="461">
      <c r="A461" s="21" t="str">
        <f>HYPERLINK("https://bg3.wiki/wiki/Warhammer", "Warhammer")</f>
        <v>Warhammer</v>
      </c>
      <c r="B461" s="22" t="s">
        <v>11</v>
      </c>
      <c r="C461" s="23" t="s">
        <v>438</v>
      </c>
      <c r="D461" s="24" t="str">
        <f t="shared" si="32"/>
        <v>Osi.TemplateAddTo("6b17998d-2e79-405d-8b1f-beb53658312f", GetHostCharacter(), 1, 1);</v>
      </c>
    </row>
    <row r="462">
      <c r="A462" s="21" t="str">
        <f>HYPERLINK("https://bg3.wiki/wiki/Warhammer_%2B1", "Warhammer +1")</f>
        <v>Warhammer +1</v>
      </c>
      <c r="B462" s="22" t="s">
        <v>17</v>
      </c>
      <c r="C462" s="23" t="s">
        <v>427</v>
      </c>
      <c r="D462" s="24" t="str">
        <f t="shared" si="32"/>
        <v>Osi.TemplateAddTo("3e1b3db9-036e-4931-ab92-c3730a1c3d5f", GetHostCharacter(), 1, 1);</v>
      </c>
    </row>
    <row r="463">
      <c r="A463" s="38" t="str">
        <f>HYPERLINK("https://bg3.wiki/wiki/Warhammer_%2B2", "Warhammer +2")</f>
        <v>Warhammer +2</v>
      </c>
      <c r="B463" s="39" t="s">
        <v>24</v>
      </c>
      <c r="C463" s="40" t="s">
        <v>439</v>
      </c>
      <c r="D463" s="41" t="str">
        <f t="shared" si="32"/>
        <v>Osi.TemplateAddTo("e6b027a7-40bb-445e-b199-38b08d2b4832", GetHostCharacter(), 1, 1);</v>
      </c>
    </row>
    <row r="464">
      <c r="C464" s="42"/>
    </row>
    <row r="465">
      <c r="A465" s="22" t="s">
        <v>440</v>
      </c>
      <c r="B465" s="22"/>
      <c r="C465" s="23"/>
      <c r="D465" s="22"/>
    </row>
    <row r="466">
      <c r="A466" s="34" t="s">
        <v>7</v>
      </c>
      <c r="B466" s="35" t="s">
        <v>8</v>
      </c>
      <c r="C466" s="46" t="s">
        <v>9</v>
      </c>
      <c r="D466" s="36" t="s">
        <v>10</v>
      </c>
      <c r="E466" s="37"/>
    </row>
    <row r="467">
      <c r="A467" s="21" t="str">
        <f>HYPERLINK("https://bg3.wiki/wiki/Acid_Vial", "Acid Vial")</f>
        <v>Acid Vial</v>
      </c>
      <c r="B467" s="22" t="s">
        <v>11</v>
      </c>
      <c r="C467" s="47" t="s">
        <v>441</v>
      </c>
      <c r="D467" s="24" t="str">
        <f t="shared" ref="D467:D469" si="33">"Osi.TemplateAddTo("""&amp; C467 &amp;""", GetHostCharacter(), 1, 1);"</f>
        <v>Osi.TemplateAddTo("3850ec1a-d951-45b7-9363-dc82e20bd28a", GetHostCharacter(), 1, 1);</v>
      </c>
    </row>
    <row r="468">
      <c r="A468" s="21" t="str">
        <f>HYPERLINK("https://bg3.wiki/wiki/Alchemist%27s_Fire", "Alchemist's Fire")</f>
        <v>Alchemist's Fire</v>
      </c>
      <c r="B468" s="22" t="s">
        <v>11</v>
      </c>
      <c r="C468" s="47" t="s">
        <v>442</v>
      </c>
      <c r="D468" s="24" t="str">
        <f t="shared" si="33"/>
        <v>Osi.TemplateAddTo("0b1aa718-fe45-4e4c-8811-ced51c581075", GetHostCharacter(), 1, 1);</v>
      </c>
    </row>
    <row r="469">
      <c r="A469" s="21" t="str">
        <f>HYPERLINK("https://bg3.wiki/wiki/Brilliant_Retort", "Brilliant Retort")</f>
        <v>Brilliant Retort</v>
      </c>
      <c r="B469" s="22" t="s">
        <v>24</v>
      </c>
      <c r="C469" s="47" t="s">
        <v>443</v>
      </c>
      <c r="D469" s="24" t="str">
        <f t="shared" si="33"/>
        <v>Osi.TemplateAddTo("11f7c9b6-6210-44f2-ae59-2f61f6ad7563", GetHostCharacter(), 1, 1);</v>
      </c>
    </row>
    <row r="470">
      <c r="A470" s="21" t="str">
        <f>HYPERLINK("https://bg3.wiki/wiki/Bubbling_Cauldron", "Bubbling Cauldron")</f>
        <v>Bubbling Cauldron</v>
      </c>
      <c r="B470" s="22" t="s">
        <v>444</v>
      </c>
      <c r="C470" s="47" t="s">
        <v>158</v>
      </c>
      <c r="D470" s="24"/>
    </row>
    <row r="471">
      <c r="A471" s="21" t="str">
        <f>HYPERLINK("https://bg3.wiki/wiki/Caustic_Bulb", "Caustic Bulb")</f>
        <v>Caustic Bulb</v>
      </c>
      <c r="B471" s="22" t="s">
        <v>11</v>
      </c>
      <c r="C471" s="47" t="s">
        <v>445</v>
      </c>
      <c r="D471" s="24" t="str">
        <f t="shared" ref="D471:D484" si="34">"Osi.TemplateAddTo("""&amp; C471 &amp;""", GetHostCharacter(), 1, 1);"</f>
        <v>Osi.TemplateAddTo("1fd5d25c-806e-44ea-9f52-20df63a44e98", GetHostCharacter(), 1, 1);</v>
      </c>
    </row>
    <row r="472">
      <c r="A472" s="21" t="str">
        <f>HYPERLINK("https://bg3.wiki/wiki/Concussion_Grenade", "Concussion Grenade")</f>
        <v>Concussion Grenade</v>
      </c>
      <c r="B472" s="22" t="s">
        <v>11</v>
      </c>
      <c r="C472" s="47" t="s">
        <v>446</v>
      </c>
      <c r="D472" s="24" t="str">
        <f t="shared" si="34"/>
        <v>Osi.TemplateAddTo("98f2cb6a-e268-4f99-aac3-62edabd8774c", GetHostCharacter(), 1, 1);</v>
      </c>
    </row>
    <row r="473">
      <c r="A473" s="21" t="str">
        <f>HYPERLINK("https://bg3.wiki/wiki/Flammable_Slime_Bomb", "Flammable Slime Bomb")</f>
        <v>Flammable Slime Bomb</v>
      </c>
      <c r="B473" s="22" t="s">
        <v>11</v>
      </c>
      <c r="C473" s="47" t="s">
        <v>447</v>
      </c>
      <c r="D473" s="24" t="str">
        <f t="shared" si="34"/>
        <v>Osi.TemplateAddTo("a0b56e94-bd59-4cfd-af1b-bb07ff95f931", GetHostCharacter(), 1, 1);</v>
      </c>
    </row>
    <row r="474">
      <c r="A474" s="21" t="str">
        <f>HYPERLINK("https://bg3.wiki/wiki/Flashblinder", "Flashblinder")</f>
        <v>Flashblinder</v>
      </c>
      <c r="B474" s="22" t="s">
        <v>19</v>
      </c>
      <c r="C474" s="47" t="s">
        <v>448</v>
      </c>
      <c r="D474" s="24" t="str">
        <f t="shared" si="34"/>
        <v>Osi.TemplateAddTo("5e282d02-6a10-44cb-9737-9d52aab0701c", GetHostCharacter(), 1, 1);</v>
      </c>
    </row>
    <row r="475">
      <c r="A475" s="21" t="str">
        <f>HYPERLINK("https://bg3.wiki/wiki/Fungal_Bamboozler", "Fungal Bamboozler")</f>
        <v>Fungal Bamboozler</v>
      </c>
      <c r="B475" s="22" t="s">
        <v>17</v>
      </c>
      <c r="C475" s="47" t="s">
        <v>449</v>
      </c>
      <c r="D475" s="24" t="str">
        <f t="shared" si="34"/>
        <v>Osi.TemplateAddTo("cbc47f2b-b88a-4bd8-99cd-aacc2dc2ea44", GetHostCharacter(), 1, 1);</v>
      </c>
    </row>
    <row r="476">
      <c r="A476" s="21" t="str">
        <f>HYPERLINK("https://bg3.wiki/wiki/Grease_Bottle", "Grease Bottle")</f>
        <v>Grease Bottle</v>
      </c>
      <c r="B476" s="22" t="s">
        <v>11</v>
      </c>
      <c r="C476" s="47" t="s">
        <v>450</v>
      </c>
      <c r="D476" s="24" t="str">
        <f t="shared" si="34"/>
        <v>Osi.TemplateAddTo("e2968a2e-bc83-4d50-99ef-39ce78d2d630", GetHostCharacter(), 1, 1);</v>
      </c>
    </row>
    <row r="477">
      <c r="A477" s="21" t="str">
        <f>HYPERLINK("https://bg3.wiki/wiki/Hag%27s_Bane", "Hag's Bane")</f>
        <v>Hag's Bane</v>
      </c>
      <c r="B477" s="22" t="s">
        <v>11</v>
      </c>
      <c r="C477" s="47" t="s">
        <v>451</v>
      </c>
      <c r="D477" s="24" t="str">
        <f t="shared" si="34"/>
        <v>Osi.TemplateAddTo("df5f8cbf-42c5-4c0d-a0ec-ce5046474d8e", GetHostCharacter(), 1, 1);</v>
      </c>
    </row>
    <row r="478">
      <c r="A478" s="21" t="str">
        <f>HYPERLINK("https://bg3.wiki/wiki/Haste_Spore_Flask", "Haste Spore Flask")</f>
        <v>Haste Spore Flask</v>
      </c>
      <c r="B478" s="22" t="s">
        <v>11</v>
      </c>
      <c r="C478" s="47" t="s">
        <v>452</v>
      </c>
      <c r="D478" s="24" t="str">
        <f t="shared" si="34"/>
        <v>Osi.TemplateAddTo("b09296f1-2bc3-422e-8735-c13e83ac8801", GetHostCharacter(), 1, 1);</v>
      </c>
    </row>
    <row r="479">
      <c r="A479" s="21" t="str">
        <f>HYPERLINK("https://bg3.wiki/wiki/Haste_Spore_Grenade", "Haste Spore Grenade")</f>
        <v>Haste Spore Grenade</v>
      </c>
      <c r="B479" s="22" t="s">
        <v>17</v>
      </c>
      <c r="C479" s="47" t="s">
        <v>453</v>
      </c>
      <c r="D479" s="24" t="str">
        <f t="shared" si="34"/>
        <v>Osi.TemplateAddTo("6008231b-9f5a-44f6-8050-14586b7626fd", GetHostCharacter(), 1, 1);</v>
      </c>
    </row>
    <row r="480">
      <c r="A480" s="21" t="str">
        <f>HYPERLINK("https://bg3.wiki/wiki/Hearthlight_Bomb", "Hearthlight Bomb")</f>
        <v>Hearthlight Bomb</v>
      </c>
      <c r="B480" s="22" t="s">
        <v>11</v>
      </c>
      <c r="C480" s="47" t="s">
        <v>454</v>
      </c>
      <c r="D480" s="24" t="str">
        <f t="shared" si="34"/>
        <v>Osi.TemplateAddTo("c3236e6e-21e4-4e39-a5b4-fda105d8ce3f", GetHostCharacter(), 1, 1);</v>
      </c>
    </row>
    <row r="481">
      <c r="A481" s="21" t="str">
        <f>HYPERLINK("https://bg3.wiki/wiki/Holy_Water", "Holy Water")</f>
        <v>Holy Water</v>
      </c>
      <c r="B481" s="22" t="s">
        <v>11</v>
      </c>
      <c r="C481" s="47" t="s">
        <v>455</v>
      </c>
      <c r="D481" s="24" t="str">
        <f t="shared" si="34"/>
        <v>Osi.TemplateAddTo("b878380f-7248-4b06-83f8-2d26055497c8", GetHostCharacter(), 1, 1);</v>
      </c>
    </row>
    <row r="482">
      <c r="A482" s="21" t="str">
        <f>HYPERLINK("https://bg3.wiki/wiki/Iron_Flask", "Iron Flask")</f>
        <v>Iron Flask</v>
      </c>
      <c r="B482" s="22" t="s">
        <v>55</v>
      </c>
      <c r="C482" s="47" t="s">
        <v>456</v>
      </c>
      <c r="D482" s="24" t="str">
        <f t="shared" si="34"/>
        <v>Osi.TemplateAddTo("369c04b5-992b-4bde-8451-1eac0a3376ea", GetHostCharacter(), 1, 1);</v>
      </c>
    </row>
    <row r="483">
      <c r="A483" s="21" t="str">
        <f>HYPERLINK("https://bg3.wiki/wiki/Jug_of_Water", "Jug of Water")</f>
        <v>Jug of Water</v>
      </c>
      <c r="B483" s="22" t="s">
        <v>11</v>
      </c>
      <c r="C483" s="47" t="s">
        <v>457</v>
      </c>
      <c r="D483" s="24" t="str">
        <f t="shared" si="34"/>
        <v>Osi.TemplateAddTo("cb2e851f-8a75-4899-b705-0f079e8e55bc", GetHostCharacter(), 1, 1);</v>
      </c>
    </row>
    <row r="484">
      <c r="A484" s="21" t="str">
        <f>HYPERLINK("https://bg3.wiki/wiki/Karabasan%27s_Gift", "Karabasan's Gift")</f>
        <v>Karabasan's Gift</v>
      </c>
      <c r="B484" s="22" t="s">
        <v>24</v>
      </c>
      <c r="C484" s="47" t="s">
        <v>458</v>
      </c>
      <c r="D484" s="24" t="str">
        <f t="shared" si="34"/>
        <v>Osi.TemplateAddTo("ac9e04d9-c43c-45f2-9922-a17675ef98b5", GetHostCharacter(), 1, 1);</v>
      </c>
    </row>
    <row r="485">
      <c r="A485" s="21" t="str">
        <f>HYPERLINK("https://bg3.wiki/wiki/Merregon_Potion", "Merregon Potion")</f>
        <v>Merregon Potion</v>
      </c>
      <c r="B485" s="22" t="s">
        <v>17</v>
      </c>
      <c r="C485" s="47" t="s">
        <v>158</v>
      </c>
      <c r="D485" s="24"/>
    </row>
    <row r="486">
      <c r="A486" s="21" t="str">
        <f>HYPERLINK("https://bg3.wiki/wiki/Noxious_Spore_Grenade", "Noxious Spore Grenade")</f>
        <v>Noxious Spore Grenade</v>
      </c>
      <c r="B486" s="22" t="s">
        <v>17</v>
      </c>
      <c r="C486" s="47" t="s">
        <v>459</v>
      </c>
      <c r="D486" s="24" t="str">
        <f t="shared" ref="D486:D501" si="35">"Osi.TemplateAddTo("""&amp; C486 &amp;""", GetHostCharacter(), 1, 1);"</f>
        <v>Osi.TemplateAddTo("9320005f-18c6-4c2b-be7f-e168d3b15573", GetHostCharacter(), 1, 1);</v>
      </c>
    </row>
    <row r="487">
      <c r="A487" s="21" t="str">
        <f>HYPERLINK("https://bg3.wiki/wiki/Oil_Flask", "Oil Flask")</f>
        <v>Oil Flask</v>
      </c>
      <c r="B487" s="22" t="s">
        <v>11</v>
      </c>
      <c r="C487" s="47" t="s">
        <v>460</v>
      </c>
      <c r="D487" s="24" t="str">
        <f t="shared" si="35"/>
        <v>Osi.TemplateAddTo("91947f48-4368-4794-8429-2f57172dc53d", GetHostCharacter(), 1, 1);</v>
      </c>
    </row>
    <row r="488">
      <c r="A488" s="21" t="str">
        <f>HYPERLINK("https://bg3.wiki/wiki/Orthon_Explosive", "Orthon Explosive")</f>
        <v>Orthon Explosive</v>
      </c>
      <c r="B488" s="22" t="s">
        <v>11</v>
      </c>
      <c r="C488" s="47" t="s">
        <v>461</v>
      </c>
      <c r="D488" s="24" t="str">
        <f t="shared" si="35"/>
        <v>Osi.TemplateAddTo("b9eeaebb-9b00-4552-940f-5d829a66e8cb", GetHostCharacter(), 1, 1);</v>
      </c>
    </row>
    <row r="489">
      <c r="A489" s="21" t="str">
        <f>HYPERLINK("https://bg3.wiki/wiki/Orthonic_Handbomb", "Orthonic Handbomb")</f>
        <v>Orthonic Handbomb</v>
      </c>
      <c r="B489" s="22" t="s">
        <v>11</v>
      </c>
      <c r="C489" s="47" t="s">
        <v>462</v>
      </c>
      <c r="D489" s="24" t="str">
        <f t="shared" si="35"/>
        <v>Osi.TemplateAddTo("29d32b36-390f-4fe8-b27b-931393d76c2a", GetHostCharacter(), 1, 1);</v>
      </c>
    </row>
    <row r="490">
      <c r="A490" s="21" t="str">
        <f>HYPERLINK("https://bg3.wiki/wiki/Phase_Optimizer", "Phase Optimizer")</f>
        <v>Phase Optimizer</v>
      </c>
      <c r="B490" s="22" t="s">
        <v>11</v>
      </c>
      <c r="C490" s="47" t="s">
        <v>463</v>
      </c>
      <c r="D490" s="24" t="str">
        <f t="shared" si="35"/>
        <v>Osi.TemplateAddTo("f36d0687-46e4-4899-930e-8f635e50948e", GetHostCharacter(), 1, 1);</v>
      </c>
    </row>
    <row r="491">
      <c r="A491" s="21" t="str">
        <f>HYPERLINK("https://bg3.wiki/wiki/Poisonous_Slime_Bomb", "Poisonous Slime Bomb")</f>
        <v>Poisonous Slime Bomb</v>
      </c>
      <c r="B491" s="22" t="s">
        <v>11</v>
      </c>
      <c r="C491" s="47" t="s">
        <v>464</v>
      </c>
      <c r="D491" s="24" t="str">
        <f t="shared" si="35"/>
        <v>Osi.TemplateAddTo("dfafe6b2-fa8a-49c2-bf93-1966736a7ce9", GetHostCharacter(), 1, 1);</v>
      </c>
    </row>
    <row r="492">
      <c r="A492" s="21" t="str">
        <f>HYPERLINK("https://bg3.wiki/wiki/Reflectoguard", "Reflectoguard")</f>
        <v>Reflectoguard</v>
      </c>
      <c r="B492" s="22" t="s">
        <v>11</v>
      </c>
      <c r="C492" s="47" t="s">
        <v>465</v>
      </c>
      <c r="D492" s="24" t="str">
        <f t="shared" si="35"/>
        <v>Osi.TemplateAddTo("e5544395-3752-463c-80a8-e9b9b7ed1263", GetHostCharacter(), 1, 1);</v>
      </c>
    </row>
    <row r="493">
      <c r="A493" s="21" t="str">
        <f>HYPERLINK("https://bg3.wiki/wiki/Runepowder_Vial", "Runepowder Vial")</f>
        <v>Runepowder Vial</v>
      </c>
      <c r="B493" s="22" t="s">
        <v>24</v>
      </c>
      <c r="C493" s="47" t="s">
        <v>466</v>
      </c>
      <c r="D493" s="24" t="str">
        <f t="shared" si="35"/>
        <v>Osi.TemplateAddTo("9220d896-4ff3-430f-9523-00d2a4dfbc17", GetHostCharacter(), 1, 1);</v>
      </c>
    </row>
    <row r="494">
      <c r="A494" s="21" t="str">
        <f>HYPERLINK("https://bg3.wiki/wiki/Sanguine_Explosive", "Sanguine Explosive")</f>
        <v>Sanguine Explosive</v>
      </c>
      <c r="B494" s="22" t="s">
        <v>11</v>
      </c>
      <c r="C494" s="47" t="s">
        <v>467</v>
      </c>
      <c r="D494" s="24" t="str">
        <f t="shared" si="35"/>
        <v>Osi.TemplateAddTo("7821978d-c720-4651-9693-936960145636", GetHostCharacter(), 1, 1);</v>
      </c>
    </row>
    <row r="495">
      <c r="A495" s="21" t="str">
        <f>HYPERLINK("https://bg3.wiki/wiki/Scrap_and_Shrapnel_Grenade", "Scrap and Shrapnel Grenade")</f>
        <v>Scrap and Shrapnel Grenade</v>
      </c>
      <c r="B495" s="22" t="s">
        <v>11</v>
      </c>
      <c r="C495" s="47" t="s">
        <v>468</v>
      </c>
      <c r="D495" s="24" t="str">
        <f t="shared" si="35"/>
        <v>Osi.TemplateAddTo("21756f85-a506-4e80-bdec-50bdbcbacab4", GetHostCharacter(), 1, 1);</v>
      </c>
    </row>
    <row r="496">
      <c r="A496" s="21" t="str">
        <f>HYPERLINK("https://bg3.wiki/wiki/Smokepowder_Bomb", "Smokepowder Bomb")</f>
        <v>Smokepowder Bomb</v>
      </c>
      <c r="B496" s="22" t="s">
        <v>11</v>
      </c>
      <c r="C496" s="47" t="s">
        <v>469</v>
      </c>
      <c r="D496" s="24" t="str">
        <f t="shared" si="35"/>
        <v>Osi.TemplateAddTo("278271f9-3fbc-4cf7-a5dc-b36527f521b2", GetHostCharacter(), 1, 1);</v>
      </c>
    </row>
    <row r="497">
      <c r="A497" s="21" t="str">
        <f>HYPERLINK("https://bg3.wiki/wiki/Smokepowder_Satchel", "Smokepowder Satchel")</f>
        <v>Smokepowder Satchel</v>
      </c>
      <c r="B497" s="22" t="s">
        <v>11</v>
      </c>
      <c r="C497" s="47" t="s">
        <v>470</v>
      </c>
      <c r="D497" s="24" t="str">
        <f t="shared" si="35"/>
        <v>Osi.TemplateAddTo("08c75e58-6e70-469a-a22e-44c184995e6c", GetHostCharacter(), 1, 1);</v>
      </c>
    </row>
    <row r="498">
      <c r="A498" s="21" t="str">
        <f>HYPERLINK("https://bg3.wiki/wiki/Spiked_Bulb", "Spiked Bulb")</f>
        <v>Spiked Bulb</v>
      </c>
      <c r="B498" s="22" t="s">
        <v>11</v>
      </c>
      <c r="C498" s="47" t="s">
        <v>471</v>
      </c>
      <c r="D498" s="24" t="str">
        <f t="shared" si="35"/>
        <v>Osi.TemplateAddTo("249ff64e-818b-4dc8-919b-7f297f64a2a3", GetHostCharacter(), 1, 1);</v>
      </c>
    </row>
    <row r="499">
      <c r="A499" s="21" t="str">
        <f>HYPERLINK("https://bg3.wiki/wiki/Squidjins", "Squidjins")</f>
        <v>Squidjins</v>
      </c>
      <c r="B499" s="22" t="s">
        <v>11</v>
      </c>
      <c r="C499" s="47" t="s">
        <v>472</v>
      </c>
      <c r="D499" s="24" t="str">
        <f t="shared" si="35"/>
        <v>Osi.TemplateAddTo("8cc1c07f-398c-42fb-9cdf-76ef052bdaa6", GetHostCharacter(), 1, 1);</v>
      </c>
    </row>
    <row r="500">
      <c r="A500" s="21" t="str">
        <f>HYPERLINK("https://bg3.wiki/wiki/Surprise-Based_Teddy_Bear", "Surprise-Based Teddy Bear")</f>
        <v>Surprise-Based Teddy Bear</v>
      </c>
      <c r="B500" s="22" t="s">
        <v>11</v>
      </c>
      <c r="C500" s="47" t="s">
        <v>473</v>
      </c>
      <c r="D500" s="24" t="str">
        <f t="shared" si="35"/>
        <v>Osi.TemplateAddTo("e077ef28-5de9-439d-bbaf-59536585c938", GetHostCharacter(), 1, 1);</v>
      </c>
    </row>
    <row r="501">
      <c r="A501" s="21" t="str">
        <f>HYPERLINK("https://bg3.wiki/wiki/Void_Bulb", "Void Bulb")</f>
        <v>Void Bulb</v>
      </c>
      <c r="B501" s="22" t="s">
        <v>11</v>
      </c>
      <c r="C501" s="47" t="s">
        <v>474</v>
      </c>
      <c r="D501" s="24" t="str">
        <f t="shared" si="35"/>
        <v>Osi.TemplateAddTo("10b6acda-aa4e-46b1-aa9a-e45ab914a28d", GetHostCharacter(), 1, 1);</v>
      </c>
    </row>
    <row r="502">
      <c r="A502" s="21" t="str">
        <f>HYPERLINK("https://bg3.wiki/wiki/Volo%27s_Jar_of_Moustache_Wax", "Volo's Jar of Moustache Wax")</f>
        <v>Volo's Jar of Moustache Wax</v>
      </c>
      <c r="B502" s="22" t="s">
        <v>11</v>
      </c>
      <c r="C502" s="47" t="s">
        <v>158</v>
      </c>
      <c r="D502" s="24"/>
    </row>
    <row r="503">
      <c r="A503" s="21" t="str">
        <f>HYPERLINK("https://bg3.wiki/wiki/Web_Grenade", "Web Grenade")</f>
        <v>Web Grenade</v>
      </c>
      <c r="B503" s="22" t="s">
        <v>11</v>
      </c>
      <c r="C503" s="47" t="s">
        <v>475</v>
      </c>
      <c r="D503" s="24" t="str">
        <f t="shared" ref="D503:D504" si="36">"Osi.TemplateAddTo("""&amp; C503 &amp;""", GetHostCharacter(), 1, 1);"</f>
        <v>Osi.TemplateAddTo("a4d98266-948b-4467-96cd-6a316f37ceda", GetHostCharacter(), 1, 1);</v>
      </c>
    </row>
    <row r="504">
      <c r="A504" s="38" t="str">
        <f>HYPERLINK("https://bg3.wiki/wiki/Wogglims", "Wogglims")</f>
        <v>Wogglims</v>
      </c>
      <c r="B504" s="39" t="s">
        <v>11</v>
      </c>
      <c r="C504" s="48" t="s">
        <v>476</v>
      </c>
      <c r="D504" s="41" t="str">
        <f t="shared" si="36"/>
        <v>Osi.TemplateAddTo("2f900203-cbe9-4b6c-8d63-1a9a873a13ff", GetHostCharacter(), 1, 1);</v>
      </c>
    </row>
    <row r="505">
      <c r="C505" s="42"/>
    </row>
    <row r="506">
      <c r="A506" s="22" t="s">
        <v>477</v>
      </c>
      <c r="B506" s="22"/>
      <c r="C506" s="23"/>
      <c r="D506" s="22"/>
    </row>
    <row r="507">
      <c r="A507" s="34" t="s">
        <v>7</v>
      </c>
      <c r="B507" s="35" t="s">
        <v>8</v>
      </c>
      <c r="C507" s="46" t="s">
        <v>9</v>
      </c>
      <c r="D507" s="36" t="s">
        <v>10</v>
      </c>
      <c r="E507" s="37"/>
    </row>
    <row r="508">
      <c r="A508" s="21" t="str">
        <f>HYPERLINK("https://bg3.wiki/wiki/Dart", "Dart")</f>
        <v>Dart</v>
      </c>
      <c r="B508" s="22" t="s">
        <v>11</v>
      </c>
      <c r="C508" s="47" t="s">
        <v>100</v>
      </c>
      <c r="D508" s="24" t="str">
        <f t="shared" ref="D508:D510" si="37">"Osi.TemplateAddTo("""&amp; C508 &amp;""", GetHostCharacter(), 1, 1);"</f>
        <v>Osi.TemplateAddTo("fb08eef6-f6a0-454e-ab14-c1470f3ba18d", GetHostCharacter(), 1, 1);</v>
      </c>
    </row>
    <row r="509">
      <c r="A509" s="21" t="str">
        <f>HYPERLINK("https://bg3.wiki/wiki/Dart_%2B1", "Dart +1")</f>
        <v>Dart +1</v>
      </c>
      <c r="B509" s="22" t="s">
        <v>17</v>
      </c>
      <c r="C509" s="47" t="s">
        <v>101</v>
      </c>
      <c r="D509" s="24" t="str">
        <f t="shared" si="37"/>
        <v>Osi.TemplateAddTo("5557cbf6-ce24-48de-beed-3be1a77e1c82", GetHostCharacter(), 1, 1);</v>
      </c>
    </row>
    <row r="510">
      <c r="A510" s="38" t="str">
        <f>HYPERLINK("https://bg3.wiki/wiki/Dart_%2B2", "Dart +2")</f>
        <v>Dart +2</v>
      </c>
      <c r="B510" s="39" t="s">
        <v>24</v>
      </c>
      <c r="C510" s="48" t="s">
        <v>102</v>
      </c>
      <c r="D510" s="41" t="str">
        <f t="shared" si="37"/>
        <v>Osi.TemplateAddTo("e292c502-b116-4a46-a232-dd53f7838f6f", GetHostCharacter(), 1, 1);</v>
      </c>
    </row>
    <row r="511">
      <c r="C511" s="42"/>
    </row>
    <row r="512">
      <c r="A512" s="22" t="s">
        <v>478</v>
      </c>
      <c r="B512" s="22"/>
      <c r="C512" s="23"/>
      <c r="D512" s="22"/>
    </row>
    <row r="513">
      <c r="A513" s="34" t="s">
        <v>7</v>
      </c>
      <c r="B513" s="35" t="s">
        <v>8</v>
      </c>
      <c r="C513" s="46" t="s">
        <v>9</v>
      </c>
      <c r="D513" s="36" t="s">
        <v>10</v>
      </c>
      <c r="E513" s="37"/>
    </row>
    <row r="514">
      <c r="A514" s="21" t="str">
        <f>HYPERLINK("https://bg3.wiki/wiki/Firestoker", "Firestoker")</f>
        <v>Firestoker</v>
      </c>
      <c r="B514" s="22" t="s">
        <v>17</v>
      </c>
      <c r="C514" s="47" t="s">
        <v>479</v>
      </c>
      <c r="D514" s="24" t="str">
        <f t="shared" ref="D514:D521" si="38">"Osi.TemplateAddTo("""&amp; C514 &amp;""", GetHostCharacter(), 1, 1);"</f>
        <v>Osi.TemplateAddTo("3c9f6e52-1597-4ba6-ae36-d532c0e8bad5", GetHostCharacter(), 1, 1);</v>
      </c>
    </row>
    <row r="515">
      <c r="A515" s="21" t="str">
        <f>HYPERLINK("https://bg3.wiki/wiki/Hand_Crossbow", "Hand Crossbow")</f>
        <v>Hand Crossbow</v>
      </c>
      <c r="B515" s="22" t="s">
        <v>11</v>
      </c>
      <c r="C515" s="47" t="s">
        <v>480</v>
      </c>
      <c r="D515" s="24" t="str">
        <f t="shared" si="38"/>
        <v>Osi.TemplateAddTo("a5d843ab-c3af-4e60-a925-bb2e15828938", GetHostCharacter(), 1, 1);</v>
      </c>
    </row>
    <row r="516">
      <c r="A516" s="21" t="str">
        <f>HYPERLINK("https://bg3.wiki/wiki/Hand_Crossbow_%2B1", "Hand Crossbow +1")</f>
        <v>Hand Crossbow +1</v>
      </c>
      <c r="B516" s="22" t="s">
        <v>17</v>
      </c>
      <c r="C516" s="47" t="s">
        <v>481</v>
      </c>
      <c r="D516" s="24" t="str">
        <f t="shared" si="38"/>
        <v>Osi.TemplateAddTo("d2f396c2-9b1b-4eea-bf21-2f25934f092d", GetHostCharacter(), 1, 1);</v>
      </c>
    </row>
    <row r="517">
      <c r="A517" s="21" t="str">
        <f>HYPERLINK("https://bg3.wiki/wiki/Hand_Crossbow_%2B2", "Hand Crossbow +2")</f>
        <v>Hand Crossbow +2</v>
      </c>
      <c r="B517" s="22" t="s">
        <v>24</v>
      </c>
      <c r="C517" s="47" t="s">
        <v>482</v>
      </c>
      <c r="D517" s="24" t="str">
        <f t="shared" si="38"/>
        <v>Osi.TemplateAddTo("ab150a98-0a8e-4ee2-9dca-580d77f99be3", GetHostCharacter(), 1, 1);</v>
      </c>
    </row>
    <row r="518">
      <c r="A518" s="21" t="str">
        <f>HYPERLINK("https://bg3.wiki/wiki/Hand_Crossbow_(Yurgir)", "Hand Crossbow (Yurgir)")</f>
        <v>Hand Crossbow (Yurgir)</v>
      </c>
      <c r="B518" s="22" t="s">
        <v>11</v>
      </c>
      <c r="C518" s="47" t="s">
        <v>483</v>
      </c>
      <c r="D518" s="24" t="str">
        <f t="shared" si="38"/>
        <v>Osi.TemplateAddTo("7f2203f8-0162-4c3d-8635-c700fa2982ab", GetHostCharacter(), 1, 1);</v>
      </c>
    </row>
    <row r="519">
      <c r="A519" s="21" t="str">
        <f>HYPERLINK("https://bg3.wiki/wiki/Hellfire_Hand_Crossbow", "Hellfire Hand Crossbow")</f>
        <v>Hellfire Hand Crossbow</v>
      </c>
      <c r="B519" s="22" t="s">
        <v>19</v>
      </c>
      <c r="C519" s="47" t="s">
        <v>484</v>
      </c>
      <c r="D519" s="24" t="str">
        <f t="shared" si="38"/>
        <v>Osi.TemplateAddTo("f5b3b579-3569-4f6d-835c-9c19245152d6", GetHostCharacter(), 1, 1);</v>
      </c>
    </row>
    <row r="520">
      <c r="A520" s="21" t="str">
        <f>HYPERLINK("https://bg3.wiki/wiki/Magical_Hand_Crossbow", "Magical Hand Crossbow")</f>
        <v>Magical Hand Crossbow</v>
      </c>
      <c r="B520" s="22" t="s">
        <v>19</v>
      </c>
      <c r="C520" s="47" t="s">
        <v>485</v>
      </c>
      <c r="D520" s="24" t="str">
        <f t="shared" si="38"/>
        <v>Osi.TemplateAddTo("759a080f-bd13-4cd8-a417-1677b8ee9d73", GetHostCharacter(), 1, 1);</v>
      </c>
    </row>
    <row r="521" ht="15.0" customHeight="1">
      <c r="A521" s="38" t="str">
        <f>HYPERLINK("https://bg3.wiki/wiki/Ne%27er_Misser", "Ne'er Misser")</f>
        <v>Ne'er Misser</v>
      </c>
      <c r="B521" s="39" t="s">
        <v>24</v>
      </c>
      <c r="C521" s="48" t="s">
        <v>486</v>
      </c>
      <c r="D521" s="41" t="str">
        <f t="shared" si="38"/>
        <v>Osi.TemplateAddTo("c9dcf78e-a46c-4959-aade-707d9dd2c51a", GetHostCharacter(), 1, 1);</v>
      </c>
    </row>
    <row r="522">
      <c r="C522" s="42"/>
    </row>
    <row r="523">
      <c r="A523" s="22" t="s">
        <v>487</v>
      </c>
      <c r="B523" s="22"/>
      <c r="C523" s="23"/>
      <c r="D523" s="22"/>
    </row>
    <row r="524">
      <c r="A524" s="34" t="s">
        <v>7</v>
      </c>
      <c r="B524" s="35" t="s">
        <v>8</v>
      </c>
      <c r="C524" s="46" t="s">
        <v>9</v>
      </c>
      <c r="D524" s="36" t="s">
        <v>10</v>
      </c>
      <c r="E524" s="43"/>
    </row>
    <row r="525">
      <c r="A525" s="21" t="str">
        <f>HYPERLINK("https://bg3.wiki/wiki/Crossbow_of_Arcane_Force", "Crossbow of Arcane Force")</f>
        <v>Crossbow of Arcane Force</v>
      </c>
      <c r="B525" s="22" t="s">
        <v>17</v>
      </c>
      <c r="C525" s="47" t="s">
        <v>488</v>
      </c>
      <c r="D525" s="24" t="str">
        <f t="shared" ref="D525:D537" si="39">"Osi.TemplateAddTo("""&amp; C525 &amp;""", GetHostCharacter(), 1, 1);"</f>
        <v>Osi.TemplateAddTo("b11756a8-519a-406c-be36-c3603c3edae1", GetHostCharacter(), 1, 1);</v>
      </c>
      <c r="E525" s="15"/>
    </row>
    <row r="526">
      <c r="A526" s="21" t="str">
        <f>HYPERLINK("https://bg3.wiki/wiki/Fabricated_Arbalest", "Fabricated Arbalest")</f>
        <v>Fabricated Arbalest</v>
      </c>
      <c r="B526" s="22" t="s">
        <v>19</v>
      </c>
      <c r="C526" s="47" t="s">
        <v>21</v>
      </c>
      <c r="D526" s="24" t="str">
        <f t="shared" si="39"/>
        <v>Osi.TemplateAddTo("45d888b5-e002-4bb8-85d7-6df569aceaa4", GetHostCharacter(), 1, 1);</v>
      </c>
      <c r="E526" s="15"/>
    </row>
    <row r="527">
      <c r="A527" s="21" t="str">
        <f>HYPERLINK("https://bg3.wiki/wiki/Gandrel%27s_Aspiration", "Gandrel's Aspiration")</f>
        <v>Gandrel's Aspiration</v>
      </c>
      <c r="B527" s="22" t="s">
        <v>17</v>
      </c>
      <c r="C527" s="47" t="s">
        <v>489</v>
      </c>
      <c r="D527" s="24" t="str">
        <f t="shared" si="39"/>
        <v>Osi.TemplateAddTo("12710611-6c85-4280-a597-8286e18f5740", GetHostCharacter(), 1, 1);</v>
      </c>
      <c r="E527" s="15"/>
    </row>
    <row r="528">
      <c r="A528" s="21" t="str">
        <f>HYPERLINK("https://bg3.wiki/wiki/Giantbreaker", "Giantbreaker")</f>
        <v>Giantbreaker</v>
      </c>
      <c r="B528" s="22" t="s">
        <v>24</v>
      </c>
      <c r="C528" s="47" t="s">
        <v>490</v>
      </c>
      <c r="D528" s="24" t="str">
        <f t="shared" si="39"/>
        <v>Osi.TemplateAddTo("260a44f7-9ce6-4c8c-bcc8-2eb018c00590", GetHostCharacter(), 1, 1);</v>
      </c>
      <c r="E528" s="15"/>
    </row>
    <row r="529">
      <c r="A529" s="21" t="str">
        <f>HYPERLINK("https://bg3.wiki/wiki/Githyanki_Crossbow", "Githyanki Crossbow")</f>
        <v>Githyanki Crossbow</v>
      </c>
      <c r="B529" s="22" t="s">
        <v>17</v>
      </c>
      <c r="C529" s="47" t="s">
        <v>491</v>
      </c>
      <c r="D529" s="24" t="str">
        <f t="shared" si="39"/>
        <v>Osi.TemplateAddTo("b674ea52-2b6f-4977-b6d5-98810304a98b", GetHostCharacter(), 1, 1);</v>
      </c>
      <c r="E529" s="15"/>
    </row>
    <row r="530">
      <c r="A530" s="21" t="str">
        <f>HYPERLINK("https://bg3.wiki/wiki/Harold", "Harold")</f>
        <v>Harold</v>
      </c>
      <c r="B530" s="22" t="s">
        <v>24</v>
      </c>
      <c r="C530" s="47" t="s">
        <v>492</v>
      </c>
      <c r="D530" s="24" t="str">
        <f t="shared" si="39"/>
        <v>Osi.TemplateAddTo("22bf3680-a37f-4a04-b036-2865805f3d60", GetHostCharacter(), 1, 1);</v>
      </c>
      <c r="E530" s="15"/>
    </row>
    <row r="531">
      <c r="A531" s="21" t="str">
        <f>HYPERLINK("https://bg3.wiki/wiki/Heavy_Crossbow", "Heavy Crossbow")</f>
        <v>Heavy Crossbow</v>
      </c>
      <c r="B531" s="22" t="s">
        <v>11</v>
      </c>
      <c r="C531" s="47" t="s">
        <v>493</v>
      </c>
      <c r="D531" s="24" t="str">
        <f t="shared" si="39"/>
        <v>Osi.TemplateAddTo("04622e3d-5b3f-4f2c-a0db-513a717d911f", GetHostCharacter(), 1, 1);</v>
      </c>
      <c r="E531" s="15"/>
    </row>
    <row r="532">
      <c r="A532" s="21" t="str">
        <f>HYPERLINK("https://bg3.wiki/wiki/Heavy_Crossbow_%2B1", "Heavy Crossbow +1")</f>
        <v>Heavy Crossbow +1</v>
      </c>
      <c r="B532" s="22" t="s">
        <v>17</v>
      </c>
      <c r="C532" s="47" t="s">
        <v>494</v>
      </c>
      <c r="D532" s="24" t="str">
        <f t="shared" si="39"/>
        <v>Osi.TemplateAddTo("6af59cba-cc38-4511-9c3b-75caac4b96b5", GetHostCharacter(), 1, 1);</v>
      </c>
      <c r="E532" s="15"/>
    </row>
    <row r="533">
      <c r="A533" s="26" t="s">
        <v>23</v>
      </c>
      <c r="B533" s="22" t="s">
        <v>24</v>
      </c>
      <c r="C533" s="47" t="s">
        <v>25</v>
      </c>
      <c r="D533" s="24" t="str">
        <f t="shared" si="39"/>
        <v>Osi.TemplateAddTo("59c190d2-4b91-44f5-a720-f75d338dd341", GetHostCharacter(), 1, 1);</v>
      </c>
      <c r="E533" s="27" t="s">
        <v>26</v>
      </c>
    </row>
    <row r="534">
      <c r="A534" s="21" t="str">
        <f>HYPERLINK("https://bg3.wiki/wiki/Hellfire_Engine_Crossbow", "Hellfire Engine Crossbow")</f>
        <v>Hellfire Engine Crossbow</v>
      </c>
      <c r="B534" s="22" t="s">
        <v>19</v>
      </c>
      <c r="C534" s="47" t="s">
        <v>22</v>
      </c>
      <c r="D534" s="24" t="str">
        <f t="shared" si="39"/>
        <v>Osi.TemplateAddTo("f746397f-c489-4121-8499-40017981e290", GetHostCharacter(), 1, 1);</v>
      </c>
      <c r="E534" s="15"/>
    </row>
    <row r="535">
      <c r="A535" s="21" t="str">
        <f>HYPERLINK("https://bg3.wiki/wiki/Rusty_Heavy_Crossbow", "Rusty Heavy Crossbow")</f>
        <v>Rusty Heavy Crossbow</v>
      </c>
      <c r="B535" s="22" t="s">
        <v>11</v>
      </c>
      <c r="C535" s="47" t="s">
        <v>495</v>
      </c>
      <c r="D535" s="24" t="str">
        <f t="shared" si="39"/>
        <v>Osi.TemplateAddTo("181104f6-6423-42de-b624-e225e5fb8a4d", GetHostCharacter(), 1, 1);</v>
      </c>
      <c r="E535" s="15"/>
    </row>
    <row r="536">
      <c r="A536" s="21" t="str">
        <f>HYPERLINK("https://bg3.wiki/wiki/The_Long_Arm_of_the_Gur", "The Long Arm of the Gur")</f>
        <v>The Long Arm of the Gur</v>
      </c>
      <c r="B536" s="22" t="s">
        <v>24</v>
      </c>
      <c r="C536" s="47" t="s">
        <v>496</v>
      </c>
      <c r="D536" s="24" t="str">
        <f t="shared" si="39"/>
        <v>Osi.TemplateAddTo("b2fb13a7-ce3e-4721-b2ea-1dee303707ed", GetHostCharacter(), 1, 1);</v>
      </c>
      <c r="E536" s="27" t="s">
        <v>497</v>
      </c>
    </row>
    <row r="537">
      <c r="A537" s="38" t="str">
        <f>HYPERLINK("https://bg3.wiki/wiki/Watcher_Crossbow", "Watcher Crossbow")</f>
        <v>Watcher Crossbow</v>
      </c>
      <c r="B537" s="39" t="s">
        <v>11</v>
      </c>
      <c r="C537" s="48" t="s">
        <v>498</v>
      </c>
      <c r="D537" s="41" t="str">
        <f t="shared" si="39"/>
        <v>Osi.TemplateAddTo("e2391c41-845c-4d8e-9aba-d2392e193bfd", GetHostCharacter(), 1, 1);</v>
      </c>
      <c r="E537" s="15"/>
    </row>
    <row r="538">
      <c r="C538" s="42"/>
    </row>
    <row r="539">
      <c r="A539" s="22" t="s">
        <v>499</v>
      </c>
      <c r="B539" s="22"/>
      <c r="C539" s="23"/>
      <c r="D539" s="22"/>
    </row>
    <row r="540">
      <c r="A540" s="34" t="s">
        <v>7</v>
      </c>
      <c r="B540" s="35" t="s">
        <v>8</v>
      </c>
      <c r="C540" s="46" t="s">
        <v>9</v>
      </c>
      <c r="D540" s="36" t="s">
        <v>10</v>
      </c>
      <c r="E540" s="37"/>
    </row>
    <row r="541">
      <c r="A541" s="21" t="str">
        <f>HYPERLINK("https://bg3.wiki/wiki/Light_Crossbow", "Light Crossbow")</f>
        <v>Light Crossbow</v>
      </c>
      <c r="B541" s="22" t="s">
        <v>11</v>
      </c>
      <c r="C541" s="47" t="s">
        <v>500</v>
      </c>
      <c r="D541" s="24" t="str">
        <f t="shared" ref="D541:D544" si="40">"Osi.TemplateAddTo("""&amp; C541 &amp;""", GetHostCharacter(), 1, 1);"</f>
        <v>Osi.TemplateAddTo("43b7fbf5-7f6e-4e9e-bce7-c679eea44593", GetHostCharacter(), 1, 1);</v>
      </c>
    </row>
    <row r="542">
      <c r="A542" s="21" t="str">
        <f>HYPERLINK("https://bg3.wiki/wiki/Light_Crossbow_%2B1", "Light Crossbow +1")</f>
        <v>Light Crossbow +1</v>
      </c>
      <c r="B542" s="22" t="s">
        <v>17</v>
      </c>
      <c r="C542" s="47" t="s">
        <v>501</v>
      </c>
      <c r="D542" s="24" t="str">
        <f t="shared" si="40"/>
        <v>Osi.TemplateAddTo("509dd5c3-7c72-4335-9b23-19a14a884f2e", GetHostCharacter(), 1, 1);</v>
      </c>
    </row>
    <row r="543">
      <c r="A543" s="21" t="str">
        <f>HYPERLINK("https://bg3.wiki/wiki/Light_Crossbow_of_Speed", "Light Crossbow of Speed")</f>
        <v>Light Crossbow of Speed</v>
      </c>
      <c r="B543" s="22" t="s">
        <v>24</v>
      </c>
      <c r="C543" s="47" t="s">
        <v>502</v>
      </c>
      <c r="D543" s="24" t="str">
        <f t="shared" si="40"/>
        <v>Osi.TemplateAddTo("664ff469-770a-4597-9be2-506465e5486f", GetHostCharacter(), 1, 1);</v>
      </c>
    </row>
    <row r="544">
      <c r="A544" s="38" t="str">
        <f>HYPERLINK("https://bg3.wiki/wiki/Sharran_Crossbow", "Sharran Crossbow")</f>
        <v>Sharran Crossbow</v>
      </c>
      <c r="B544" s="39" t="s">
        <v>17</v>
      </c>
      <c r="C544" s="48" t="s">
        <v>500</v>
      </c>
      <c r="D544" s="41" t="str">
        <f t="shared" si="40"/>
        <v>Osi.TemplateAddTo("43b7fbf5-7f6e-4e9e-bce7-c679eea44593", GetHostCharacter(), 1, 1);</v>
      </c>
    </row>
    <row r="545">
      <c r="C545" s="42"/>
    </row>
    <row r="546">
      <c r="A546" s="22" t="s">
        <v>503</v>
      </c>
      <c r="B546" s="22"/>
      <c r="C546" s="23"/>
      <c r="D546" s="22"/>
    </row>
    <row r="547">
      <c r="A547" s="34" t="s">
        <v>7</v>
      </c>
      <c r="B547" s="35" t="s">
        <v>8</v>
      </c>
      <c r="C547" s="46" t="s">
        <v>9</v>
      </c>
      <c r="D547" s="36" t="s">
        <v>10</v>
      </c>
      <c r="E547" s="37"/>
    </row>
    <row r="548">
      <c r="A548" s="21" t="str">
        <f>HYPERLINK("https://bg3.wiki/wiki/Gontr_Mael", "Gontr Mael")</f>
        <v>Gontr Mael</v>
      </c>
      <c r="B548" s="22" t="s">
        <v>66</v>
      </c>
      <c r="C548" s="47" t="s">
        <v>504</v>
      </c>
      <c r="D548" s="24" t="str">
        <f t="shared" ref="D548:D557" si="41">"Osi.TemplateAddTo("""&amp; C548 &amp;""", GetHostCharacter(), 1, 1);"</f>
        <v>Osi.TemplateAddTo("7e81bb6a-f465-4fe9-b1db-7ce6198246ba", GetHostCharacter(), 1, 1);</v>
      </c>
    </row>
    <row r="549">
      <c r="A549" s="21" t="str">
        <f>HYPERLINK("https://bg3.wiki/wiki/Hellrider_Longbow", "Hellrider Longbow")</f>
        <v>Hellrider Longbow</v>
      </c>
      <c r="B549" s="22" t="s">
        <v>17</v>
      </c>
      <c r="C549" s="47" t="s">
        <v>505</v>
      </c>
      <c r="D549" s="24" t="str">
        <f t="shared" si="41"/>
        <v>Osi.TemplateAddTo("75c90d55-c262-446d-937c-8adbef1e3e93", GetHostCharacter(), 1, 1);</v>
      </c>
    </row>
    <row r="550">
      <c r="A550" s="21" t="str">
        <f>HYPERLINK("https://bg3.wiki/wiki/Longbow", "Longbow")</f>
        <v>Longbow</v>
      </c>
      <c r="B550" s="22" t="s">
        <v>11</v>
      </c>
      <c r="C550" s="47" t="s">
        <v>506</v>
      </c>
      <c r="D550" s="24" t="str">
        <f t="shared" si="41"/>
        <v>Osi.TemplateAddTo("f5a95e54-b4ff-482d-b5f4-392917125c86", GetHostCharacter(), 1, 1);</v>
      </c>
    </row>
    <row r="551">
      <c r="A551" s="21" t="str">
        <f>HYPERLINK("https://bg3.wiki/wiki/Longbow_%2B1", "Longbow +1")</f>
        <v>Longbow +1</v>
      </c>
      <c r="B551" s="22" t="s">
        <v>17</v>
      </c>
      <c r="C551" s="47" t="s">
        <v>507</v>
      </c>
      <c r="D551" s="24" t="str">
        <f t="shared" si="41"/>
        <v>Osi.TemplateAddTo("049173ec-636a-487e-a9ed-bfafeadf6bb7", GetHostCharacter(), 1, 1);</v>
      </c>
    </row>
    <row r="552">
      <c r="A552" s="21" t="str">
        <f>HYPERLINK("https://bg3.wiki/wiki/Longbow_%2B2", "Longbow +2")</f>
        <v>Longbow +2</v>
      </c>
      <c r="B552" s="22" t="s">
        <v>24</v>
      </c>
      <c r="C552" s="47" t="s">
        <v>508</v>
      </c>
      <c r="D552" s="24" t="str">
        <f t="shared" si="41"/>
        <v>Osi.TemplateAddTo("118967f7-14de-41fa-bec8-3ba383252e9a", GetHostCharacter(), 1, 1);</v>
      </c>
    </row>
    <row r="553">
      <c r="A553" s="21" t="str">
        <f>HYPERLINK("https://bg3.wiki/wiki/Sahuagin_Longbow", "Sahuagin Longbow")</f>
        <v>Sahuagin Longbow</v>
      </c>
      <c r="B553" s="22" t="s">
        <v>11</v>
      </c>
      <c r="C553" s="47" t="s">
        <v>509</v>
      </c>
      <c r="D553" s="24" t="str">
        <f t="shared" si="41"/>
        <v>Osi.TemplateAddTo("2b72f224-a182-43c7-97e9-dc9a6ba4f9f5", GetHostCharacter(), 1, 1);</v>
      </c>
    </row>
    <row r="554">
      <c r="A554" s="21" t="str">
        <f>HYPERLINK("https://bg3.wiki/wiki/Spellthief", "Spellthief")</f>
        <v>Spellthief</v>
      </c>
      <c r="B554" s="22" t="s">
        <v>17</v>
      </c>
      <c r="C554" s="47" t="s">
        <v>510</v>
      </c>
      <c r="D554" s="24" t="str">
        <f t="shared" si="41"/>
        <v>Osi.TemplateAddTo("db4a3e0f-6315-4337-abce-aad5f38513aa", GetHostCharacter(), 1, 1);</v>
      </c>
    </row>
    <row r="555">
      <c r="A555" s="21" t="str">
        <f>HYPERLINK("https://bg3.wiki/wiki/The_Dead_Shot", "The Dead Shot")</f>
        <v>The Dead Shot</v>
      </c>
      <c r="B555" s="22" t="s">
        <v>19</v>
      </c>
      <c r="C555" s="47" t="s">
        <v>511</v>
      </c>
      <c r="D555" s="24" t="str">
        <f t="shared" si="41"/>
        <v>Osi.TemplateAddTo("269b2b03-aaaf-4635-98e2-e9b32dab5ffa", GetHostCharacter(), 1, 1);</v>
      </c>
    </row>
    <row r="556">
      <c r="A556" s="21" t="str">
        <f>HYPERLINK("https://bg3.wiki/wiki/The_Joltshooter", "The Joltshooter")</f>
        <v>The Joltshooter</v>
      </c>
      <c r="B556" s="22" t="s">
        <v>24</v>
      </c>
      <c r="C556" s="47" t="s">
        <v>512</v>
      </c>
      <c r="D556" s="24" t="str">
        <f t="shared" si="41"/>
        <v>Osi.TemplateAddTo("38b80bf8-9cf8-4495-8267-eb84c7779d0c", GetHostCharacter(), 1, 1);</v>
      </c>
    </row>
    <row r="557">
      <c r="A557" s="38" t="str">
        <f>HYPERLINK("https://bg3.wiki/wiki/Titanstring_Bow", "Titanstring Bow")</f>
        <v>Titanstring Bow</v>
      </c>
      <c r="B557" s="39" t="s">
        <v>24</v>
      </c>
      <c r="C557" s="48" t="s">
        <v>513</v>
      </c>
      <c r="D557" s="41" t="str">
        <f t="shared" si="41"/>
        <v>Osi.TemplateAddTo("13236988-83df-4bf2-8005-b4ac31f21ff4", GetHostCharacter(), 1, 1);</v>
      </c>
    </row>
    <row r="558">
      <c r="C558" s="42"/>
    </row>
    <row r="559">
      <c r="A559" s="22" t="s">
        <v>514</v>
      </c>
      <c r="B559" s="22"/>
      <c r="C559" s="23"/>
      <c r="D559" s="22"/>
    </row>
    <row r="560">
      <c r="A560" s="34" t="s">
        <v>7</v>
      </c>
      <c r="B560" s="35" t="s">
        <v>8</v>
      </c>
      <c r="C560" s="46" t="s">
        <v>9</v>
      </c>
      <c r="D560" s="36" t="s">
        <v>10</v>
      </c>
      <c r="E560" s="37"/>
    </row>
    <row r="561">
      <c r="A561" s="21" t="str">
        <f>HYPERLINK("https://bg3.wiki/wiki/Blightbringer", "Blightbringer")</f>
        <v>Blightbringer</v>
      </c>
      <c r="B561" s="22" t="s">
        <v>19</v>
      </c>
      <c r="C561" s="47" t="s">
        <v>515</v>
      </c>
      <c r="D561" s="24" t="str">
        <f t="shared" ref="D561:D571" si="42">"Osi.TemplateAddTo("""&amp; C561 &amp;""", GetHostCharacter(), 1, 1);"</f>
        <v>Osi.TemplateAddTo("9eed107f-ff11-4f50-ac7a-6a8b8344e148", GetHostCharacter(), 1, 1);</v>
      </c>
    </row>
    <row r="562">
      <c r="A562" s="21" t="str">
        <f>HYPERLINK("https://bg3.wiki/wiki/Bow_of_Awareness", "Bow of Awareness")</f>
        <v>Bow of Awareness</v>
      </c>
      <c r="B562" s="22" t="s">
        <v>17</v>
      </c>
      <c r="C562" s="47" t="s">
        <v>516</v>
      </c>
      <c r="D562" s="24" t="str">
        <f t="shared" si="42"/>
        <v>Osi.TemplateAddTo("c57ba806-b340-4307-9c37-170792052b8d", GetHostCharacter(), 1, 1);</v>
      </c>
    </row>
    <row r="563">
      <c r="A563" s="21" t="str">
        <f>HYPERLINK("https://bg3.wiki/wiki/Bow_of_the_Banshee", "Bow of the Banshee")</f>
        <v>Bow of the Banshee</v>
      </c>
      <c r="B563" s="22" t="s">
        <v>24</v>
      </c>
      <c r="C563" s="47" t="s">
        <v>517</v>
      </c>
      <c r="D563" s="24" t="str">
        <f t="shared" si="42"/>
        <v>Osi.TemplateAddTo("c040d1fc-4804-4774-8367-6dfa397e27e2", GetHostCharacter(), 1, 1);</v>
      </c>
    </row>
    <row r="564">
      <c r="A564" s="21" t="str">
        <f>HYPERLINK("https://bg3.wiki/wiki/Darkfire_Shortbow", "Darkfire Shortbow")</f>
        <v>Darkfire Shortbow</v>
      </c>
      <c r="B564" s="22" t="s">
        <v>24</v>
      </c>
      <c r="C564" s="47" t="s">
        <v>518</v>
      </c>
      <c r="D564" s="24" t="str">
        <f t="shared" si="42"/>
        <v>Osi.TemplateAddTo("9b5d79a8-98ad-4d67-9730-ba0453eee488", GetHostCharacter(), 1, 1);</v>
      </c>
    </row>
    <row r="565">
      <c r="A565" s="21" t="str">
        <f>HYPERLINK("https://bg3.wiki/wiki/Goblin_Bow", "Goblin Bow")</f>
        <v>Goblin Bow</v>
      </c>
      <c r="B565" s="22" t="s">
        <v>11</v>
      </c>
      <c r="C565" s="47" t="s">
        <v>519</v>
      </c>
      <c r="D565" s="24" t="str">
        <f t="shared" si="42"/>
        <v>Osi.TemplateAddTo("fd6f48fc-b153-4e6b-9a7f-86ac2963c95f", GetHostCharacter(), 1, 1);</v>
      </c>
    </row>
    <row r="566">
      <c r="A566" s="21" t="str">
        <f>HYPERLINK("https://bg3.wiki/wiki/Hunting_Shortbow", "Hunting Shortbow")</f>
        <v>Hunting Shortbow</v>
      </c>
      <c r="B566" s="22" t="s">
        <v>17</v>
      </c>
      <c r="C566" s="47" t="s">
        <v>520</v>
      </c>
      <c r="D566" s="24" t="str">
        <f t="shared" si="42"/>
        <v>Osi.TemplateAddTo("a1d1634c-02e6-4428-a822-7603e9163264", GetHostCharacter(), 1, 1);</v>
      </c>
    </row>
    <row r="567">
      <c r="A567" s="21" t="str">
        <f>HYPERLINK("https://bg3.wiki/wiki/Least_Expected", "Least Expected")</f>
        <v>Least Expected</v>
      </c>
      <c r="B567" s="22" t="s">
        <v>24</v>
      </c>
      <c r="C567" s="47" t="s">
        <v>521</v>
      </c>
      <c r="D567" s="24" t="str">
        <f t="shared" si="42"/>
        <v>Osi.TemplateAddTo("2199a407-0ae8-4ada-b3cd-b19df5adeadd", GetHostCharacter(), 1, 1);</v>
      </c>
    </row>
    <row r="568">
      <c r="A568" s="21" t="str">
        <f>HYPERLINK("https://bg3.wiki/wiki/Makeshift_Bow", "Makeshift Bow")</f>
        <v>Makeshift Bow</v>
      </c>
      <c r="B568" s="22" t="s">
        <v>11</v>
      </c>
      <c r="C568" s="47" t="s">
        <v>522</v>
      </c>
      <c r="D568" s="24" t="str">
        <f t="shared" si="42"/>
        <v>Osi.TemplateAddTo("82992370-cb61-4381-b390-891a3a9bd075", GetHostCharacter(), 1, 1);</v>
      </c>
    </row>
    <row r="569">
      <c r="A569" s="21" t="str">
        <f>HYPERLINK("https://bg3.wiki/wiki/Shortbow", "Shortbow")</f>
        <v>Shortbow</v>
      </c>
      <c r="B569" s="22" t="s">
        <v>11</v>
      </c>
      <c r="C569" s="47" t="s">
        <v>523</v>
      </c>
      <c r="D569" s="24" t="str">
        <f t="shared" si="42"/>
        <v>Osi.TemplateAddTo("c5403c1d-f372-43e1-927a-9189e9e3545d", GetHostCharacter(), 1, 1);</v>
      </c>
    </row>
    <row r="570">
      <c r="A570" s="21" t="str">
        <f>HYPERLINK("https://bg3.wiki/wiki/Shortbow_%2B1", "Shortbow +1")</f>
        <v>Shortbow +1</v>
      </c>
      <c r="B570" s="22" t="s">
        <v>17</v>
      </c>
      <c r="C570" s="47" t="s">
        <v>524</v>
      </c>
      <c r="D570" s="24" t="str">
        <f t="shared" si="42"/>
        <v>Osi.TemplateAddTo("a46173b7-afd6-48e0-9c76-817acd027574", GetHostCharacter(), 1, 1);</v>
      </c>
    </row>
    <row r="571">
      <c r="A571" s="38" t="str">
        <f>HYPERLINK("https://bg3.wiki/wiki/Vicious_Shortbow", "Vicious Shortbow")</f>
        <v>Vicious Shortbow</v>
      </c>
      <c r="B571" s="39" t="s">
        <v>24</v>
      </c>
      <c r="C571" s="48" t="s">
        <v>525</v>
      </c>
      <c r="D571" s="41" t="str">
        <f t="shared" si="42"/>
        <v>Osi.TemplateAddTo("0a17e147-25bf-4ae5-b24a-3307db4bec56", GetHostCharacter(), 1, 1);</v>
      </c>
    </row>
    <row r="572">
      <c r="C572" s="42"/>
    </row>
    <row r="573">
      <c r="A573" s="22" t="s">
        <v>526</v>
      </c>
      <c r="B573" s="22"/>
      <c r="C573" s="23"/>
      <c r="D573" s="22"/>
    </row>
    <row r="574">
      <c r="A574" s="34" t="s">
        <v>7</v>
      </c>
      <c r="B574" s="35" t="s">
        <v>8</v>
      </c>
      <c r="C574" s="46" t="s">
        <v>9</v>
      </c>
      <c r="D574" s="36" t="s">
        <v>10</v>
      </c>
      <c r="E574" s="37"/>
    </row>
    <row r="575">
      <c r="A575" s="49" t="str">
        <f>HYPERLINK("https://bg3.wiki/wiki/Sling", "Sling")</f>
        <v>Sling</v>
      </c>
      <c r="B575" s="50" t="s">
        <v>11</v>
      </c>
      <c r="C575" s="51" t="s">
        <v>527</v>
      </c>
      <c r="D575" s="52" t="str">
        <f>"Osi.TemplateAddTo("""&amp; C575 &amp;""", GetHostCharacter(), 1, 1);"</f>
        <v>Osi.TemplateAddTo("d31af642-ae35-4f22-b7a6-100f3048be33", GetHostCharacter(), 1, 1);</v>
      </c>
    </row>
    <row r="576">
      <c r="B576" s="27"/>
      <c r="C576" s="53"/>
      <c r="D576" s="27"/>
    </row>
    <row r="577">
      <c r="A577" s="22" t="s">
        <v>528</v>
      </c>
      <c r="B577" s="22"/>
      <c r="C577" s="23"/>
      <c r="D577" s="22"/>
    </row>
    <row r="578">
      <c r="A578" s="34" t="s">
        <v>7</v>
      </c>
      <c r="B578" s="35" t="s">
        <v>8</v>
      </c>
      <c r="C578" s="35" t="s">
        <v>9</v>
      </c>
      <c r="D578" s="36" t="s">
        <v>10</v>
      </c>
      <c r="E578" s="37"/>
    </row>
    <row r="579">
      <c r="A579" s="21" t="str">
        <f>HYPERLINK("https://bg3.wiki/wiki/Arrow_of_Aberration_Slaying", "Arrow of Aberration Slaying")</f>
        <v>Arrow of Aberration Slaying</v>
      </c>
      <c r="B579" s="22" t="s">
        <v>19</v>
      </c>
      <c r="C579" s="23" t="s">
        <v>529</v>
      </c>
      <c r="D579" s="24" t="str">
        <f t="shared" ref="D579:D606" si="43">"Osi.TemplateAddTo("""&amp; C579 &amp;""", GetHostCharacter(), 50, 1);"</f>
        <v>Osi.TemplateAddTo("1545f451-3fc5-4c1b-970e-572f9ace630c", GetHostCharacter(), 50, 1);</v>
      </c>
    </row>
    <row r="580">
      <c r="A580" s="21" t="str">
        <f>HYPERLINK("https://bg3.wiki/wiki/Arrow_of_Acid", "Arrow of Acid")</f>
        <v>Arrow of Acid</v>
      </c>
      <c r="B580" s="22" t="s">
        <v>11</v>
      </c>
      <c r="C580" s="23" t="s">
        <v>530</v>
      </c>
      <c r="D580" s="24" t="str">
        <f t="shared" si="43"/>
        <v>Osi.TemplateAddTo("0bfb72d2-0e8e-4d16-aeae-3159b0d4b195", GetHostCharacter(), 50, 1);</v>
      </c>
    </row>
    <row r="581">
      <c r="A581" s="21" t="str">
        <f>HYPERLINK("https://bg3.wiki/wiki/Arrow_of_Arcane_Interference", "Arrow of Arcane Interference")</f>
        <v>Arrow of Arcane Interference</v>
      </c>
      <c r="B581" s="22" t="s">
        <v>24</v>
      </c>
      <c r="C581" s="23" t="s">
        <v>531</v>
      </c>
      <c r="D581" s="24" t="str">
        <f t="shared" si="43"/>
        <v>Osi.TemplateAddTo("c9871e4a-633e-4b81-9115-8ffd0f69ee6a", GetHostCharacter(), 50, 1);</v>
      </c>
    </row>
    <row r="582">
      <c r="A582" s="21" t="str">
        <f>HYPERLINK("https://bg3.wiki/wiki/Arrow_of_Beast_Slaying", "Arrow of Beast Slaying")</f>
        <v>Arrow of Beast Slaying</v>
      </c>
      <c r="B582" s="22" t="s">
        <v>17</v>
      </c>
      <c r="C582" s="23" t="s">
        <v>532</v>
      </c>
      <c r="D582" s="24" t="str">
        <f t="shared" si="43"/>
        <v>Osi.TemplateAddTo("86e46f4a-6789-47ef-ab85-449ca36b1b20", GetHostCharacter(), 50, 1);</v>
      </c>
    </row>
    <row r="583">
      <c r="A583" s="21" t="str">
        <f>HYPERLINK("https://bg3.wiki/wiki/Arrow_of_Celestial_Slaying", "Arrow of Celestial Slaying")</f>
        <v>Arrow of Celestial Slaying</v>
      </c>
      <c r="B583" s="22" t="s">
        <v>17</v>
      </c>
      <c r="C583" s="23" t="s">
        <v>533</v>
      </c>
      <c r="D583" s="24" t="str">
        <f t="shared" si="43"/>
        <v>Osi.TemplateAddTo("f516862d-5a05-426a-a8a1-1486b35b68f8", GetHostCharacter(), 50, 1);</v>
      </c>
    </row>
    <row r="584">
      <c r="A584" s="21" t="str">
        <f>HYPERLINK("https://bg3.wiki/wiki/Arrow_of_Construct_Slaying", "Arrow of Construct Slaying")</f>
        <v>Arrow of Construct Slaying</v>
      </c>
      <c r="B584" s="22" t="s">
        <v>17</v>
      </c>
      <c r="C584" s="23" t="s">
        <v>534</v>
      </c>
      <c r="D584" s="24" t="str">
        <f t="shared" si="43"/>
        <v>Osi.TemplateAddTo("86a4dd98-80b1-4778-b498-e3a49b1dec37", GetHostCharacter(), 50, 1);</v>
      </c>
    </row>
    <row r="585">
      <c r="A585" s="21" t="str">
        <f>HYPERLINK("https://bg3.wiki/wiki/Arrow_of_Darkness", "Arrow of Darkness")</f>
        <v>Arrow of Darkness</v>
      </c>
      <c r="B585" s="22" t="s">
        <v>17</v>
      </c>
      <c r="C585" s="23" t="s">
        <v>535</v>
      </c>
      <c r="D585" s="24" t="str">
        <f t="shared" si="43"/>
        <v>Osi.TemplateAddTo("844c19ce-9e8f-4119-8856-8fa2029461b1", GetHostCharacter(), 50, 1);</v>
      </c>
    </row>
    <row r="586">
      <c r="A586" s="21" t="str">
        <f>HYPERLINK("https://bg3.wiki/wiki/Arrow_of_Dragon_Slaying", "Arrow of Dragon Slaying")</f>
        <v>Arrow of Dragon Slaying</v>
      </c>
      <c r="B586" s="22" t="s">
        <v>19</v>
      </c>
      <c r="C586" s="23" t="s">
        <v>536</v>
      </c>
      <c r="D586" s="24" t="str">
        <f t="shared" si="43"/>
        <v>Osi.TemplateAddTo("437835b4-0d13-47b7-8aca-5da4f948783b", GetHostCharacter(), 50, 1);</v>
      </c>
    </row>
    <row r="587">
      <c r="A587" s="21" t="str">
        <f>HYPERLINK("https://bg3.wiki/wiki/Arrow_of_Elemental_Slaying", "Arrow of Elemental Slaying")</f>
        <v>Arrow of Elemental Slaying</v>
      </c>
      <c r="B587" s="22" t="s">
        <v>17</v>
      </c>
      <c r="C587" s="23" t="s">
        <v>537</v>
      </c>
      <c r="D587" s="24" t="str">
        <f t="shared" si="43"/>
        <v>Osi.TemplateAddTo("0d81014f-cc7f-4c79-9477-b8cda9738c72", GetHostCharacter(), 50, 1);</v>
      </c>
    </row>
    <row r="588">
      <c r="A588" s="21" t="str">
        <f>HYPERLINK("https://bg3.wiki/wiki/Arrow_of_Fey_Slaying", "Arrow of Fey Slaying")</f>
        <v>Arrow of Fey Slaying</v>
      </c>
      <c r="B588" s="22" t="s">
        <v>17</v>
      </c>
      <c r="C588" s="23" t="s">
        <v>538</v>
      </c>
      <c r="D588" s="24" t="str">
        <f t="shared" si="43"/>
        <v>Osi.TemplateAddTo("21a2ef96-97ac-4372-95d7-676174610abc", GetHostCharacter(), 50, 1);</v>
      </c>
    </row>
    <row r="589">
      <c r="A589" s="21" t="str">
        <f>HYPERLINK("https://bg3.wiki/wiki/Arrow_of_Fiend_Slaying", "Arrow of Fiend Slaying")</f>
        <v>Arrow of Fiend Slaying</v>
      </c>
      <c r="B589" s="22" t="s">
        <v>17</v>
      </c>
      <c r="C589" s="23" t="s">
        <v>539</v>
      </c>
      <c r="D589" s="24" t="str">
        <f t="shared" si="43"/>
        <v>Osi.TemplateAddTo("04ba10a0-ca33-47e6-9810-0b7234700c4a", GetHostCharacter(), 50, 1);</v>
      </c>
    </row>
    <row r="590">
      <c r="A590" s="21" t="str">
        <f>HYPERLINK("https://bg3.wiki/wiki/Arrow_of_Fire", "Arrow of Fire")</f>
        <v>Arrow of Fire</v>
      </c>
      <c r="B590" s="22" t="s">
        <v>11</v>
      </c>
      <c r="C590" s="23" t="s">
        <v>540</v>
      </c>
      <c r="D590" s="24" t="str">
        <f t="shared" si="43"/>
        <v>Osi.TemplateAddTo("9a142fae-bcea-4e88-a407-16d3b27468b9", GetHostCharacter(), 50, 1);</v>
      </c>
    </row>
    <row r="591">
      <c r="A591" s="21" t="str">
        <f>HYPERLINK("https://bg3.wiki/wiki/Arrow_of_Giant_Slaying", "Arrow of Giant Slaying")</f>
        <v>Arrow of Giant Slaying</v>
      </c>
      <c r="B591" s="22" t="s">
        <v>17</v>
      </c>
      <c r="C591" s="23" t="s">
        <v>541</v>
      </c>
      <c r="D591" s="24" t="str">
        <f t="shared" si="43"/>
        <v>Osi.TemplateAddTo("a86bf6b2-2e75-4464-ad65-2bafa89e73aa", GetHostCharacter(), 50, 1);</v>
      </c>
    </row>
    <row r="592">
      <c r="A592" s="21" t="str">
        <f>HYPERLINK("https://bg3.wiki/wiki/Arrow_of_Humanoid_Slaying", "Arrow of Humanoid Slaying")</f>
        <v>Arrow of Humanoid Slaying</v>
      </c>
      <c r="B592" s="22" t="s">
        <v>19</v>
      </c>
      <c r="C592" s="23" t="s">
        <v>542</v>
      </c>
      <c r="D592" s="24" t="str">
        <f t="shared" si="43"/>
        <v>Osi.TemplateAddTo("3c2c6a61-e348-4222-9ba3-58a4d49d558c", GetHostCharacter(), 50, 1);</v>
      </c>
    </row>
    <row r="593">
      <c r="A593" s="21" t="str">
        <f>HYPERLINK("https://bg3.wiki/wiki/Arrow_of_Ice", "Arrow of Ice")</f>
        <v>Arrow of Ice</v>
      </c>
      <c r="B593" s="22" t="s">
        <v>11</v>
      </c>
      <c r="C593" s="23" t="s">
        <v>543</v>
      </c>
      <c r="D593" s="24" t="str">
        <f t="shared" si="43"/>
        <v>Osi.TemplateAddTo("2e297d80-823b-4200-926e-6ca23f488090", GetHostCharacter(), 50, 1);</v>
      </c>
    </row>
    <row r="594">
      <c r="A594" s="21" t="str">
        <f>HYPERLINK("https://bg3.wiki/wiki/Arrow_of_Ilmater", "Arrow of Ilmater")</f>
        <v>Arrow of Ilmater</v>
      </c>
      <c r="B594" s="22" t="s">
        <v>17</v>
      </c>
      <c r="C594" s="23" t="s">
        <v>544</v>
      </c>
      <c r="D594" s="24" t="str">
        <f t="shared" si="43"/>
        <v>Osi.TemplateAddTo("a61c8248-1595-450f-bcc9-2ed1d9853739", GetHostCharacter(), 50, 1);</v>
      </c>
    </row>
    <row r="595">
      <c r="A595" s="21" t="str">
        <f>HYPERLINK("https://bg3.wiki/wiki/Arrow_of_Lightning", "Arrow of Lightning")</f>
        <v>Arrow of Lightning</v>
      </c>
      <c r="B595" s="22" t="s">
        <v>11</v>
      </c>
      <c r="C595" s="23" t="s">
        <v>545</v>
      </c>
      <c r="D595" s="24" t="str">
        <f t="shared" si="43"/>
        <v>Osi.TemplateAddTo("1b0f095b-cb22-4bf9-aecf-4e5a26504ec8", GetHostCharacter(), 50, 1);</v>
      </c>
    </row>
    <row r="596">
      <c r="A596" s="21" t="str">
        <f>HYPERLINK("https://bg3.wiki/wiki/Arrow_of_Many_Targets", "Arrow of Many Targets")</f>
        <v>Arrow of Many Targets</v>
      </c>
      <c r="B596" s="22" t="s">
        <v>24</v>
      </c>
      <c r="C596" s="23" t="s">
        <v>546</v>
      </c>
      <c r="D596" s="24" t="str">
        <f t="shared" si="43"/>
        <v>Osi.TemplateAddTo("b11b3f7f-d8ec-41db-93b9-24474aea31e3", GetHostCharacter(), 50, 1);</v>
      </c>
    </row>
    <row r="597">
      <c r="A597" s="21" t="str">
        <f>HYPERLINK("https://bg3.wiki/wiki/Arrow_of_Monstrosity_Slaying", "Arrow of Monstrosity Slaying")</f>
        <v>Arrow of Monstrosity Slaying</v>
      </c>
      <c r="B597" s="22" t="s">
        <v>17</v>
      </c>
      <c r="C597" s="23" t="s">
        <v>547</v>
      </c>
      <c r="D597" s="24" t="str">
        <f t="shared" si="43"/>
        <v>Osi.TemplateAddTo("d7645507-6c0c-48ff-aa1b-57092d139f22", GetHostCharacter(), 50, 1);</v>
      </c>
    </row>
    <row r="598">
      <c r="A598" s="21" t="str">
        <f>HYPERLINK("https://bg3.wiki/wiki/Arrow_of_Ooze_Slaying", "Arrow of Ooze Slaying")</f>
        <v>Arrow of Ooze Slaying</v>
      </c>
      <c r="B598" s="22" t="s">
        <v>17</v>
      </c>
      <c r="C598" s="23" t="s">
        <v>548</v>
      </c>
      <c r="D598" s="24" t="str">
        <f t="shared" si="43"/>
        <v>Osi.TemplateAddTo("5931f0c7-ddd7-4e3b-aeef-64b0e7eefb70", GetHostCharacter(), 50, 1);</v>
      </c>
    </row>
    <row r="599">
      <c r="A599" s="21" t="str">
        <f>HYPERLINK("https://bg3.wiki/wiki/Arrow_of_Piercing", "Arrow of Piercing")</f>
        <v>Arrow of Piercing</v>
      </c>
      <c r="B599" s="22" t="s">
        <v>11</v>
      </c>
      <c r="C599" s="23" t="s">
        <v>549</v>
      </c>
      <c r="D599" s="24" t="str">
        <f t="shared" si="43"/>
        <v>Osi.TemplateAddTo("eee2f284-1a42-462a-8b38-50bd2e3885c5", GetHostCharacter(), 50, 1);</v>
      </c>
    </row>
    <row r="600">
      <c r="A600" s="21" t="str">
        <f>HYPERLINK("https://bg3.wiki/wiki/Arrow_of_Plant_Slaying", "Arrow of Plant Slaying")</f>
        <v>Arrow of Plant Slaying</v>
      </c>
      <c r="B600" s="22" t="s">
        <v>17</v>
      </c>
      <c r="C600" s="23" t="s">
        <v>550</v>
      </c>
      <c r="D600" s="24" t="str">
        <f t="shared" si="43"/>
        <v>Osi.TemplateAddTo("ab4ed528-cf26-417d-a751-981f7c83066f", GetHostCharacter(), 50, 1);</v>
      </c>
    </row>
    <row r="601">
      <c r="A601" s="21" t="str">
        <f>HYPERLINK("https://bg3.wiki/wiki/Arrow_of_Roaring_Thunder", "Arrow of Roaring Thunder")</f>
        <v>Arrow of Roaring Thunder</v>
      </c>
      <c r="B601" s="22" t="s">
        <v>17</v>
      </c>
      <c r="C601" s="23" t="s">
        <v>551</v>
      </c>
      <c r="D601" s="24" t="str">
        <f t="shared" si="43"/>
        <v>Osi.TemplateAddTo("a0985797-4ec7-475c-8e11-0361e387f39a", GetHostCharacter(), 50, 1);</v>
      </c>
    </row>
    <row r="602">
      <c r="A602" s="21" t="str">
        <f>HYPERLINK("https://bg3.wiki/wiki/Arrow_of_Salving", "Arrow of Salving")</f>
        <v>Arrow of Salving</v>
      </c>
      <c r="B602" s="22" t="s">
        <v>24</v>
      </c>
      <c r="C602" s="23" t="s">
        <v>552</v>
      </c>
      <c r="D602" s="24" t="str">
        <f t="shared" si="43"/>
        <v>Osi.TemplateAddTo("ac23602b-ceee-4ef3-a6b8-601e40a5aa6f", GetHostCharacter(), 50, 1);</v>
      </c>
    </row>
    <row r="603">
      <c r="A603" s="21" t="str">
        <f>HYPERLINK("https://bg3.wiki/wiki/Arrow_of_Transposition", "Arrow of Transposition")</f>
        <v>Arrow of Transposition</v>
      </c>
      <c r="B603" s="22" t="s">
        <v>24</v>
      </c>
      <c r="C603" s="23" t="s">
        <v>27</v>
      </c>
      <c r="D603" s="24" t="str">
        <f t="shared" si="43"/>
        <v>Osi.TemplateAddTo("4cf7bbbb-1d1b-4bec-b82a-cdc3cce33f7a", GetHostCharacter(), 50, 1);</v>
      </c>
    </row>
    <row r="604">
      <c r="A604" s="21" t="str">
        <f>HYPERLINK("https://bg3.wiki/wiki/Arrow_of_Undead_Slaying", "Arrow of Undead Slaying")</f>
        <v>Arrow of Undead Slaying</v>
      </c>
      <c r="B604" s="22" t="s">
        <v>17</v>
      </c>
      <c r="C604" s="23" t="s">
        <v>553</v>
      </c>
      <c r="D604" s="24" t="str">
        <f t="shared" si="43"/>
        <v>Osi.TemplateAddTo("ae58df6b-0fc9-48ff-9d36-52bf9bc22204", GetHostCharacter(), 50, 1);</v>
      </c>
    </row>
    <row r="605">
      <c r="A605" s="21" t="str">
        <f>HYPERLINK("https://bg3.wiki/wiki/Barbed_Arrow", "Barbed Arrow")</f>
        <v>Barbed Arrow</v>
      </c>
      <c r="B605" s="22" t="s">
        <v>11</v>
      </c>
      <c r="C605" s="23" t="s">
        <v>554</v>
      </c>
      <c r="D605" s="24" t="str">
        <f t="shared" si="43"/>
        <v>Osi.TemplateAddTo("682364ab-2849-4625-be84-5ca1900834ff", GetHostCharacter(), 50, 1);</v>
      </c>
    </row>
    <row r="606">
      <c r="A606" s="38" t="str">
        <f>HYPERLINK("https://bg3.wiki/wiki/Smokepowder_Arrow", "Smokepowder Arrow")</f>
        <v>Smokepowder Arrow</v>
      </c>
      <c r="B606" s="39" t="s">
        <v>24</v>
      </c>
      <c r="C606" s="40" t="s">
        <v>28</v>
      </c>
      <c r="D606" s="41" t="str">
        <f t="shared" si="43"/>
        <v>Osi.TemplateAddTo("0788a2bb-c732-4ebb-abf9-2ef150f509be", GetHostCharacter(), 50, 1);</v>
      </c>
    </row>
  </sheetData>
  <mergeCells count="1">
    <mergeCell ref="A1:E1"/>
  </mergeCells>
  <conditionalFormatting sqref="B2:B606">
    <cfRule type="cellIs" dxfId="0" priority="1" operator="equal">
      <formula>"Common"</formula>
    </cfRule>
  </conditionalFormatting>
  <conditionalFormatting sqref="B2:B606">
    <cfRule type="cellIs" dxfId="1" priority="2" operator="equal">
      <formula>"rare"</formula>
    </cfRule>
  </conditionalFormatting>
  <conditionalFormatting sqref="B2:B606">
    <cfRule type="cellIs" dxfId="2" priority="3" operator="equal">
      <formula>"Very Rare"</formula>
    </cfRule>
  </conditionalFormatting>
  <conditionalFormatting sqref="B2:B606">
    <cfRule type="cellIs" dxfId="3" priority="4" operator="equal">
      <formula>"Uncommon"</formula>
    </cfRule>
  </conditionalFormatting>
  <conditionalFormatting sqref="B2:B606">
    <cfRule type="cellIs" dxfId="4" priority="5" operator="equal">
      <formula>"Legendary"</formula>
    </cfRule>
  </conditionalFormatting>
  <conditionalFormatting sqref="B2:B606">
    <cfRule type="cellIs" dxfId="5" priority="6" operator="equal">
      <formula>"Story Item"</formula>
    </cfRule>
  </conditionalFormatting>
  <conditionalFormatting sqref="C3:C606">
    <cfRule type="containsText" dxfId="6" priority="7" operator="containsText" text="todo">
      <formula>NOT(ISERROR(SEARCH(("todo"),(C3))))</formula>
    </cfRule>
  </conditionalFormatting>
  <hyperlinks>
    <hyperlink r:id="rId1" ref="E224"/>
  </hyperlinks>
  <drawing r:id="rId2"/>
  <tableParts count="37">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9.5"/>
    <col customWidth="1" min="3" max="3" width="20.13"/>
    <col customWidth="1" min="4" max="4" width="70.0"/>
    <col customWidth="1" min="5" max="5" width="11.88"/>
  </cols>
  <sheetData>
    <row r="1">
      <c r="A1" s="54" t="s">
        <v>555</v>
      </c>
    </row>
    <row r="2">
      <c r="A2" s="55" t="s">
        <v>556</v>
      </c>
      <c r="B2" s="22"/>
      <c r="C2" s="23"/>
      <c r="D2" s="22"/>
    </row>
    <row r="3">
      <c r="A3" s="34" t="s">
        <v>7</v>
      </c>
      <c r="B3" s="35" t="s">
        <v>8</v>
      </c>
      <c r="C3" s="35" t="s">
        <v>9</v>
      </c>
      <c r="D3" s="36" t="s">
        <v>10</v>
      </c>
      <c r="E3" s="37"/>
    </row>
    <row r="4">
      <c r="A4" s="21" t="str">
        <f>HYPERLINK("https://bg3.wiki/wiki/Absolute_Outfit", "Absolute Outfit")</f>
        <v>Absolute Outfit</v>
      </c>
      <c r="B4" s="22" t="s">
        <v>11</v>
      </c>
      <c r="C4" s="23" t="s">
        <v>557</v>
      </c>
      <c r="D4" s="24" t="str">
        <f t="shared" ref="D4:D111" si="1">"Osi.TemplateAddTo("""&amp; C4 &amp;""", GetHostCharacter(), 1, 1);"</f>
        <v>Osi.TemplateAddTo("ef840839-3516-43b1-823f-103b1e0b04bf", GetHostCharacter(), 1, 1);</v>
      </c>
    </row>
    <row r="5">
      <c r="A5" s="21" t="str">
        <f>HYPERLINK("https://bg3.wiki/wiki/Anarchic_Blue_Outfit", "Anarchic Blue Outfit")</f>
        <v>Anarchic Blue Outfit</v>
      </c>
      <c r="B5" s="22" t="s">
        <v>11</v>
      </c>
      <c r="C5" s="23" t="s">
        <v>558</v>
      </c>
      <c r="D5" s="24" t="str">
        <f t="shared" si="1"/>
        <v>Osi.TemplateAddTo("0004915f-4399-4ae1-beab-85a62c11b674", GetHostCharacter(), 1, 1);</v>
      </c>
    </row>
    <row r="6">
      <c r="A6" s="21" t="str">
        <f>HYPERLINK("https://bg3.wiki/wiki/Anarchic_White_Outfit", "Anarchic White Outfit")</f>
        <v>Anarchic White Outfit</v>
      </c>
      <c r="B6" s="22" t="s">
        <v>11</v>
      </c>
      <c r="C6" s="23" t="s">
        <v>559</v>
      </c>
      <c r="D6" s="24" t="str">
        <f t="shared" si="1"/>
        <v>Osi.TemplateAddTo("0e9c3ca7-070f-43e9-b642-bd0b21f76290", GetHostCharacter(), 1, 1);</v>
      </c>
    </row>
    <row r="7">
      <c r="A7" s="21" t="str">
        <f>HYPERLINK("https://bg3.wiki/wiki/Angelic_Scion_Outfit", "Angelic Scion Outfit")</f>
        <v>Angelic Scion Outfit</v>
      </c>
      <c r="B7" s="22" t="s">
        <v>11</v>
      </c>
      <c r="C7" s="23" t="s">
        <v>560</v>
      </c>
      <c r="D7" s="24" t="str">
        <f t="shared" si="1"/>
        <v>Osi.TemplateAddTo("62950ae1-b74f-46a6-bfd0-055c93bad651", GetHostCharacter(), 1, 1);</v>
      </c>
    </row>
    <row r="8">
      <c r="A8" s="21" t="str">
        <f>HYPERLINK("https://bg3.wiki/wiki/Astarion%27s_Eccentric_Clothes", "Astarion's Eccentric Clothes")</f>
        <v>Astarion's Eccentric Clothes</v>
      </c>
      <c r="B8" s="22" t="s">
        <v>11</v>
      </c>
      <c r="C8" s="23" t="s">
        <v>561</v>
      </c>
      <c r="D8" s="24" t="str">
        <f t="shared" si="1"/>
        <v>Osi.TemplateAddTo("b7392453-6569-4c24-9a1b-cbaea7cebac8", GetHostCharacter(), 1, 1);</v>
      </c>
    </row>
    <row r="9">
      <c r="A9" s="21" t="str">
        <f>HYPERLINK("https://bg3.wiki/wiki/Backless_Extravaganza", "Backless Extravaganza")</f>
        <v>Backless Extravaganza</v>
      </c>
      <c r="B9" s="22" t="s">
        <v>11</v>
      </c>
      <c r="C9" s="23" t="s">
        <v>562</v>
      </c>
      <c r="D9" s="24" t="str">
        <f t="shared" si="1"/>
        <v>Osi.TemplateAddTo("d0b540dd-c778-4573-b0cb-149a0309bfa2", GetHostCharacter(), 1, 1);</v>
      </c>
    </row>
    <row r="10">
      <c r="A10" s="21" t="str">
        <f>HYPERLINK("https://bg3.wiki/wiki/Black_Flare_Leather_Outfit", "Black Flare Leather Outfit")</f>
        <v>Black Flare Leather Outfit</v>
      </c>
      <c r="B10" s="22" t="s">
        <v>11</v>
      </c>
      <c r="C10" s="23" t="s">
        <v>563</v>
      </c>
      <c r="D10" s="24" t="str">
        <f t="shared" si="1"/>
        <v>Osi.TemplateAddTo("5efe9bb8-bffe-4c91-bbd6-bee4d5d0611c", GetHostCharacter(), 1, 1);</v>
      </c>
    </row>
    <row r="11">
      <c r="A11" s="21" t="str">
        <f>HYPERLINK("https://bg3.wiki/wiki/Blue_Flare_Leather_Outfit", "Blue Flare Leather Outfit")</f>
        <v>Blue Flare Leather Outfit</v>
      </c>
      <c r="B11" s="22" t="s">
        <v>11</v>
      </c>
      <c r="C11" s="23" t="s">
        <v>564</v>
      </c>
      <c r="D11" s="24" t="str">
        <f t="shared" si="1"/>
        <v>Osi.TemplateAddTo("6f3c80a9-14f8-481d-ab27-5426a00329e1", GetHostCharacter(), 1, 1);</v>
      </c>
    </row>
    <row r="12">
      <c r="A12" s="21" t="str">
        <f>HYPERLINK("https://bg3.wiki/wiki/Bright_Flare_Leather_Outfit", "Bright Flare Leather Outfit")</f>
        <v>Bright Flare Leather Outfit</v>
      </c>
      <c r="B12" s="22" t="s">
        <v>11</v>
      </c>
      <c r="C12" s="23" t="s">
        <v>565</v>
      </c>
      <c r="D12" s="24" t="str">
        <f t="shared" si="1"/>
        <v>Osi.TemplateAddTo("ab68a753-921f-4df5-9979-d9663cea078e", GetHostCharacter(), 1, 1);</v>
      </c>
    </row>
    <row r="13">
      <c r="A13" s="21" t="str">
        <f>HYPERLINK("https://bg3.wiki/wiki/Brocade_Ensemble", "Brocade Ensemble")</f>
        <v>Brocade Ensemble</v>
      </c>
      <c r="B13" s="22" t="s">
        <v>11</v>
      </c>
      <c r="C13" s="23" t="s">
        <v>566</v>
      </c>
      <c r="D13" s="24" t="str">
        <f t="shared" si="1"/>
        <v>Osi.TemplateAddTo("edb02b0e-3d91-4a81-a37d-f151bad68c6d", GetHostCharacter(), 1, 1);</v>
      </c>
    </row>
    <row r="14">
      <c r="A14" s="21" t="str">
        <f>HYPERLINK("https://bg3.wiki/wiki/Chandelier-Style_Embroidered_Ensemble", "Chandelier-Style Embroidered Ensemble")</f>
        <v>Chandelier-Style Embroidered Ensemble</v>
      </c>
      <c r="B14" s="22" t="s">
        <v>11</v>
      </c>
      <c r="C14" s="23" t="s">
        <v>567</v>
      </c>
      <c r="D14" s="24" t="str">
        <f t="shared" si="1"/>
        <v>Osi.TemplateAddTo("66685917-3cd9-4dc8-a792-319288dacb30", GetHostCharacter(), 1, 1);</v>
      </c>
    </row>
    <row r="15">
      <c r="A15" s="21" t="str">
        <f>HYPERLINK("https://bg3.wiki/wiki/Channeler%27s_Trunks", "Channeler's Trunks")</f>
        <v>Channeler's Trunks</v>
      </c>
      <c r="B15" s="22" t="s">
        <v>11</v>
      </c>
      <c r="C15" s="23" t="s">
        <v>568</v>
      </c>
      <c r="D15" s="24" t="str">
        <f t="shared" si="1"/>
        <v>Osi.TemplateAddTo("f6af55dd-a75a-46ea-87f0-89ebf4e7b74e", GetHostCharacter(), 1, 1);</v>
      </c>
    </row>
    <row r="16">
      <c r="A16" s="21" t="str">
        <f>HYPERLINK("https://bg3.wiki/wiki/Chatterbox%27s_Tabard", "Chatterbox's Tabard")</f>
        <v>Chatterbox's Tabard</v>
      </c>
      <c r="B16" s="22" t="s">
        <v>11</v>
      </c>
      <c r="C16" s="23" t="s">
        <v>569</v>
      </c>
      <c r="D16" s="24" t="str">
        <f t="shared" si="1"/>
        <v>Osi.TemplateAddTo("9dc4dafd-590a-44ec-8523-95136f46be9e", GetHostCharacter(), 1, 1);</v>
      </c>
    </row>
    <row r="17">
      <c r="A17" s="21" t="str">
        <f>HYPERLINK("https://bg3.wiki/wiki/Chocolatier_Style_Doublet", "Chocolatier Style Doublet")</f>
        <v>Chocolatier Style Doublet</v>
      </c>
      <c r="B17" s="22" t="s">
        <v>11</v>
      </c>
      <c r="C17" s="23" t="s">
        <v>570</v>
      </c>
      <c r="D17" s="24" t="str">
        <f t="shared" si="1"/>
        <v>Osi.TemplateAddTo("3fc58d24-9743-4e82-a4bd-ad18eda257cb", GetHostCharacter(), 1, 1);</v>
      </c>
    </row>
    <row r="18">
      <c r="A18" s="21" t="str">
        <f>HYPERLINK("https://bg3.wiki/wiki/Circus_Ensemble", "Circus Ensemble")</f>
        <v>Circus Ensemble</v>
      </c>
      <c r="B18" s="22" t="s">
        <v>11</v>
      </c>
      <c r="C18" s="23" t="s">
        <v>571</v>
      </c>
      <c r="D18" s="24" t="str">
        <f t="shared" si="1"/>
        <v>Osi.TemplateAddTo("76e754a1-9559-4cb7-b11b-045f1b8aada1", GetHostCharacter(), 1, 1);</v>
      </c>
    </row>
    <row r="19">
      <c r="A19" s="21" t="str">
        <f>HYPERLINK("https://bg3.wiki/wiki/City_of_Brass_Outfit", "City of Brass Outfit")</f>
        <v>City of Brass Outfit</v>
      </c>
      <c r="B19" s="22" t="s">
        <v>11</v>
      </c>
      <c r="C19" s="23" t="s">
        <v>572</v>
      </c>
      <c r="D19" s="24" t="str">
        <f t="shared" si="1"/>
        <v>Osi.TemplateAddTo("c65c5dd5-705c-4103-904c-0835d81bd846", GetHostCharacter(), 1, 1);</v>
      </c>
    </row>
    <row r="20">
      <c r="A20" s="21" t="str">
        <f>HYPERLINK("https://bg3.wiki/wiki/Comfortable_Ashmeadow_Outfit", "Comfortable Ashmeadow Outfit")</f>
        <v>Comfortable Ashmeadow Outfit</v>
      </c>
      <c r="B20" s="22" t="s">
        <v>11</v>
      </c>
      <c r="C20" s="23" t="s">
        <v>573</v>
      </c>
      <c r="D20" s="24" t="str">
        <f t="shared" si="1"/>
        <v>Osi.TemplateAddTo("eff198aa-7040-4893-bde4-b0983c08142c", GetHostCharacter(), 1, 1);</v>
      </c>
    </row>
    <row r="21">
      <c r="A21" s="21" t="str">
        <f>HYPERLINK("https://bg3.wiki/wiki/Comfortable_Autumnal_Outfit", "Comfortable Autumnal Outfit")</f>
        <v>Comfortable Autumnal Outfit</v>
      </c>
      <c r="B21" s="22" t="s">
        <v>11</v>
      </c>
      <c r="C21" s="23" t="s">
        <v>574</v>
      </c>
      <c r="D21" s="24" t="str">
        <f t="shared" si="1"/>
        <v>Osi.TemplateAddTo("d73c75f6-7fbf-4336-817e-aab883c47406", GetHostCharacter(), 1, 1);</v>
      </c>
    </row>
    <row r="22">
      <c r="A22" s="21" t="str">
        <f>HYPERLINK("https://bg3.wiki/wiki/Comfortable_Blue-Red_Outfit", "Comfortable Blue-Red Outfit")</f>
        <v>Comfortable Blue-Red Outfit</v>
      </c>
      <c r="B22" s="22" t="s">
        <v>11</v>
      </c>
      <c r="C22" s="23" t="s">
        <v>575</v>
      </c>
      <c r="D22" s="24" t="str">
        <f t="shared" si="1"/>
        <v>Osi.TemplateAddTo("516d4737-5f69-4083-8bae-3f09e5aab180", GetHostCharacter(), 1, 1);</v>
      </c>
    </row>
    <row r="23">
      <c r="A23" s="21" t="str">
        <f>HYPERLINK("https://bg3.wiki/wiki/Comfortable_Red_Shirt", "Comfortable Red Shirt")</f>
        <v>Comfortable Red Shirt</v>
      </c>
      <c r="B23" s="22" t="s">
        <v>11</v>
      </c>
      <c r="C23" s="23" t="s">
        <v>576</v>
      </c>
      <c r="D23" s="24" t="str">
        <f t="shared" si="1"/>
        <v>Osi.TemplateAddTo("4866f90d-ee70-43a8-96a4-35511f4b824e", GetHostCharacter(), 1, 1);</v>
      </c>
    </row>
    <row r="24">
      <c r="A24" s="21" t="str">
        <f>HYPERLINK("https://bg3.wiki/wiki/Cosy_Blue_Shirt", "Cosy Blue Shirt")</f>
        <v>Cosy Blue Shirt</v>
      </c>
      <c r="B24" s="22" t="s">
        <v>11</v>
      </c>
      <c r="C24" s="23" t="s">
        <v>577</v>
      </c>
      <c r="D24" s="24" t="str">
        <f t="shared" si="1"/>
        <v>Osi.TemplateAddTo("e03b6708-5865-409d-8855-67aa834c60bd", GetHostCharacter(), 1, 1);</v>
      </c>
    </row>
    <row r="25">
      <c r="A25" s="21" t="str">
        <f>HYPERLINK("https://bg3.wiki/wiki/Cut-Throat_Leather_Ensemble", "Cut-Throat Leather Ensemble")</f>
        <v>Cut-Throat Leather Ensemble</v>
      </c>
      <c r="B25" s="22" t="s">
        <v>11</v>
      </c>
      <c r="C25" s="23" t="s">
        <v>578</v>
      </c>
      <c r="D25" s="24" t="str">
        <f t="shared" si="1"/>
        <v>Osi.TemplateAddTo("9c035563-05ee-47e1-a3e0-e0420a07f534", GetHostCharacter(), 1, 1);</v>
      </c>
    </row>
    <row r="26">
      <c r="A26" s="21" t="str">
        <f>HYPERLINK("https://bg3.wiki/wiki/Dandy%27s_Dream_Ensemble", "Dandy's Dream Ensemble")</f>
        <v>Dandy's Dream Ensemble</v>
      </c>
      <c r="B26" s="22" t="s">
        <v>11</v>
      </c>
      <c r="C26" s="23" t="s">
        <v>579</v>
      </c>
      <c r="D26" s="24" t="str">
        <f t="shared" si="1"/>
        <v>Osi.TemplateAddTo("13084436-5d19-4cef-ae53-02857497fc28", GetHostCharacter(), 1, 1);</v>
      </c>
    </row>
    <row r="27">
      <c r="A27" s="21" t="str">
        <f>HYPERLINK("https://bg3.wiki/wiki/Debtor%27s_Attire", "Debtor's Attire (Shirt)")</f>
        <v>Debtor's Attire (Shirt)</v>
      </c>
      <c r="B27" s="22" t="s">
        <v>55</v>
      </c>
      <c r="C27" s="23" t="s">
        <v>580</v>
      </c>
      <c r="D27" s="24" t="str">
        <f t="shared" si="1"/>
        <v>Osi.TemplateAddTo("6f7d15a8-9bcb-45de-94c5-8c77424aaf42", GetHostCharacter(), 1, 1);</v>
      </c>
    </row>
    <row r="28">
      <c r="A28" s="21" t="str">
        <f>HYPERLINK("https://bg3.wiki/wiki/Debtor%27s_Attire", "Debtor's Attire (Vest)")</f>
        <v>Debtor's Attire (Vest)</v>
      </c>
      <c r="B28" s="22" t="s">
        <v>55</v>
      </c>
      <c r="C28" s="23" t="s">
        <v>581</v>
      </c>
      <c r="D28" s="24" t="str">
        <f t="shared" si="1"/>
        <v>Osi.TemplateAddTo("30c5721d-bdc3-4150-8cd1-d99197eb4870", GetHostCharacter(), 1, 1);</v>
      </c>
    </row>
    <row r="29">
      <c r="A29" s="21" t="str">
        <f>HYPERLINK("https://bg3.wiki/wiki/Decadent_Ensemble", "Decadent Ensemble")</f>
        <v>Decadent Ensemble</v>
      </c>
      <c r="B29" s="22" t="s">
        <v>11</v>
      </c>
      <c r="C29" s="23" t="s">
        <v>582</v>
      </c>
      <c r="D29" s="24" t="str">
        <f t="shared" si="1"/>
        <v>Osi.TemplateAddTo("76f26388-daff-440a-a4f3-dba4f78e548c", GetHostCharacter(), 1, 1);</v>
      </c>
    </row>
    <row r="30">
      <c r="A30" s="21" t="str">
        <f>HYPERLINK("https://bg3.wiki/wiki/Delicately_Constructed_Outfit", "Delicately Constructed Outfit")</f>
        <v>Delicately Constructed Outfit</v>
      </c>
      <c r="B30" s="22" t="s">
        <v>11</v>
      </c>
      <c r="C30" s="23" t="s">
        <v>583</v>
      </c>
      <c r="D30" s="24" t="str">
        <f t="shared" si="1"/>
        <v>Osi.TemplateAddTo("0469f558-e4f0-4eb5-b4b2-bf00b8e0aa15", GetHostCharacter(), 1, 1);</v>
      </c>
    </row>
    <row r="31">
      <c r="A31" s="21" t="str">
        <f>HYPERLINK("https://bg3.wiki/wiki/Destitute_Clothes", "Destitute Clothes")</f>
        <v>Destitute Clothes</v>
      </c>
      <c r="B31" s="22" t="s">
        <v>11</v>
      </c>
      <c r="C31" s="23" t="s">
        <v>584</v>
      </c>
      <c r="D31" s="24" t="str">
        <f t="shared" si="1"/>
        <v>Osi.TemplateAddTo("42c04143-38cb-4112-91de-0d5ed0ca7101", GetHostCharacter(), 1, 1);</v>
      </c>
    </row>
    <row r="32">
      <c r="A32" s="21" t="str">
        <f>HYPERLINK("https://bg3.wiki/wiki/Diamond_Blue_Doublet", "Diamond Blue Doublet")</f>
        <v>Diamond Blue Doublet</v>
      </c>
      <c r="B32" s="22" t="s">
        <v>11</v>
      </c>
      <c r="C32" s="23" t="s">
        <v>585</v>
      </c>
      <c r="D32" s="24" t="str">
        <f t="shared" si="1"/>
        <v>Osi.TemplateAddTo("a6e5ebd6-beb6-4d67-8aeb-254a2b063332", GetHostCharacter(), 1, 1);</v>
      </c>
    </row>
    <row r="33">
      <c r="A33" s="21" t="str">
        <f>HYPERLINK("https://bg3.wiki/wiki/Diamond_Pattern_Garb", "Diamond Pattern Garb")</f>
        <v>Diamond Pattern Garb</v>
      </c>
      <c r="B33" s="22" t="s">
        <v>11</v>
      </c>
      <c r="C33" s="23" t="s">
        <v>586</v>
      </c>
      <c r="D33" s="24" t="str">
        <f t="shared" si="1"/>
        <v>Osi.TemplateAddTo("c1212df0-3f47-4af7-b98a-164fca31da97", GetHostCharacter(), 1, 1);</v>
      </c>
    </row>
    <row r="34">
      <c r="A34" s="21" t="str">
        <f>HYPERLINK("https://bg3.wiki/wiki/Drow_Outfit", "Drow Outfit")</f>
        <v>Drow Outfit</v>
      </c>
      <c r="B34" s="22" t="s">
        <v>11</v>
      </c>
      <c r="C34" s="23" t="s">
        <v>587</v>
      </c>
      <c r="D34" s="24" t="str">
        <f t="shared" si="1"/>
        <v>Osi.TemplateAddTo("7ab22473-bb9a-49f4-9890-4d3a691331b6", GetHostCharacter(), 1, 1);</v>
      </c>
    </row>
    <row r="35">
      <c r="A35" s="21" t="str">
        <f>HYPERLINK("https://bg3.wiki/wiki/Duke%27s_Magnificent_Raiments", "Duke's Magnificent Raiments")</f>
        <v>Duke's Magnificent Raiments</v>
      </c>
      <c r="B35" s="22" t="s">
        <v>11</v>
      </c>
      <c r="C35" s="23" t="s">
        <v>588</v>
      </c>
      <c r="D35" s="24" t="str">
        <f t="shared" si="1"/>
        <v>Osi.TemplateAddTo("7f89e3b8-61ef-498b-bd1b-77f996c5ec42", GetHostCharacter(), 1, 1);</v>
      </c>
    </row>
    <row r="36">
      <c r="A36" s="21" t="str">
        <f>HYPERLINK("https://bg3.wiki/wiki/Dusky_Ensemble", "Dusky Ensemble")</f>
        <v>Dusky Ensemble</v>
      </c>
      <c r="B36" s="22" t="s">
        <v>11</v>
      </c>
      <c r="C36" s="23" t="s">
        <v>589</v>
      </c>
      <c r="D36" s="24" t="str">
        <f t="shared" si="1"/>
        <v>Osi.TemplateAddTo("79bb5a64-2019-4818-a898-de179b6bc44c", GetHostCharacter(), 1, 1);</v>
      </c>
    </row>
    <row r="37">
      <c r="A37" s="21" t="str">
        <f>HYPERLINK("https://bg3.wiki/wiki/Elegant_Robe", "Elegant Robe")</f>
        <v>Elegant Robe</v>
      </c>
      <c r="B37" s="22" t="s">
        <v>11</v>
      </c>
      <c r="C37" s="23" t="s">
        <v>590</v>
      </c>
      <c r="D37" s="24" t="str">
        <f t="shared" si="1"/>
        <v>Osi.TemplateAddTo("2f7aadd5-65ea-4ab6-8c55-88ee584c72df", GetHostCharacter(), 1, 1);</v>
      </c>
    </row>
    <row r="38">
      <c r="A38" s="21" t="str">
        <f>HYPERLINK("https://bg3.wiki/wiki/Embroidered_Ensemble", "Embroidered Ensemble")</f>
        <v>Embroidered Ensemble</v>
      </c>
      <c r="B38" s="22" t="s">
        <v>11</v>
      </c>
      <c r="C38" s="23" t="s">
        <v>591</v>
      </c>
      <c r="D38" s="24" t="str">
        <f t="shared" si="1"/>
        <v>Osi.TemplateAddTo("1cb24313-5ed1-43b7-ab4a-cdf2118422ea", GetHostCharacter(), 1, 1);</v>
      </c>
    </row>
    <row r="39">
      <c r="A39" s="21" t="str">
        <f>HYPERLINK("https://bg3.wiki/wiki/Eminent_Emerald_Outfit", "Eminent Emerald Outfit")</f>
        <v>Eminent Emerald Outfit</v>
      </c>
      <c r="B39" s="22" t="s">
        <v>11</v>
      </c>
      <c r="C39" s="23" t="s">
        <v>592</v>
      </c>
      <c r="D39" s="24" t="str">
        <f t="shared" si="1"/>
        <v>Osi.TemplateAddTo("c2024c47-967b-4d6b-bfb3-978f502d1321", GetHostCharacter(), 1, 1);</v>
      </c>
    </row>
    <row r="40">
      <c r="A40" s="21" t="str">
        <f>HYPERLINK("https://bg3.wiki/wiki/Eminent_Obsidian_Outfit", "Eminent Obsidian Outfit")</f>
        <v>Eminent Obsidian Outfit</v>
      </c>
      <c r="B40" s="22" t="s">
        <v>11</v>
      </c>
      <c r="C40" s="23" t="s">
        <v>593</v>
      </c>
      <c r="D40" s="24" t="str">
        <f t="shared" si="1"/>
        <v>Osi.TemplateAddTo("164ebd0f-432e-4aa6-8589-5dccafc8383e", GetHostCharacter(), 1, 1);</v>
      </c>
    </row>
    <row r="41">
      <c r="A41" s="21" t="str">
        <f>HYPERLINK("https://bg3.wiki/wiki/Fastidiously_Perfect_Outfit", "Fastidiously Perfect Outfit")</f>
        <v>Fastidiously Perfect Outfit</v>
      </c>
      <c r="B41" s="22" t="s">
        <v>11</v>
      </c>
      <c r="C41" s="23" t="s">
        <v>594</v>
      </c>
      <c r="D41" s="24" t="str">
        <f t="shared" si="1"/>
        <v>Osi.TemplateAddTo("a38159ef-a981-4abd-bcdd-58e61558960e", GetHostCharacter(), 1, 1);</v>
      </c>
    </row>
    <row r="42">
      <c r="A42" s="21" t="str">
        <f>HYPERLINK("https://bg3.wiki/wiki/Finely_Crafted_Ensemble", "Finely Crafted Ensemble")</f>
        <v>Finely Crafted Ensemble</v>
      </c>
      <c r="B42" s="22" t="s">
        <v>11</v>
      </c>
      <c r="C42" s="23" t="s">
        <v>595</v>
      </c>
      <c r="D42" s="24" t="str">
        <f t="shared" si="1"/>
        <v>Osi.TemplateAddTo("d873fb44-94c7-4b74-a272-1d2e5e43a7ef", GetHostCharacter(), 1, 1);</v>
      </c>
    </row>
    <row r="43">
      <c r="A43" s="21" t="str">
        <f>HYPERLINK("https://bg3.wiki/wiki/Frilly_Outfit", "Frilly Outfit")</f>
        <v>Frilly Outfit</v>
      </c>
      <c r="B43" s="22" t="s">
        <v>11</v>
      </c>
      <c r="C43" s="23" t="s">
        <v>596</v>
      </c>
      <c r="D43" s="24" t="str">
        <f t="shared" si="1"/>
        <v>Osi.TemplateAddTo("782e430e-caef-42eb-abc4-6406544e9714", GetHostCharacter(), 1, 1);</v>
      </c>
    </row>
    <row r="44">
      <c r="A44" s="21" t="str">
        <f>HYPERLINK("https://bg3.wiki/wiki/Gale%27s_Austere_Clothes", "Gale's Austere Clothes")</f>
        <v>Gale's Austere Clothes</v>
      </c>
      <c r="B44" s="22" t="s">
        <v>11</v>
      </c>
      <c r="C44" s="23" t="s">
        <v>597</v>
      </c>
      <c r="D44" s="24" t="str">
        <f t="shared" si="1"/>
        <v>Osi.TemplateAddTo("c56bbf29-2315-415e-a488-fada851828ea", GetHostCharacter(), 1, 1);</v>
      </c>
    </row>
    <row r="45">
      <c r="A45" s="21" t="str">
        <f>HYPERLINK("https://bg3.wiki/wiki/Glittering_Garb", "Glittering Garb")</f>
        <v>Glittering Garb</v>
      </c>
      <c r="B45" s="22" t="s">
        <v>11</v>
      </c>
      <c r="C45" s="23" t="s">
        <v>598</v>
      </c>
      <c r="D45" s="24" t="str">
        <f t="shared" si="1"/>
        <v>Osi.TemplateAddTo("eedda7b5-c1f4-4633-8034-30e63f7ce581", GetHostCharacter(), 1, 1);</v>
      </c>
    </row>
    <row r="46">
      <c r="A46" s="21" t="str">
        <f>HYPERLINK("https://bg3.wiki/wiki/Green_Flare_Leather_Outfit", "Green Flare Leather Outfit")</f>
        <v>Green Flare Leather Outfit</v>
      </c>
      <c r="B46" s="22" t="s">
        <v>11</v>
      </c>
      <c r="C46" s="23" t="s">
        <v>599</v>
      </c>
      <c r="D46" s="24" t="str">
        <f t="shared" si="1"/>
        <v>Osi.TemplateAddTo("cf7e5e2f-d791-4929-b1bc-a7ba35db1687", GetHostCharacter(), 1, 1);</v>
      </c>
    </row>
    <row r="47">
      <c r="A47" s="21" t="str">
        <f>HYPERLINK("https://bg3.wiki/wiki/Grubby_Ochre_Clothes", "Grubby Ochre Clothes")</f>
        <v>Grubby Ochre Clothes</v>
      </c>
      <c r="B47" s="22" t="s">
        <v>11</v>
      </c>
      <c r="C47" s="23" t="s">
        <v>600</v>
      </c>
      <c r="D47" s="24" t="str">
        <f t="shared" si="1"/>
        <v>Osi.TemplateAddTo("543d5c85-d5c5-4768-be78-b8173c4e6450", GetHostCharacter(), 1, 1);</v>
      </c>
    </row>
    <row r="48">
      <c r="A48" s="21" t="str">
        <f>HYPERLINK("https://bg3.wiki/wiki/Grubby_Ochre_Clothes_(Dark_Urge)", "Grubby Ochre Clothes (Dark Urge)")</f>
        <v>Grubby Ochre Clothes (Dark Urge)</v>
      </c>
      <c r="B48" s="22" t="s">
        <v>11</v>
      </c>
      <c r="C48" s="23" t="s">
        <v>601</v>
      </c>
      <c r="D48" s="24" t="str">
        <f t="shared" si="1"/>
        <v>Osi.TemplateAddTo("bdc2247f-32a3-4ded-bffc-8aeb770f23d4", GetHostCharacter(), 1, 1);</v>
      </c>
    </row>
    <row r="49">
      <c r="A49" s="21" t="str">
        <f>HYPERLINK("https://bg3.wiki/wiki/Halsin%27s_Grove_Garments", "Halsin's Grove Garments")</f>
        <v>Halsin's Grove Garments</v>
      </c>
      <c r="B49" s="22" t="s">
        <v>11</v>
      </c>
      <c r="C49" s="23" t="s">
        <v>602</v>
      </c>
      <c r="D49" s="24" t="str">
        <f t="shared" si="1"/>
        <v>Osi.TemplateAddTo("dc74db6c-14b2-44fa-8415-0dd1194e90e2", GetHostCharacter(), 1, 1);</v>
      </c>
    </row>
    <row r="50">
      <c r="A50" s="21" t="str">
        <f>HYPERLINK("https://bg3.wiki/wiki/Harper_Finery", "Harper Finery")</f>
        <v>Harper Finery</v>
      </c>
      <c r="B50" s="22" t="s">
        <v>11</v>
      </c>
      <c r="C50" s="23" t="s">
        <v>603</v>
      </c>
      <c r="D50" s="24" t="str">
        <f t="shared" si="1"/>
        <v>Osi.TemplateAddTo("bdef460b-374e-45d6-86f7-d272a927b380", GetHostCharacter(), 1, 1);</v>
      </c>
    </row>
    <row r="51">
      <c r="A51" s="21" t="str">
        <f>HYPERLINK("https://bg3.wiki/wiki/Homely_Clothes", "Homely Clothes")</f>
        <v>Homely Clothes</v>
      </c>
      <c r="B51" s="22" t="s">
        <v>11</v>
      </c>
      <c r="C51" s="23" t="s">
        <v>604</v>
      </c>
      <c r="D51" s="24" t="str">
        <f t="shared" si="1"/>
        <v>Osi.TemplateAddTo("f369f4fa-2da7-4693-a147-16cfaf02bca5", GetHostCharacter(), 1, 1);</v>
      </c>
    </row>
    <row r="52">
      <c r="A52" s="21" t="str">
        <f>HYPERLINK("https://bg3.wiki/wiki/Hot_Pants", "Hot Pants")</f>
        <v>Hot Pants</v>
      </c>
      <c r="B52" s="22" t="s">
        <v>11</v>
      </c>
      <c r="C52" s="23" t="s">
        <v>605</v>
      </c>
      <c r="D52" s="24" t="str">
        <f t="shared" si="1"/>
        <v>Osi.TemplateAddTo("24149d5d-c509-48dc-b026-491c11e60a5c", GetHostCharacter(), 1, 1);</v>
      </c>
    </row>
    <row r="53">
      <c r="A53" s="21" t="str">
        <f>HYPERLINK("https://bg3.wiki/wiki/Jaheira%27s_Respectable_Clothes", "Jaheira's Respectable Clothes")</f>
        <v>Jaheira's Respectable Clothes</v>
      </c>
      <c r="B53" s="22" t="s">
        <v>11</v>
      </c>
      <c r="C53" s="23" t="s">
        <v>606</v>
      </c>
      <c r="D53" s="24" t="str">
        <f t="shared" si="1"/>
        <v>Osi.TemplateAddTo("0d0d9c0f-e9aa-4ba4-a0a9-1a0b7b7069ca", GetHostCharacter(), 1, 1);</v>
      </c>
    </row>
    <row r="54">
      <c r="A54" s="21" t="str">
        <f>HYPERLINK("https://bg3.wiki/wiki/Karlach%27s_Infernal_Trousers", "Karlach's Infernal Trousers")</f>
        <v>Karlach's Infernal Trousers</v>
      </c>
      <c r="B54" s="22" t="s">
        <v>11</v>
      </c>
      <c r="C54" s="23" t="s">
        <v>607</v>
      </c>
      <c r="D54" s="24" t="str">
        <f t="shared" si="1"/>
        <v>Osi.TemplateAddTo("5c79e518-2c59-41c5-84a7-d43a58e76d09", GetHostCharacter(), 1, 1);</v>
      </c>
    </row>
    <row r="55">
      <c r="A55" s="21" t="str">
        <f>HYPERLINK("https://bg3.wiki/wiki/Lacey_Garb", "Lacey Garb")</f>
        <v>Lacey Garb</v>
      </c>
      <c r="B55" s="22" t="s">
        <v>11</v>
      </c>
      <c r="C55" s="23" t="s">
        <v>608</v>
      </c>
      <c r="D55" s="24" t="str">
        <f t="shared" si="1"/>
        <v>Osi.TemplateAddTo("e22c8a04-ab6b-4315-a784-81fabb2b8db9", GetHostCharacter(), 1, 1);</v>
      </c>
    </row>
    <row r="56">
      <c r="A56" s="21" t="str">
        <f>HYPERLINK("https://bg3.wiki/wiki/Lae%27zel%27s_Clothes", "Lae'zel's Clothes")</f>
        <v>Lae'zel's Clothes</v>
      </c>
      <c r="B56" s="22" t="s">
        <v>11</v>
      </c>
      <c r="C56" s="23" t="s">
        <v>609</v>
      </c>
      <c r="D56" s="24" t="str">
        <f t="shared" si="1"/>
        <v>Osi.TemplateAddTo("54de4a07-c57c-421e-912c-7e8bd93ca0c4", GetHostCharacter(), 1, 1);</v>
      </c>
    </row>
    <row r="57">
      <c r="A57" s="21" t="str">
        <f>HYPERLINK("https://bg3.wiki/wiki/Leathery_Garb", "Leathery Garb")</f>
        <v>Leathery Garb</v>
      </c>
      <c r="B57" s="22" t="s">
        <v>11</v>
      </c>
      <c r="C57" s="23" t="s">
        <v>610</v>
      </c>
      <c r="D57" s="24" t="str">
        <f t="shared" si="1"/>
        <v>Osi.TemplateAddTo("82fa106f-3fb9-4c00-818f-5e5df5deb434", GetHostCharacter(), 1, 1);</v>
      </c>
    </row>
    <row r="58">
      <c r="A58" s="21" t="str">
        <f>HYPERLINK("https://bg3.wiki/wiki/Lionheart_Green-Pink_Outfit", "Lionheart Green-Pink Outfit")</f>
        <v>Lionheart Green-Pink Outfit</v>
      </c>
      <c r="B58" s="22" t="s">
        <v>11</v>
      </c>
      <c r="C58" s="23" t="s">
        <v>611</v>
      </c>
      <c r="D58" s="24" t="str">
        <f t="shared" si="1"/>
        <v>Osi.TemplateAddTo("1c6c44c6-4bc5-44f6-b5f6-8d3cc4654134", GetHostCharacter(), 1, 1);</v>
      </c>
    </row>
    <row r="59">
      <c r="A59" s="21" t="str">
        <f>HYPERLINK("https://bg3.wiki/wiki/Lionheart_Outfit", "Lionheart Outfit")</f>
        <v>Lionheart Outfit</v>
      </c>
      <c r="B59" s="22" t="s">
        <v>11</v>
      </c>
      <c r="C59" s="23" t="s">
        <v>612</v>
      </c>
      <c r="D59" s="24" t="str">
        <f t="shared" si="1"/>
        <v>Osi.TemplateAddTo("91bb667d-239b-4d56-9287-c41124736872", GetHostCharacter(), 1, 1);</v>
      </c>
    </row>
    <row r="60">
      <c r="A60" s="21" t="str">
        <f>HYPERLINK("https://bg3.wiki/wiki/Lionheart_Teal_Outfit", "Lionheart Teal Outfit")</f>
        <v>Lionheart Teal Outfit</v>
      </c>
      <c r="B60" s="22" t="s">
        <v>11</v>
      </c>
      <c r="C60" s="23" t="s">
        <v>613</v>
      </c>
      <c r="D60" s="24" t="str">
        <f t="shared" si="1"/>
        <v>Osi.TemplateAddTo("6cd27edd-fd6b-491b-8263-c01d9dd915aa", GetHostCharacter(), 1, 1);</v>
      </c>
    </row>
    <row r="61">
      <c r="A61" s="21" t="str">
        <f>HYPERLINK("https://bg3.wiki/wiki/Magnificently_Realised_Ensemble", "Magnificently Realised Ensemble")</f>
        <v>Magnificently Realised Ensemble</v>
      </c>
      <c r="B61" s="22" t="s">
        <v>11</v>
      </c>
      <c r="C61" s="23" t="s">
        <v>614</v>
      </c>
      <c r="D61" s="24" t="str">
        <f t="shared" si="1"/>
        <v>Osi.TemplateAddTo("2e3d2a61-a0ba-495c-80e2-faa452542035", GetHostCharacter(), 1, 1);</v>
      </c>
    </row>
    <row r="62">
      <c r="A62" s="21" t="str">
        <f>HYPERLINK("https://bg3.wiki/wiki/Mellow_Black_Shirt", "Mellow Black Shirt")</f>
        <v>Mellow Black Shirt</v>
      </c>
      <c r="B62" s="22" t="s">
        <v>11</v>
      </c>
      <c r="C62" s="23" t="s">
        <v>615</v>
      </c>
      <c r="D62" s="24" t="str">
        <f t="shared" si="1"/>
        <v>Osi.TemplateAddTo("67f1d175-a03b-4cb0-bf3c-c7304b147aca", GetHostCharacter(), 1, 1);</v>
      </c>
    </row>
    <row r="63">
      <c r="A63" s="21" t="str">
        <f>HYPERLINK("https://bg3.wiki/wiki/Mesmerising_Circus_Outfit", "Mesmerising Circus Outfit")</f>
        <v>Mesmerising Circus Outfit</v>
      </c>
      <c r="B63" s="22" t="s">
        <v>11</v>
      </c>
      <c r="C63" s="23" t="s">
        <v>616</v>
      </c>
      <c r="D63" s="24" t="str">
        <f t="shared" si="1"/>
        <v>Osi.TemplateAddTo("c03c2a3c-9e84-4042-8267-189ccb2af715", GetHostCharacter(), 1, 1);</v>
      </c>
    </row>
    <row r="64">
      <c r="A64" s="21" t="str">
        <f>HYPERLINK("https://bg3.wiki/wiki/Minsc%27s_Fantastical_Relaxation_Garb", "Minsc's Fantastical Relaxation Garb")</f>
        <v>Minsc's Fantastical Relaxation Garb</v>
      </c>
      <c r="B64" s="22" t="s">
        <v>11</v>
      </c>
      <c r="C64" s="23" t="s">
        <v>617</v>
      </c>
      <c r="D64" s="24" t="str">
        <f t="shared" si="1"/>
        <v>Osi.TemplateAddTo("42ff9d36-849d-4777-968c-8cf9ca7d8027", GetHostCharacter(), 1, 1);</v>
      </c>
    </row>
    <row r="65">
      <c r="A65" s="21" t="str">
        <f>HYPERLINK("https://bg3.wiki/wiki/Minsc%27s_Underwear", "Minsc's Underwear")</f>
        <v>Minsc's Underwear</v>
      </c>
      <c r="B65" s="22" t="s">
        <v>11</v>
      </c>
      <c r="C65" s="23" t="s">
        <v>618</v>
      </c>
      <c r="D65" s="24" t="str">
        <f t="shared" si="1"/>
        <v>Osi.TemplateAddTo("0ebb7321-c215-490f-b314-b1a3cd44b6fa", GetHostCharacter(), 1, 1);</v>
      </c>
    </row>
    <row r="66">
      <c r="A66" s="21" t="str">
        <f>HYPERLINK("https://bg3.wiki/wiki/Minthara%27s_At-Ease_Clothes", "Minthara's At-Ease Clothes")</f>
        <v>Minthara's At-Ease Clothes</v>
      </c>
      <c r="B66" s="22" t="s">
        <v>11</v>
      </c>
      <c r="C66" s="23" t="s">
        <v>619</v>
      </c>
      <c r="D66" s="24" t="str">
        <f t="shared" si="1"/>
        <v>Osi.TemplateAddTo("29a31736-6f9d-46ef-880d-ac3157187202", GetHostCharacter(), 1, 1);</v>
      </c>
    </row>
    <row r="67">
      <c r="A67" s="21" t="str">
        <f>HYPERLINK("https://bg3.wiki/wiki/Moonlit_Ensemble", "Moonlit Ensemble")</f>
        <v>Moonlit Ensemble</v>
      </c>
      <c r="B67" s="22" t="s">
        <v>11</v>
      </c>
      <c r="C67" s="23" t="s">
        <v>620</v>
      </c>
      <c r="D67" s="24" t="str">
        <f t="shared" si="1"/>
        <v>Osi.TemplateAddTo("7d65044d-0d01-44c8-b665-165f0ecc768c", GetHostCharacter(), 1, 1);</v>
      </c>
    </row>
    <row r="68">
      <c r="A68" s="21" t="str">
        <f>HYPERLINK("https://bg3.wiki/wiki/Netherese_Briefs", "Netherese Briefs")</f>
        <v>Netherese Briefs</v>
      </c>
      <c r="B68" s="22" t="s">
        <v>11</v>
      </c>
      <c r="C68" s="23" t="s">
        <v>621</v>
      </c>
      <c r="D68" s="24" t="str">
        <f t="shared" si="1"/>
        <v>Osi.TemplateAddTo("5cdc0fe0-dbda-4f31-89f8-9e16782daef1", GetHostCharacter(), 1, 1);</v>
      </c>
    </row>
    <row r="69">
      <c r="A69" s="21" t="str">
        <f>HYPERLINK("https://bg3.wiki/wiki/Nomad%27s_Garb", "Nomad's Garb")</f>
        <v>Nomad's Garb</v>
      </c>
      <c r="B69" s="22" t="s">
        <v>11</v>
      </c>
      <c r="C69" s="23" t="s">
        <v>622</v>
      </c>
      <c r="D69" s="24" t="str">
        <f t="shared" si="1"/>
        <v>Osi.TemplateAddTo("9747dbb0-0f92-483e-80fc-391390d416f9", GetHostCharacter(), 1, 1);</v>
      </c>
    </row>
    <row r="70">
      <c r="A70" s="21" t="str">
        <f>HYPERLINK("https://bg3.wiki/wiki/Opalescent_Outfit", "Opalescent Outfit")</f>
        <v>Opalescent Outfit</v>
      </c>
      <c r="B70" s="22" t="s">
        <v>11</v>
      </c>
      <c r="C70" s="23" t="s">
        <v>623</v>
      </c>
      <c r="D70" s="24" t="str">
        <f t="shared" si="1"/>
        <v>Osi.TemplateAddTo("f577a9be-8793-48da-a03d-e66d993dc4e7", GetHostCharacter(), 1, 1);</v>
      </c>
    </row>
    <row r="71">
      <c r="A71" s="21" t="str">
        <f>HYPERLINK("https://bg3.wiki/wiki/Prison_Tatters", "Prison Tatters")</f>
        <v>Prison Tatters</v>
      </c>
      <c r="B71" s="22" t="s">
        <v>11</v>
      </c>
      <c r="C71" s="23" t="s">
        <v>624</v>
      </c>
      <c r="D71" s="24" t="str">
        <f t="shared" si="1"/>
        <v>Osi.TemplateAddTo("ffe2cacb-8073-4e6d-bf81-057da0c5030c", GetHostCharacter(), 1, 1);</v>
      </c>
    </row>
    <row r="72">
      <c r="A72" s="21" t="str">
        <f>HYPERLINK("https://bg3.wiki/wiki/Raffish_Bronze-Red_Outfit", "Raffish Bronze-Red Outfit")</f>
        <v>Raffish Bronze-Red Outfit</v>
      </c>
      <c r="B72" s="22" t="s">
        <v>11</v>
      </c>
      <c r="C72" s="23" t="s">
        <v>625</v>
      </c>
      <c r="D72" s="24" t="str">
        <f t="shared" si="1"/>
        <v>Osi.TemplateAddTo("220d0f79-5016-407d-aaa6-5fb4208dcc56", GetHostCharacter(), 1, 1);</v>
      </c>
    </row>
    <row r="73">
      <c r="A73" s="21" t="str">
        <f>HYPERLINK("https://bg3.wiki/wiki/Raffish_Chestnut_Outfit", "Raffish Chestnut Outfit")</f>
        <v>Raffish Chestnut Outfit</v>
      </c>
      <c r="B73" s="22" t="s">
        <v>11</v>
      </c>
      <c r="C73" s="23" t="s">
        <v>626</v>
      </c>
      <c r="D73" s="24" t="str">
        <f t="shared" si="1"/>
        <v>Osi.TemplateAddTo("22a80754-79f2-4b6a-9de4-3e619a80d5d4", GetHostCharacter(), 1, 1);</v>
      </c>
    </row>
    <row r="74">
      <c r="A74" s="21" t="str">
        <f>HYPERLINK("https://bg3.wiki/wiki/Raffish_Garb", "Raffish Garb")</f>
        <v>Raffish Garb</v>
      </c>
      <c r="B74" s="22" t="s">
        <v>11</v>
      </c>
      <c r="C74" s="23" t="s">
        <v>627</v>
      </c>
      <c r="D74" s="24" t="str">
        <f t="shared" si="1"/>
        <v>Osi.TemplateAddTo("c9588fa5-3644-4c2d-8b8b-f0d4cdb3869e", GetHostCharacter(), 1, 1);</v>
      </c>
    </row>
    <row r="75">
      <c r="A75" s="21" t="str">
        <f>HYPERLINK("https://bg3.wiki/wiki/Raffish_Metallic-Shaded_Outfit", "Raffish Metallic-Shaded Outfit")</f>
        <v>Raffish Metallic-Shaded Outfit</v>
      </c>
      <c r="B75" s="22" t="s">
        <v>11</v>
      </c>
      <c r="C75" s="23" t="s">
        <v>628</v>
      </c>
      <c r="D75" s="24" t="str">
        <f t="shared" si="1"/>
        <v>Osi.TemplateAddTo("e6497a0d-94e6-41bd-8bbd-91885bf56313", GetHostCharacter(), 1, 1);</v>
      </c>
    </row>
    <row r="76">
      <c r="A76" s="21" t="str">
        <f>HYPERLINK("https://bg3.wiki/wiki/Raffish_Midnight_Outfit", "Raffish Midnight Outfit")</f>
        <v>Raffish Midnight Outfit</v>
      </c>
      <c r="B76" s="22" t="s">
        <v>11</v>
      </c>
      <c r="C76" s="23" t="s">
        <v>629</v>
      </c>
      <c r="D76" s="24" t="str">
        <f t="shared" si="1"/>
        <v>Osi.TemplateAddTo("4880fb87-77b7-4931-a586-6909c4a5752a", GetHostCharacter(), 1, 1);</v>
      </c>
    </row>
    <row r="77">
      <c r="A77" s="21" t="str">
        <f>HYPERLINK("https://bg3.wiki/wiki/Road-Dust_Grey_Clothes", "Road-Dust Grey Clothes")</f>
        <v>Road-Dust Grey Clothes</v>
      </c>
      <c r="B77" s="22" t="s">
        <v>11</v>
      </c>
      <c r="C77" s="23" t="s">
        <v>630</v>
      </c>
      <c r="D77" s="24" t="str">
        <f t="shared" si="1"/>
        <v>Osi.TemplateAddTo("47e4e37b-d3fa-4e23-8d53-203804cd3b6e", GetHostCharacter(), 1, 1);</v>
      </c>
    </row>
    <row r="78">
      <c r="A78" s="21" t="str">
        <f>HYPERLINK("https://bg3.wiki/wiki/Robes_of_the_New_Moon", "Robes of the New Moon")</f>
        <v>Robes of the New Moon</v>
      </c>
      <c r="B78" s="22" t="s">
        <v>11</v>
      </c>
      <c r="C78" s="23" t="s">
        <v>631</v>
      </c>
      <c r="D78" s="24" t="str">
        <f t="shared" si="1"/>
        <v>Osi.TemplateAddTo("8fc09773-7083-466a-8988-e030b6d647e3", GetHostCharacter(), 1, 1);</v>
      </c>
    </row>
    <row r="79">
      <c r="A79" s="21" t="str">
        <f>HYPERLINK("https://bg3.wiki/wiki/Rustic_Dark_Outfit", "Rustic Dark Outfit")</f>
        <v>Rustic Dark Outfit</v>
      </c>
      <c r="B79" s="22" t="s">
        <v>11</v>
      </c>
      <c r="C79" s="23" t="s">
        <v>632</v>
      </c>
      <c r="D79" s="24" t="str">
        <f t="shared" si="1"/>
        <v>Osi.TemplateAddTo("c9d62e5b-2734-42cf-9069-6953b8060df0", GetHostCharacter(), 1, 1);</v>
      </c>
    </row>
    <row r="80">
      <c r="A80" s="21" t="str">
        <f>HYPERLINK("https://bg3.wiki/wiki/Scruffy_Vagabond_Clothes", "Scruffy Vagabond Clothes")</f>
        <v>Scruffy Vagabond Clothes</v>
      </c>
      <c r="B80" s="22" t="s">
        <v>11</v>
      </c>
      <c r="C80" s="23" t="s">
        <v>633</v>
      </c>
      <c r="D80" s="24" t="str">
        <f t="shared" si="1"/>
        <v>Osi.TemplateAddTo("dfe7cf67-64b5-4b91-9ae2-50aea87493f9", GetHostCharacter(), 1, 1);</v>
      </c>
    </row>
    <row r="81">
      <c r="A81" s="21" t="str">
        <f>HYPERLINK("https://bg3.wiki/wiki/Senja%27si_Finery", "Senja'si Finery")</f>
        <v>Senja'si Finery</v>
      </c>
      <c r="B81" s="22" t="s">
        <v>11</v>
      </c>
      <c r="C81" s="23" t="s">
        <v>634</v>
      </c>
      <c r="D81" s="24" t="str">
        <f t="shared" si="1"/>
        <v>Osi.TemplateAddTo("8c953ad4-1103-4215-9a09-ff95e51cc8e4", GetHostCharacter(), 1, 1);</v>
      </c>
    </row>
    <row r="82">
      <c r="A82" s="21" t="str">
        <f>HYPERLINK("https://bg3.wiki/wiki/Shadowheart%27s_Clothes", "Shadowheart's Clothes")</f>
        <v>Shadowheart's Clothes</v>
      </c>
      <c r="B82" s="22" t="s">
        <v>11</v>
      </c>
      <c r="C82" s="23" t="s">
        <v>635</v>
      </c>
      <c r="D82" s="24" t="str">
        <f t="shared" si="1"/>
        <v>Osi.TemplateAddTo("7062410b-439c-4f2f-bc48-1c16ab1ace20", GetHostCharacter(), 1, 1);</v>
      </c>
    </row>
    <row r="83">
      <c r="A83" s="21" t="str">
        <f>HYPERLINK("https://bg3.wiki/wiki/Snug_Purple_Shirt", "Snug Purple Shirt")</f>
        <v>Snug Purple Shirt</v>
      </c>
      <c r="B83" s="22" t="s">
        <v>11</v>
      </c>
      <c r="C83" s="23" t="s">
        <v>636</v>
      </c>
      <c r="D83" s="24" t="str">
        <f t="shared" si="1"/>
        <v>Osi.TemplateAddTo("8725508f-e47e-488f-8187-3d15ebb9c8e9", GetHostCharacter(), 1, 1);</v>
      </c>
    </row>
    <row r="84">
      <c r="A84" s="21" t="str">
        <f>HYPERLINK("https://bg3.wiki/wiki/Snugglesome_Green_Shirt", "Snugglesome Green Shirt")</f>
        <v>Snugglesome Green Shirt</v>
      </c>
      <c r="B84" s="22" t="s">
        <v>11</v>
      </c>
      <c r="C84" s="23" t="s">
        <v>637</v>
      </c>
      <c r="D84" s="24" t="str">
        <f t="shared" si="1"/>
        <v>Osi.TemplateAddTo("39d87577-6f4f-438e-a5b7-abf387a6f0f1", GetHostCharacter(), 1, 1);</v>
      </c>
    </row>
    <row r="85">
      <c r="A85" s="21" t="str">
        <f>HYPERLINK("https://bg3.wiki/wiki/Solemnity_Outfit", "Solemnity Outfit")</f>
        <v>Solemnity Outfit</v>
      </c>
      <c r="B85" s="22" t="s">
        <v>11</v>
      </c>
      <c r="C85" s="23" t="s">
        <v>638</v>
      </c>
      <c r="D85" s="24" t="str">
        <f t="shared" si="1"/>
        <v>Osi.TemplateAddTo("9a8a79fe-a9a2-466d-af06-f3973fe5b16b", GetHostCharacter(), 1, 1);</v>
      </c>
    </row>
    <row r="86">
      <c r="A86" s="21" t="str">
        <f>HYPERLINK("https://bg3.wiki/wiki/Solemnity_Outfit_in_Blue", "Solemnity Outfit in Blue")</f>
        <v>Solemnity Outfit in Blue</v>
      </c>
      <c r="B86" s="22" t="s">
        <v>11</v>
      </c>
      <c r="C86" s="23" t="s">
        <v>639</v>
      </c>
      <c r="D86" s="24" t="str">
        <f t="shared" si="1"/>
        <v>Osi.TemplateAddTo("b3185288-bcb3-475d-aac1-7c34fa88898e", GetHostCharacter(), 1, 1);</v>
      </c>
    </row>
    <row r="87">
      <c r="A87" s="21" t="str">
        <f>HYPERLINK("https://bg3.wiki/wiki/Solemnity_Outfit_in_Gold_Medallions", "Solemnity Outfit in Gold Medallions")</f>
        <v>Solemnity Outfit in Gold Medallions</v>
      </c>
      <c r="B87" s="22" t="s">
        <v>11</v>
      </c>
      <c r="C87" s="23" t="s">
        <v>640</v>
      </c>
      <c r="D87" s="24" t="str">
        <f t="shared" si="1"/>
        <v>Osi.TemplateAddTo("168a676a-af4c-497c-8b98-76a0f6d20462", GetHostCharacter(), 1, 1);</v>
      </c>
    </row>
    <row r="88">
      <c r="A88" s="21" t="str">
        <f>HYPERLINK("https://bg3.wiki/wiki/Solemnity_Outfit_in_Green", "Solemnity Outfit in Green")</f>
        <v>Solemnity Outfit in Green</v>
      </c>
      <c r="B88" s="22" t="s">
        <v>11</v>
      </c>
      <c r="C88" s="23" t="s">
        <v>641</v>
      </c>
      <c r="D88" s="24" t="str">
        <f t="shared" si="1"/>
        <v>Osi.TemplateAddTo("a7b3f166-f909-4103-8c2c-b8559da749b5", GetHostCharacter(), 1, 1);</v>
      </c>
    </row>
    <row r="89">
      <c r="A89" s="21" t="str">
        <f>HYPERLINK("https://bg3.wiki/wiki/Solemnity_Outfit_in_Purple", "Solemnity Outfit in Purple")</f>
        <v>Solemnity Outfit in Purple</v>
      </c>
      <c r="B89" s="22" t="s">
        <v>11</v>
      </c>
      <c r="C89" s="23" t="s">
        <v>642</v>
      </c>
      <c r="D89" s="24" t="str">
        <f t="shared" si="1"/>
        <v>Osi.TemplateAddTo("0650531b-3a2f-499e-bf4e-58488a14636f", GetHostCharacter(), 1, 1);</v>
      </c>
    </row>
    <row r="90">
      <c r="A90" s="21" t="str">
        <f>HYPERLINK("https://bg3.wiki/wiki/Splendid_Beige_Outfit", "Splendid Beige Outfit")</f>
        <v>Splendid Beige Outfit</v>
      </c>
      <c r="B90" s="22" t="s">
        <v>11</v>
      </c>
      <c r="C90" s="23" t="s">
        <v>643</v>
      </c>
      <c r="D90" s="24" t="str">
        <f t="shared" si="1"/>
        <v>Osi.TemplateAddTo("0d2cf317-1e3d-492b-8755-00f33cd3f24f", GetHostCharacter(), 1, 1);</v>
      </c>
    </row>
    <row r="91">
      <c r="A91" s="21" t="str">
        <f>HYPERLINK("https://bg3.wiki/wiki/Splendid_Blue_Outfit", "Splendid Blue Outfit")</f>
        <v>Splendid Blue Outfit</v>
      </c>
      <c r="B91" s="22" t="s">
        <v>11</v>
      </c>
      <c r="C91" s="23" t="s">
        <v>644</v>
      </c>
      <c r="D91" s="24" t="str">
        <f t="shared" si="1"/>
        <v>Osi.TemplateAddTo("5daa7ba8-8e8d-4e68-9f5a-3c9f89c32c89", GetHostCharacter(), 1, 1);</v>
      </c>
    </row>
    <row r="92">
      <c r="A92" s="21" t="str">
        <f>HYPERLINK("https://bg3.wiki/wiki/Splendid_Gold_Outfit", "Splendid Gold Outfit")</f>
        <v>Splendid Gold Outfit</v>
      </c>
      <c r="B92" s="22" t="s">
        <v>11</v>
      </c>
      <c r="C92" s="23" t="s">
        <v>645</v>
      </c>
      <c r="D92" s="24" t="str">
        <f t="shared" si="1"/>
        <v>Osi.TemplateAddTo("12c2f3d2-a4a6-47e6-a7aa-dfcced16add6", GetHostCharacter(), 1, 1);</v>
      </c>
    </row>
    <row r="93">
      <c r="A93" s="21" t="str">
        <f>HYPERLINK("https://bg3.wiki/wiki/Splendid_Green_Outfit", "Splendid Green Outfit")</f>
        <v>Splendid Green Outfit</v>
      </c>
      <c r="B93" s="22" t="s">
        <v>11</v>
      </c>
      <c r="C93" s="23" t="s">
        <v>646</v>
      </c>
      <c r="D93" s="24" t="str">
        <f t="shared" si="1"/>
        <v>Osi.TemplateAddTo("3c8eca7a-8c7c-40a5-be4c-64455630f08f", GetHostCharacter(), 1, 1);</v>
      </c>
    </row>
    <row r="94">
      <c r="A94" s="21" t="str">
        <f>HYPERLINK("https://bg3.wiki/wiki/Splendid_Outfit", "Splendid Outfit")</f>
        <v>Splendid Outfit</v>
      </c>
      <c r="B94" s="22" t="s">
        <v>11</v>
      </c>
      <c r="C94" s="23" t="s">
        <v>647</v>
      </c>
      <c r="D94" s="24" t="str">
        <f t="shared" si="1"/>
        <v>Osi.TemplateAddTo("9c1fedb8-4262-4426-84cc-8ad8dc01be97", GetHostCharacter(), 1, 1);</v>
      </c>
    </row>
    <row r="95">
      <c r="A95" s="21" t="str">
        <f>HYPERLINK("https://bg3.wiki/wiki/Splendid_Purple_Outfit", "Splendid Purple Outfit")</f>
        <v>Splendid Purple Outfit</v>
      </c>
      <c r="B95" s="22" t="s">
        <v>11</v>
      </c>
      <c r="C95" s="23" t="s">
        <v>648</v>
      </c>
      <c r="D95" s="24" t="str">
        <f t="shared" si="1"/>
        <v>Osi.TemplateAddTo("efb49491-ca1d-4bab-a7a7-815f8d298ee0", GetHostCharacter(), 1, 1);</v>
      </c>
    </row>
    <row r="96">
      <c r="A96" s="21" t="str">
        <f>HYPERLINK("https://bg3.wiki/wiki/Splendid_Red_Outfit", "Splendid Red Outfit")</f>
        <v>Splendid Red Outfit</v>
      </c>
      <c r="B96" s="22" t="s">
        <v>11</v>
      </c>
      <c r="C96" s="23" t="s">
        <v>649</v>
      </c>
      <c r="D96" s="24" t="str">
        <f t="shared" si="1"/>
        <v>Osi.TemplateAddTo("6909f7fa-6da9-40ea-898e-91cbaac9bf5c", GetHostCharacter(), 1, 1);</v>
      </c>
    </row>
    <row r="97">
      <c r="A97" s="21" t="str">
        <f>HYPERLINK("https://bg3.wiki/wiki/Splendid_Teal_Outfit", "Splendid Teal Outfit")</f>
        <v>Splendid Teal Outfit</v>
      </c>
      <c r="B97" s="22" t="s">
        <v>11</v>
      </c>
      <c r="C97" s="23" t="s">
        <v>650</v>
      </c>
      <c r="D97" s="24" t="str">
        <f t="shared" si="1"/>
        <v>Osi.TemplateAddTo("f4064489-adce-4b58-b664-311c6d476880", GetHostCharacter(), 1, 1);</v>
      </c>
    </row>
    <row r="98">
      <c r="A98" s="21" t="str">
        <f>HYPERLINK("https://bg3.wiki/wiki/Spring_Slimfit_Outfit", "Spring Slimfit Outfit")</f>
        <v>Spring Slimfit Outfit</v>
      </c>
      <c r="B98" s="22" t="s">
        <v>11</v>
      </c>
      <c r="C98" s="23" t="s">
        <v>651</v>
      </c>
      <c r="D98" s="24" t="str">
        <f t="shared" si="1"/>
        <v>Osi.TemplateAddTo("52353c73-2c58-4dd7-8370-adb266a17fab", GetHostCharacter(), 1, 1);</v>
      </c>
    </row>
    <row r="99">
      <c r="A99" s="21" t="str">
        <f>HYPERLINK("https://bg3.wiki/wiki/Swarthy_Wayfarer_in_Blue", "Swarthy Wayfarer in Blue")</f>
        <v>Swarthy Wayfarer in Blue</v>
      </c>
      <c r="B99" s="22" t="s">
        <v>11</v>
      </c>
      <c r="C99" s="23" t="s">
        <v>652</v>
      </c>
      <c r="D99" s="24" t="str">
        <f t="shared" si="1"/>
        <v>Osi.TemplateAddTo("58f9af08-f4ac-412d-ba38-f8b1d7db9e5f", GetHostCharacter(), 1, 1);</v>
      </c>
    </row>
    <row r="100">
      <c r="A100" s="21" t="str">
        <f>HYPERLINK("https://bg3.wiki/wiki/Swarthy_Wayfarer_in_Cream", "Swarthy Wayfarer in Cream")</f>
        <v>Swarthy Wayfarer in Cream</v>
      </c>
      <c r="B100" s="22" t="s">
        <v>11</v>
      </c>
      <c r="C100" s="23" t="s">
        <v>653</v>
      </c>
      <c r="D100" s="24" t="str">
        <f t="shared" si="1"/>
        <v>Osi.TemplateAddTo("d9caff77-293c-4e8d-a721-3e17908490f8", GetHostCharacter(), 1, 1);</v>
      </c>
    </row>
    <row r="101">
      <c r="A101" s="21" t="str">
        <f>HYPERLINK("https://bg3.wiki/wiki/Swarthy_Wayfarer_in_Green", "Swarthy Wayfarer in Green")</f>
        <v>Swarthy Wayfarer in Green</v>
      </c>
      <c r="B101" s="22" t="s">
        <v>11</v>
      </c>
      <c r="C101" s="23" t="s">
        <v>654</v>
      </c>
      <c r="D101" s="24" t="str">
        <f t="shared" si="1"/>
        <v>Osi.TemplateAddTo("12c9ad5c-040f-44a5-ac30-d8ed4505d651", GetHostCharacter(), 1, 1);</v>
      </c>
    </row>
    <row r="102">
      <c r="A102" s="21" t="str">
        <f>HYPERLINK("https://bg3.wiki/wiki/Swarthy_Wayfarer_in_Red", "Swarthy Wayfarer in Red")</f>
        <v>Swarthy Wayfarer in Red</v>
      </c>
      <c r="B102" s="22" t="s">
        <v>11</v>
      </c>
      <c r="C102" s="23" t="s">
        <v>655</v>
      </c>
      <c r="D102" s="24" t="str">
        <f t="shared" si="1"/>
        <v>Osi.TemplateAddTo("8b9ee0cf-35a6-4439-9402-d5f829645e2a", GetHostCharacter(), 1, 1);</v>
      </c>
    </row>
    <row r="103">
      <c r="A103" s="21" t="str">
        <f>HYPERLINK("https://bg3.wiki/wiki/Sweetly_Tailored_Outfit", "Sweetly Tailored Outfit")</f>
        <v>Sweetly Tailored Outfit</v>
      </c>
      <c r="B103" s="22" t="s">
        <v>11</v>
      </c>
      <c r="C103" s="23" t="s">
        <v>656</v>
      </c>
      <c r="D103" s="24" t="str">
        <f t="shared" si="1"/>
        <v>Osi.TemplateAddTo("3dc4b718-0504-43e2-a88f-0d6736bf6b25", GetHostCharacter(), 1, 1);</v>
      </c>
    </row>
    <row r="104">
      <c r="A104" s="21" t="str">
        <f>HYPERLINK("https://bg3.wiki/wiki/Tasteful_Suit", "Tasteful Suit")</f>
        <v>Tasteful Suit</v>
      </c>
      <c r="B104" s="22" t="s">
        <v>11</v>
      </c>
      <c r="C104" s="23" t="s">
        <v>657</v>
      </c>
      <c r="D104" s="24" t="str">
        <f t="shared" si="1"/>
        <v>Osi.TemplateAddTo("98cdd18d-2d8a-4aca-a46b-c4829833482f", GetHostCharacter(), 1, 1);</v>
      </c>
    </row>
    <row r="105">
      <c r="A105" s="21" t="str">
        <f>HYPERLINK("https://bg3.wiki/wiki/Teal_Slimfit_Outfit", "Teal Slimfit Outfit")</f>
        <v>Teal Slimfit Outfit</v>
      </c>
      <c r="B105" s="22" t="s">
        <v>11</v>
      </c>
      <c r="C105" s="23" t="s">
        <v>658</v>
      </c>
      <c r="D105" s="24" t="str">
        <f t="shared" si="1"/>
        <v>Osi.TemplateAddTo("2db4d06e-db75-4bcf-97a2-de4dff6939af", GetHostCharacter(), 1, 1);</v>
      </c>
    </row>
    <row r="106">
      <c r="A106" s="21" t="str">
        <f>HYPERLINK("https://bg3.wiki/wiki/The_Blade%27s_Padded_Armour", "The Blade's Padded Armour")</f>
        <v>The Blade's Padded Armour</v>
      </c>
      <c r="B106" s="22" t="s">
        <v>11</v>
      </c>
      <c r="C106" s="23" t="s">
        <v>659</v>
      </c>
      <c r="D106" s="24" t="str">
        <f t="shared" si="1"/>
        <v>Osi.TemplateAddTo("46c97e62-7d3e-449f-a130-586e8e871947", GetHostCharacter(), 1, 1);</v>
      </c>
    </row>
    <row r="107">
      <c r="A107" s="21" t="str">
        <f>HYPERLINK("https://bg3.wiki/wiki/Umber_Trousers", "Umber Trousers")</f>
        <v>Umber Trousers</v>
      </c>
      <c r="B107" s="22" t="s">
        <v>11</v>
      </c>
      <c r="C107" s="23" t="s">
        <v>660</v>
      </c>
      <c r="D107" s="24" t="str">
        <f t="shared" si="1"/>
        <v>Osi.TemplateAddTo("a5cc728e-6b8a-4458-86cd-7492f7c4a266", GetHostCharacter(), 1, 1);</v>
      </c>
    </row>
    <row r="108">
      <c r="A108" s="21" t="str">
        <f>HYPERLINK("https://bg3.wiki/wiki/Very_Handsome_Shirt", "Very Handsome Shirt")</f>
        <v>Very Handsome Shirt</v>
      </c>
      <c r="B108" s="22" t="s">
        <v>11</v>
      </c>
      <c r="C108" s="23" t="s">
        <v>661</v>
      </c>
      <c r="D108" s="24" t="str">
        <f t="shared" si="1"/>
        <v>Osi.TemplateAddTo("54c4b72d-0f2d-40be-bab7-c70c5f3adb97", GetHostCharacter(), 1, 1);</v>
      </c>
    </row>
    <row r="109">
      <c r="A109" s="21" t="str">
        <f>HYPERLINK("https://bg3.wiki/wiki/Weave-Touched_Robe", "Weave-Touched Robe")</f>
        <v>Weave-Touched Robe</v>
      </c>
      <c r="B109" s="22" t="s">
        <v>11</v>
      </c>
      <c r="C109" s="23" t="s">
        <v>662</v>
      </c>
      <c r="D109" s="24" t="str">
        <f t="shared" si="1"/>
        <v>Osi.TemplateAddTo("1068659c-f12b-4930-ac4f-c4892af58cd7", GetHostCharacter(), 1, 1);</v>
      </c>
    </row>
    <row r="110">
      <c r="A110" s="21" t="str">
        <f>HYPERLINK("https://bg3.wiki/wiki/Winter_Gala_Doublet", "Winter Gala Doublet")</f>
        <v>Winter Gala Doublet</v>
      </c>
      <c r="B110" s="22" t="s">
        <v>11</v>
      </c>
      <c r="C110" s="23" t="s">
        <v>663</v>
      </c>
      <c r="D110" s="24" t="str">
        <f t="shared" si="1"/>
        <v>Osi.TemplateAddTo("af6ffb20-cbdc-410c-9a12-6c217eb8aa9c", GetHostCharacter(), 1, 1);</v>
      </c>
    </row>
    <row r="111">
      <c r="A111" s="38" t="str">
        <f>HYPERLINK("https://bg3.wiki/wiki/Wyll%27s_Earthy_Garb", "Wyll's Earthy Garb")</f>
        <v>Wyll's Earthy Garb</v>
      </c>
      <c r="B111" s="39" t="s">
        <v>11</v>
      </c>
      <c r="C111" s="40" t="s">
        <v>664</v>
      </c>
      <c r="D111" s="41" t="str">
        <f t="shared" si="1"/>
        <v>Osi.TemplateAddTo("bd2ac836-5584-41e5-b4ff-01782c0dec6d", GetHostCharacter(), 1, 1);</v>
      </c>
    </row>
    <row r="112">
      <c r="C112" s="42"/>
    </row>
    <row r="113">
      <c r="A113" s="55" t="s">
        <v>665</v>
      </c>
      <c r="B113" s="22"/>
      <c r="C113" s="23"/>
      <c r="D113" s="22"/>
    </row>
    <row r="114">
      <c r="A114" s="34" t="s">
        <v>7</v>
      </c>
      <c r="B114" s="35" t="s">
        <v>8</v>
      </c>
      <c r="C114" s="35" t="s">
        <v>9</v>
      </c>
      <c r="D114" s="36" t="s">
        <v>10</v>
      </c>
      <c r="E114" s="37"/>
    </row>
    <row r="115">
      <c r="A115" s="21" t="str">
        <f>HYPERLINK("https://bg3.wiki/wiki/Basket_Shoe", "Basket Shoe")</f>
        <v>Basket Shoe</v>
      </c>
      <c r="B115" s="22" t="s">
        <v>11</v>
      </c>
      <c r="C115" s="23" t="s">
        <v>666</v>
      </c>
      <c r="D115" s="24" t="str">
        <f t="shared" ref="D115:D163" si="2">"Osi.TemplateAddTo("""&amp; C115 &amp;""", GetHostCharacter(), 1, 1);"</f>
        <v>Osi.TemplateAddTo("773924ee-02cd-42e7-8480-0c42896f700e", GetHostCharacter(), 1, 1);</v>
      </c>
    </row>
    <row r="116">
      <c r="A116" s="21" t="str">
        <f>HYPERLINK("https://bg3.wiki/wiki/Boots_of_Butt-Kicking", "Boots of Butt-Kicking")</f>
        <v>Boots of Butt-Kicking</v>
      </c>
      <c r="B116" s="22" t="s">
        <v>11</v>
      </c>
      <c r="C116" s="23" t="s">
        <v>667</v>
      </c>
      <c r="D116" s="24" t="str">
        <f t="shared" si="2"/>
        <v>Osi.TemplateAddTo("19963131-982a-44b2-afd8-c2edee9e1b3a", GetHostCharacter(), 1, 1);</v>
      </c>
    </row>
    <row r="117">
      <c r="A117" s="21" t="str">
        <f>HYPERLINK("https://bg3.wiki/wiki/Breezy_Sandals", "Breezy Sandals")</f>
        <v>Breezy Sandals</v>
      </c>
      <c r="B117" s="22" t="s">
        <v>11</v>
      </c>
      <c r="C117" s="23" t="s">
        <v>668</v>
      </c>
      <c r="D117" s="24" t="str">
        <f t="shared" si="2"/>
        <v>Osi.TemplateAddTo("697a6021-ff43-43d5-b9c9-a432bb3ea59d", GetHostCharacter(), 1, 1);</v>
      </c>
    </row>
    <row r="118">
      <c r="A118" s="21" t="str">
        <f>HYPERLINK("https://bg3.wiki/wiki/Brocade_Booties", "Brocade Booties")</f>
        <v>Brocade Booties</v>
      </c>
      <c r="B118" s="22" t="s">
        <v>11</v>
      </c>
      <c r="C118" s="23" t="s">
        <v>669</v>
      </c>
      <c r="D118" s="24" t="str">
        <f t="shared" si="2"/>
        <v>Osi.TemplateAddTo("7dec9f3e-3a90-4588-a995-2986340866c6", GetHostCharacter(), 1, 1);</v>
      </c>
    </row>
    <row r="119">
      <c r="A119" s="21" t="str">
        <f>HYPERLINK("https://bg3.wiki/wiki/Casual_Sandals", "Casual Sandals")</f>
        <v>Casual Sandals</v>
      </c>
      <c r="B119" s="22" t="s">
        <v>11</v>
      </c>
      <c r="C119" s="23" t="s">
        <v>670</v>
      </c>
      <c r="D119" s="24" t="str">
        <f t="shared" si="2"/>
        <v>Osi.TemplateAddTo("ba0fbaf7-324f-4f79-a124-66ba185faef9", GetHostCharacter(), 1, 1);</v>
      </c>
    </row>
    <row r="120">
      <c r="A120" s="21" t="str">
        <f>HYPERLINK("https://bg3.wiki/wiki/Celestial_Sandals", "Celestial Sandals")</f>
        <v>Celestial Sandals</v>
      </c>
      <c r="B120" s="22" t="s">
        <v>11</v>
      </c>
      <c r="C120" s="23" t="s">
        <v>671</v>
      </c>
      <c r="D120" s="24" t="str">
        <f t="shared" si="2"/>
        <v>Osi.TemplateAddTo("db2f2945-debc-4b18-b4f5-6456a11ecddb", GetHostCharacter(), 1, 1);</v>
      </c>
    </row>
    <row r="121">
      <c r="A121" s="21" t="str">
        <f>HYPERLINK("https://bg3.wiki/wiki/Cross-Crest_Sandals", "Cross-Crest Sandals")</f>
        <v>Cross-Crest Sandals</v>
      </c>
      <c r="B121" s="22" t="s">
        <v>11</v>
      </c>
      <c r="C121" s="23" t="s">
        <v>672</v>
      </c>
      <c r="D121" s="24" t="str">
        <f t="shared" si="2"/>
        <v>Osi.TemplateAddTo("041882e7-cebb-4923-b284-7f2fed66ffe4", GetHostCharacter(), 1, 1);</v>
      </c>
    </row>
    <row r="122">
      <c r="A122" s="21" t="str">
        <f>HYPERLINK("https://bg3.wiki/wiki/Deadly_Dress_Shoes", "Deadly Dress Shoes")</f>
        <v>Deadly Dress Shoes</v>
      </c>
      <c r="B122" s="22" t="s">
        <v>11</v>
      </c>
      <c r="C122" s="23" t="s">
        <v>673</v>
      </c>
      <c r="D122" s="24" t="str">
        <f t="shared" si="2"/>
        <v>Osi.TemplateAddTo("7e633d92-271b-4aaf-9880-dd1643bd41a3", GetHostCharacter(), 1, 1);</v>
      </c>
    </row>
    <row r="123">
      <c r="A123" s="21" t="str">
        <f>HYPERLINK("https://bg3.wiki/wiki/Decadent_Slippers", "Decadent Slippers")</f>
        <v>Decadent Slippers</v>
      </c>
      <c r="B123" s="22" t="s">
        <v>11</v>
      </c>
      <c r="C123" s="23" t="s">
        <v>674</v>
      </c>
      <c r="D123" s="24" t="str">
        <f t="shared" si="2"/>
        <v>Osi.TemplateAddTo("8b6555b8-fcf1-4535-b9cd-7e94208ce840", GetHostCharacter(), 1, 1);</v>
      </c>
    </row>
    <row r="124">
      <c r="A124" s="21" t="str">
        <f>HYPERLINK("https://bg3.wiki/wiki/Delicate_Shoes", "Delicate Shoes")</f>
        <v>Delicate Shoes</v>
      </c>
      <c r="B124" s="22" t="s">
        <v>11</v>
      </c>
      <c r="C124" s="23" t="s">
        <v>675</v>
      </c>
      <c r="D124" s="24" t="str">
        <f t="shared" si="2"/>
        <v>Osi.TemplateAddTo("5272e57c-7ea0-4bda-aac5-449304f4f011", GetHostCharacter(), 1, 1);</v>
      </c>
    </row>
    <row r="125">
      <c r="A125" s="21" t="str">
        <f>HYPERLINK("https://bg3.wiki/wiki/Diamond-Stitch_Sandals", "Diamond-Stitch Sandals")</f>
        <v>Diamond-Stitch Sandals</v>
      </c>
      <c r="B125" s="22" t="s">
        <v>11</v>
      </c>
      <c r="C125" s="23" t="s">
        <v>676</v>
      </c>
      <c r="D125" s="24" t="str">
        <f t="shared" si="2"/>
        <v>Osi.TemplateAddTo("64acdd3e-3813-4d54-90fd-36209d846147", GetHostCharacter(), 1, 1);</v>
      </c>
    </row>
    <row r="126">
      <c r="A126" s="21" t="str">
        <f>HYPERLINK("https://bg3.wiki/wiki/Duke%27s_Formal_Footwear", "Duke's Formal Footwear")</f>
        <v>Duke's Formal Footwear</v>
      </c>
      <c r="B126" s="22" t="s">
        <v>11</v>
      </c>
      <c r="C126" s="23" t="s">
        <v>677</v>
      </c>
      <c r="D126" s="24" t="str">
        <f t="shared" si="2"/>
        <v>Osi.TemplateAddTo("4aa0dbb1-f51a-45bc-8a58-814ac5063035", GetHostCharacter(), 1, 1);</v>
      </c>
    </row>
    <row r="127">
      <c r="A127" s="21" t="str">
        <f>HYPERLINK("https://bg3.wiki/wiki/Elegant_Slippers", "Elegant Slippers")</f>
        <v>Elegant Slippers</v>
      </c>
      <c r="B127" s="22" t="s">
        <v>11</v>
      </c>
      <c r="C127" s="23" t="s">
        <v>678</v>
      </c>
      <c r="D127" s="24" t="str">
        <f t="shared" si="2"/>
        <v>Osi.TemplateAddTo("dbe8fe69-736f-4ceb-8a98-57d1f9a639be", GetHostCharacter(), 1, 1);</v>
      </c>
    </row>
    <row r="128">
      <c r="A128" s="21" t="str">
        <f>HYPERLINK("https://bg3.wiki/wiki/Elfin_Woodsoles", "Elfin Woodsoles")</f>
        <v>Elfin Woodsoles</v>
      </c>
      <c r="B128" s="22" t="s">
        <v>11</v>
      </c>
      <c r="C128" s="23" t="s">
        <v>679</v>
      </c>
      <c r="D128" s="24" t="str">
        <f t="shared" si="2"/>
        <v>Osi.TemplateAddTo("d8bc3625-f1d8-4ad3-8cfd-23b6b496cf36", GetHostCharacter(), 1, 1);</v>
      </c>
    </row>
    <row r="129">
      <c r="A129" s="21" t="str">
        <f>HYPERLINK("https://bg3.wiki/wiki/Firm-Heeled_Sandals", "Firm-Heeled Sandals")</f>
        <v>Firm-Heeled Sandals</v>
      </c>
      <c r="B129" s="22" t="s">
        <v>11</v>
      </c>
      <c r="C129" s="23" t="s">
        <v>680</v>
      </c>
      <c r="D129" s="24" t="str">
        <f t="shared" si="2"/>
        <v>Osi.TemplateAddTo("d73378c9-fd89-43cf-bfa9-0a7c7c77324f", GetHostCharacter(), 1, 1);</v>
      </c>
    </row>
    <row r="130">
      <c r="A130" s="21" t="str">
        <f>HYPERLINK("https://bg3.wiki/wiki/Gladitorial_Sandals", "Gladitorial Sandals")</f>
        <v>Gladitorial Sandals</v>
      </c>
      <c r="B130" s="22" t="s">
        <v>11</v>
      </c>
      <c r="C130" s="23" t="s">
        <v>681</v>
      </c>
      <c r="D130" s="24" t="str">
        <f t="shared" si="2"/>
        <v>Osi.TemplateAddTo("aa1b4d17-528f-4934-b350-6b17f389b9dd", GetHostCharacter(), 1, 1);</v>
      </c>
    </row>
    <row r="131">
      <c r="A131" s="21" t="str">
        <f>HYPERLINK("https://bg3.wiki/wiki/Glittering_Slippers", "Glittering Slippers")</f>
        <v>Glittering Slippers</v>
      </c>
      <c r="B131" s="22" t="s">
        <v>11</v>
      </c>
      <c r="C131" s="23" t="s">
        <v>682</v>
      </c>
      <c r="D131" s="24" t="str">
        <f t="shared" si="2"/>
        <v>Osi.TemplateAddTo("810351d6-75ff-4c95-8f65-fcbfb5d0c19d", GetHostCharacter(), 1, 1);</v>
      </c>
    </row>
    <row r="132">
      <c r="A132" s="21" t="str">
        <f>HYPERLINK("https://bg3.wiki/wiki/Harper_Boots", "Harper Boots")</f>
        <v>Harper Boots</v>
      </c>
      <c r="B132" s="22" t="s">
        <v>11</v>
      </c>
      <c r="C132" s="23" t="s">
        <v>683</v>
      </c>
      <c r="D132" s="24" t="str">
        <f t="shared" si="2"/>
        <v>Osi.TemplateAddTo("f7018235-a244-43f0-86e9-25b38fcd11a6", GetHostCharacter(), 1, 1);</v>
      </c>
    </row>
    <row r="133">
      <c r="A133" s="21" t="str">
        <f>HYPERLINK("https://bg3.wiki/wiki/Meshtoe_Sandals", "Meshtoe Sandals")</f>
        <v>Meshtoe Sandals</v>
      </c>
      <c r="B133" s="22" t="s">
        <v>11</v>
      </c>
      <c r="C133" s="23" t="s">
        <v>684</v>
      </c>
      <c r="D133" s="24" t="str">
        <f t="shared" si="2"/>
        <v>Osi.TemplateAddTo("1856414d-8a47-4e41-8aee-55991b18f494", GetHostCharacter(), 1, 1);</v>
      </c>
    </row>
    <row r="134">
      <c r="A134" s="21" t="str">
        <f>HYPERLINK("https://bg3.wiki/wiki/Metallic_Boots_(Epilogue)", "Metallic Boots (Epilogue)")</f>
        <v>Metallic Boots (Epilogue)</v>
      </c>
      <c r="B134" s="22" t="s">
        <v>11</v>
      </c>
      <c r="C134" s="23" t="s">
        <v>685</v>
      </c>
      <c r="D134" s="24" t="str">
        <f t="shared" si="2"/>
        <v>Osi.TemplateAddTo("e3b092c6-82e8-49df-843c-40d643410171", GetHostCharacter(), 1, 1);</v>
      </c>
    </row>
    <row r="135">
      <c r="A135" s="21" t="str">
        <f>HYPERLINK("https://bg3.wiki/wiki/Moonlit_Slippers", "Moonlit Slippers")</f>
        <v>Moonlit Slippers</v>
      </c>
      <c r="B135" s="22" t="s">
        <v>11</v>
      </c>
      <c r="C135" s="23" t="s">
        <v>686</v>
      </c>
      <c r="D135" s="24" t="str">
        <f t="shared" si="2"/>
        <v>Osi.TemplateAddTo("00d8d8fc-1820-47de-9956-5d4a68a40700", GetHostCharacter(), 1, 1);</v>
      </c>
    </row>
    <row r="136">
      <c r="A136" s="21" t="str">
        <f>HYPERLINK("https://bg3.wiki/wiki/Nomad%27s_Sandals", "Nomad's Sandals")</f>
        <v>Nomad's Sandals</v>
      </c>
      <c r="B136" s="22" t="s">
        <v>11</v>
      </c>
      <c r="C136" s="23" t="s">
        <v>687</v>
      </c>
      <c r="D136" s="24" t="str">
        <f t="shared" si="2"/>
        <v>Osi.TemplateAddTo("cba5d95b-d2a6-4253-abe1-c81da0391c0c", GetHostCharacter(), 1, 1);</v>
      </c>
    </row>
    <row r="137">
      <c r="A137" s="21" t="str">
        <f>HYPERLINK("https://bg3.wiki/wiki/Pointed-Toe_Shoes", "Pointed-Toe Shoes")</f>
        <v>Pointed-Toe Shoes</v>
      </c>
      <c r="B137" s="22" t="s">
        <v>11</v>
      </c>
      <c r="C137" s="23" t="s">
        <v>688</v>
      </c>
      <c r="D137" s="24" t="str">
        <f t="shared" si="2"/>
        <v>Osi.TemplateAddTo("16a8aee6-568c-458e-b006-cb3344cac4fb", GetHostCharacter(), 1, 1);</v>
      </c>
    </row>
    <row r="138">
      <c r="A138" s="21" t="str">
        <f>HYPERLINK("https://bg3.wiki/wiki/Pristine_Meshtoe_Sandals", "Pristine Meshtoe Sandals")</f>
        <v>Pristine Meshtoe Sandals</v>
      </c>
      <c r="B138" s="22" t="s">
        <v>11</v>
      </c>
      <c r="C138" s="23" t="s">
        <v>689</v>
      </c>
      <c r="D138" s="24" t="str">
        <f t="shared" si="2"/>
        <v>Osi.TemplateAddTo("2290f957-2e17-4ceb-870f-bd53f81f866c", GetHostCharacter(), 1, 1);</v>
      </c>
    </row>
    <row r="139">
      <c r="A139" s="21" t="str">
        <f>HYPERLINK("https://bg3.wiki/wiki/Reliably_Built_Boots", "Reliably Built Boots")</f>
        <v>Reliably Built Boots</v>
      </c>
      <c r="B139" s="22" t="s">
        <v>11</v>
      </c>
      <c r="C139" s="23" t="s">
        <v>690</v>
      </c>
      <c r="D139" s="24" t="str">
        <f t="shared" si="2"/>
        <v>Osi.TemplateAddTo("b61e283d-eba5-4fd2-86a3-21e490ad16bf", GetHostCharacter(), 1, 1);</v>
      </c>
    </row>
    <row r="140">
      <c r="A140" s="21" t="str">
        <f>HYPERLINK("https://bg3.wiki/wiki/Sel%C3%BBnite_Slippers", "Selûnite Slippers")</f>
        <v>Selûnite Slippers</v>
      </c>
      <c r="B140" s="22" t="s">
        <v>11</v>
      </c>
      <c r="C140" s="23" t="s">
        <v>691</v>
      </c>
      <c r="D140" s="24" t="str">
        <f t="shared" si="2"/>
        <v>Osi.TemplateAddTo("4f7febc5-fadd-45f2-96c1-d2447fec12bd", GetHostCharacter(), 1, 1);</v>
      </c>
    </row>
    <row r="141">
      <c r="A141" s="21" t="str">
        <f>HYPERLINK("https://bg3.wiki/wiki/Senja%27si_Boots", "Senja'si Boots")</f>
        <v>Senja'si Boots</v>
      </c>
      <c r="B141" s="22" t="s">
        <v>11</v>
      </c>
      <c r="C141" s="23" t="s">
        <v>692</v>
      </c>
      <c r="D141" s="24" t="str">
        <f t="shared" si="2"/>
        <v>Osi.TemplateAddTo("a8f1228b-1cdc-4b5c-abf4-d19f41b6bc30", GetHostCharacter(), 1, 1);</v>
      </c>
    </row>
    <row r="142">
      <c r="A142" s="21" t="str">
        <f>HYPERLINK("https://bg3.wiki/wiki/Simple_Sandals", "Simple Sandals")</f>
        <v>Simple Sandals</v>
      </c>
      <c r="B142" s="22" t="s">
        <v>11</v>
      </c>
      <c r="C142" s="23" t="s">
        <v>693</v>
      </c>
      <c r="D142" s="24" t="str">
        <f t="shared" si="2"/>
        <v>Osi.TemplateAddTo("ff7d64c3-3969-44f6-98ee-0add1fb69fef", GetHostCharacter(), 1, 1);</v>
      </c>
    </row>
    <row r="143">
      <c r="A143" s="21" t="str">
        <f>HYPERLINK("https://bg3.wiki/wiki/Slashstrip_Sandals", "Slashstrip Sandals")</f>
        <v>Slashstrip Sandals</v>
      </c>
      <c r="B143" s="22" t="s">
        <v>11</v>
      </c>
      <c r="C143" s="23" t="s">
        <v>694</v>
      </c>
      <c r="D143" s="24" t="str">
        <f t="shared" si="2"/>
        <v>Osi.TemplateAddTo("37ceb8fb-7d41-4373-b31b-6fcc602955b4", GetHostCharacter(), 1, 1);</v>
      </c>
    </row>
    <row r="144">
      <c r="A144" s="21" t="str">
        <f>HYPERLINK("https://bg3.wiki/wiki/Streamhopper_Loafers", "Streamhopper Loafers")</f>
        <v>Streamhopper Loafers</v>
      </c>
      <c r="B144" s="22" t="s">
        <v>11</v>
      </c>
      <c r="C144" s="23" t="s">
        <v>695</v>
      </c>
      <c r="D144" s="24" t="str">
        <f t="shared" si="2"/>
        <v>Osi.TemplateAddTo("14339654-a714-4341-b03f-62530508c8e3", GetHostCharacter(), 1, 1);</v>
      </c>
    </row>
    <row r="145">
      <c r="A145" s="21" t="str">
        <f>HYPERLINK("https://bg3.wiki/wiki/Tanner%27s_Delight", "Tanner's Delight")</f>
        <v>Tanner's Delight</v>
      </c>
      <c r="B145" s="22" t="s">
        <v>11</v>
      </c>
      <c r="C145" s="23" t="s">
        <v>696</v>
      </c>
      <c r="D145" s="24" t="str">
        <f t="shared" si="2"/>
        <v>Osi.TemplateAddTo("c6db137e-b61c-418f-9785-b0beb6e6de0f", GetHostCharacter(), 1, 1);</v>
      </c>
    </row>
    <row r="146">
      <c r="A146" s="21" t="str">
        <f>HYPERLINK("https://bg3.wiki/wiki/Tasteful_Boots", "Tasteful Boots (default)")</f>
        <v>Tasteful Boots (default)</v>
      </c>
      <c r="B146" s="22" t="s">
        <v>11</v>
      </c>
      <c r="C146" s="23" t="s">
        <v>697</v>
      </c>
      <c r="D146" s="24" t="str">
        <f t="shared" si="2"/>
        <v>Osi.TemplateAddTo("6a491be1-7480-4069-8ac2-277728652fbf", GetHostCharacter(), 1, 1);</v>
      </c>
    </row>
    <row r="147">
      <c r="A147" s="21" t="str">
        <f>HYPERLINK("https://bg3.wiki/wiki/Tasteful_Boots", "Tasteful Boots (Astarion)")</f>
        <v>Tasteful Boots (Astarion)</v>
      </c>
      <c r="B147" s="22" t="s">
        <v>11</v>
      </c>
      <c r="C147" s="23" t="s">
        <v>698</v>
      </c>
      <c r="D147" s="24" t="str">
        <f t="shared" si="2"/>
        <v>Osi.TemplateAddTo("4700fad1-769e-4831-9b3f-4ead08c49cfa", GetHostCharacter(), 1, 1);</v>
      </c>
    </row>
    <row r="148">
      <c r="A148" s="21" t="str">
        <f>HYPERLINK("https://bg3.wiki/wiki/Tasteful_Boots", "Tasteful Boots (Gale)")</f>
        <v>Tasteful Boots (Gale)</v>
      </c>
      <c r="B148" s="22" t="s">
        <v>11</v>
      </c>
      <c r="C148" s="23" t="s">
        <v>699</v>
      </c>
      <c r="D148" s="24" t="str">
        <f t="shared" si="2"/>
        <v>Osi.TemplateAddTo("cb28ea7d-2838-43e7-a807-11277c44facb", GetHostCharacter(), 1, 1);</v>
      </c>
    </row>
    <row r="149">
      <c r="A149" s="21" t="str">
        <f>HYPERLINK("https://bg3.wiki/wiki/Tasteful_Boots", "Tasteful Boots (Halsin)")</f>
        <v>Tasteful Boots (Halsin)</v>
      </c>
      <c r="B149" s="22" t="s">
        <v>11</v>
      </c>
      <c r="C149" s="23" t="s">
        <v>700</v>
      </c>
      <c r="D149" s="24" t="str">
        <f t="shared" si="2"/>
        <v>Osi.TemplateAddTo("42de5102-7a39-44d2-b1d8-645ec4d8b0ce", GetHostCharacter(), 1, 1);</v>
      </c>
    </row>
    <row r="150">
      <c r="A150" s="21" t="str">
        <f>HYPERLINK("https://bg3.wiki/wiki/Tasteful_Boots", "Tasteful Boots (Jaheira)")</f>
        <v>Tasteful Boots (Jaheira)</v>
      </c>
      <c r="B150" s="22" t="s">
        <v>11</v>
      </c>
      <c r="C150" s="23" t="s">
        <v>701</v>
      </c>
      <c r="D150" s="24" t="str">
        <f t="shared" si="2"/>
        <v>Osi.TemplateAddTo("556de2bd-99a6-4d62-b78c-d4681ce5bdfa", GetHostCharacter(), 1, 1);</v>
      </c>
    </row>
    <row r="151">
      <c r="A151" s="21" t="str">
        <f>HYPERLINK("https://bg3.wiki/wiki/Tasteful_Boots", "Tasteful Boots (Karlach)")</f>
        <v>Tasteful Boots (Karlach)</v>
      </c>
      <c r="B151" s="22" t="s">
        <v>11</v>
      </c>
      <c r="C151" s="23" t="s">
        <v>702</v>
      </c>
      <c r="D151" s="24" t="str">
        <f t="shared" si="2"/>
        <v>Osi.TemplateAddTo("b8f42945-a42e-46cb-a424-3a0a5e97157a", GetHostCharacter(), 1, 1);</v>
      </c>
    </row>
    <row r="152">
      <c r="A152" s="21" t="str">
        <f>HYPERLINK("https://bg3.wiki/wiki/Tasteful_Boots", "Tasteful Boots (Minsc)")</f>
        <v>Tasteful Boots (Minsc)</v>
      </c>
      <c r="B152" s="22" t="s">
        <v>11</v>
      </c>
      <c r="C152" s="23" t="s">
        <v>703</v>
      </c>
      <c r="D152" s="24" t="str">
        <f t="shared" si="2"/>
        <v>Osi.TemplateAddTo("836e13ab-78a6-4ca3-ba8e-adc4c25205f1", GetHostCharacter(), 1, 1);</v>
      </c>
    </row>
    <row r="153">
      <c r="A153" s="21" t="str">
        <f>HYPERLINK("https://bg3.wiki/wiki/Tasteful_Boots", "Tasteful Boots (Minthara)")</f>
        <v>Tasteful Boots (Minthara)</v>
      </c>
      <c r="B153" s="22" t="s">
        <v>11</v>
      </c>
      <c r="C153" s="23" t="s">
        <v>704</v>
      </c>
      <c r="D153" s="24" t="str">
        <f t="shared" si="2"/>
        <v>Osi.TemplateAddTo("f107cc6a-3a6e-4a58-be16-fbe73b3f7ae8", GetHostCharacter(), 1, 1);</v>
      </c>
    </row>
    <row r="154">
      <c r="A154" s="21" t="str">
        <f>HYPERLINK("https://bg3.wiki/wiki/Tasteful_Boots", "Tasteful Boots (Shadowheart)")</f>
        <v>Tasteful Boots (Shadowheart)</v>
      </c>
      <c r="B154" s="22" t="s">
        <v>11</v>
      </c>
      <c r="C154" s="23" t="s">
        <v>705</v>
      </c>
      <c r="D154" s="24" t="str">
        <f t="shared" si="2"/>
        <v>Osi.TemplateAddTo("e92e4dad-8e96-4f27-aacb-cc430df0bc75", GetHostCharacter(), 1, 1);</v>
      </c>
    </row>
    <row r="155">
      <c r="A155" s="21" t="str">
        <f>HYPERLINK("https://bg3.wiki/wiki/Tasteful_Boots", "Tasteful Boots (Wyll &amp; Lae'zel)")</f>
        <v>Tasteful Boots (Wyll &amp; Lae'zel)</v>
      </c>
      <c r="B155" s="22" t="s">
        <v>11</v>
      </c>
      <c r="C155" s="23" t="s">
        <v>706</v>
      </c>
      <c r="D155" s="24" t="str">
        <f t="shared" si="2"/>
        <v>Osi.TemplateAddTo("b307af36-a2da-4c01-aac3-a31771edd407", GetHostCharacter(), 1, 1);</v>
      </c>
    </row>
    <row r="156">
      <c r="A156" s="21" t="str">
        <f>HYPERLINK("https://bg3.wiki/wiki/Tasteful_Boots", "Tasteful Boots (Lae'zel - Unused)")</f>
        <v>Tasteful Boots (Lae'zel - Unused)</v>
      </c>
      <c r="B156" s="22" t="s">
        <v>11</v>
      </c>
      <c r="C156" s="23" t="s">
        <v>707</v>
      </c>
      <c r="D156" s="24" t="str">
        <f t="shared" si="2"/>
        <v>Osi.TemplateAddTo("212bf756-b237-4ede-9c67-e871fd60e788", GetHostCharacter(), 1, 1);</v>
      </c>
    </row>
    <row r="157">
      <c r="A157" s="21" t="str">
        <f>HYPERLINK("https://bg3.wiki/wiki/Tasteful_Boots_(Epilogue)", "Tasteful Boots (Epilogue)")</f>
        <v>Tasteful Boots (Epilogue)</v>
      </c>
      <c r="B157" s="22" t="s">
        <v>11</v>
      </c>
      <c r="C157" s="23" t="s">
        <v>708</v>
      </c>
      <c r="D157" s="24" t="str">
        <f t="shared" si="2"/>
        <v>Osi.TemplateAddTo("dc59e71e-a303-497d-9ab7-7354cf8897d8", GetHostCharacter(), 1, 1);</v>
      </c>
    </row>
    <row r="158">
      <c r="A158" s="21" t="str">
        <f>HYPERLINK("https://bg3.wiki/wiki/The_Devil-Crushers", "The Devil-Crushers")</f>
        <v>The Devil-Crushers</v>
      </c>
      <c r="B158" s="22" t="s">
        <v>11</v>
      </c>
      <c r="C158" s="23" t="s">
        <v>709</v>
      </c>
      <c r="D158" s="24" t="str">
        <f t="shared" si="2"/>
        <v>Osi.TemplateAddTo("c36967e4-26c5-4f2f-b25b-f351a6bac804", GetHostCharacter(), 1, 1);</v>
      </c>
    </row>
    <row r="159">
      <c r="A159" s="21" t="str">
        <f>HYPERLINK("https://bg3.wiki/wiki/Thick_Soled_Shoes", "Thick Soled Shoes")</f>
        <v>Thick Soled Shoes</v>
      </c>
      <c r="B159" s="22" t="s">
        <v>11</v>
      </c>
      <c r="C159" s="23" t="s">
        <v>710</v>
      </c>
      <c r="D159" s="24" t="str">
        <f t="shared" si="2"/>
        <v>Osi.TemplateAddTo("6d7169af-9b41-42dc-be4f-ece1486cd70e", GetHostCharacter(), 1, 1);</v>
      </c>
    </row>
    <row r="160">
      <c r="A160" s="21" t="str">
        <f>HYPERLINK("https://bg3.wiki/wiki/Well-Cobbled_Boots", "Well-Cobbled Boots")</f>
        <v>Well-Cobbled Boots</v>
      </c>
      <c r="B160" s="22" t="s">
        <v>11</v>
      </c>
      <c r="C160" s="23" t="s">
        <v>711</v>
      </c>
      <c r="D160" s="24" t="str">
        <f t="shared" si="2"/>
        <v>Osi.TemplateAddTo("c3f02e6c-d519-40d1-b686-a241a9f9972e", GetHostCharacter(), 1, 1);</v>
      </c>
    </row>
    <row r="161">
      <c r="A161" s="21" t="str">
        <f>HYPERLINK("https://bg3.wiki/wiki/Well-Worn_Dress_Shoes", "Well-Worn Dress Shoes")</f>
        <v>Well-Worn Dress Shoes</v>
      </c>
      <c r="B161" s="22" t="s">
        <v>11</v>
      </c>
      <c r="C161" s="23" t="s">
        <v>712</v>
      </c>
      <c r="D161" s="24" t="str">
        <f t="shared" si="2"/>
        <v>Osi.TemplateAddTo("8a40655e-69df-45ab-b1cd-7164c2e29fd4", GetHostCharacter(), 1, 1);</v>
      </c>
    </row>
    <row r="162">
      <c r="A162" s="21" t="str">
        <f>HYPERLINK("https://bg3.wiki/wiki/Worn_Shoes", "Worn Shoes")</f>
        <v>Worn Shoes</v>
      </c>
      <c r="B162" s="22" t="s">
        <v>11</v>
      </c>
      <c r="C162" s="23" t="s">
        <v>713</v>
      </c>
      <c r="D162" s="24" t="str">
        <f t="shared" si="2"/>
        <v>Osi.TemplateAddTo("5fdac3e9-455c-49e0-83a0-3222108f5651", GetHostCharacter(), 1, 1);</v>
      </c>
    </row>
    <row r="163">
      <c r="A163" s="38" t="str">
        <f>HYPERLINK("https://bg3.wiki/wiki/Worn_Slashstrip_Sandals", "Worn Slashstrip Sandals")</f>
        <v>Worn Slashstrip Sandals</v>
      </c>
      <c r="B163" s="39" t="s">
        <v>11</v>
      </c>
      <c r="C163" s="40" t="s">
        <v>714</v>
      </c>
      <c r="D163" s="41" t="str">
        <f t="shared" si="2"/>
        <v>Osi.TemplateAddTo("03855492-12d7-42bf-866f-8aeb8eae176f", GetHostCharacter(), 1, 1);</v>
      </c>
    </row>
    <row r="164">
      <c r="C164" s="42"/>
    </row>
    <row r="165">
      <c r="A165" s="55" t="s">
        <v>715</v>
      </c>
      <c r="B165" s="22"/>
      <c r="C165" s="23"/>
      <c r="D165" s="22"/>
    </row>
    <row r="166">
      <c r="A166" s="34" t="s">
        <v>7</v>
      </c>
      <c r="B166" s="35" t="s">
        <v>8</v>
      </c>
      <c r="C166" s="35" t="s">
        <v>9</v>
      </c>
      <c r="D166" s="36" t="s">
        <v>10</v>
      </c>
      <c r="E166" s="37"/>
    </row>
    <row r="167">
      <c r="A167" s="21" t="str">
        <f>HYPERLINK("https://bg3.wiki/wiki/Astarion%27s_Underwear", "Astarion's Underwear")</f>
        <v>Astarion's Underwear</v>
      </c>
      <c r="B167" s="22" t="s">
        <v>11</v>
      </c>
      <c r="C167" s="23" t="s">
        <v>716</v>
      </c>
      <c r="D167" s="24" t="str">
        <f t="shared" ref="D167:D190" si="3">"Osi.TemplateAddTo("""&amp; C167 &amp;""", GetHostCharacter(), 1, 1);"</f>
        <v>Osi.TemplateAddTo("4b30a649-fd88-4f64-a57b-1149d7b9ac41", GetHostCharacter(), 1, 1);</v>
      </c>
    </row>
    <row r="168">
      <c r="A168" s="21" t="str">
        <f>HYPERLINK("https://bg3.wiki/wiki/Halsin%27s_Underwear", "Halsin's Underwear")</f>
        <v>Halsin's Underwear</v>
      </c>
      <c r="B168" s="22" t="s">
        <v>11</v>
      </c>
      <c r="C168" s="23" t="s">
        <v>717</v>
      </c>
      <c r="D168" s="24" t="str">
        <f t="shared" si="3"/>
        <v>Osi.TemplateAddTo("9ebb9117-a0ae-46f2-a243-8d67650e9586", GetHostCharacter(), 1, 1);</v>
      </c>
    </row>
    <row r="169">
      <c r="A169" s="21" t="str">
        <f>HYPERLINK("https://bg3.wiki/wiki/Jaheira%27s_Underwear", "Jaheira's Underwear")</f>
        <v>Jaheira's Underwear</v>
      </c>
      <c r="B169" s="22" t="s">
        <v>11</v>
      </c>
      <c r="C169" s="23" t="s">
        <v>718</v>
      </c>
      <c r="D169" s="24" t="str">
        <f t="shared" si="3"/>
        <v>Osi.TemplateAddTo("91259e65-dd71-4312-ba3c-c55757978788", GetHostCharacter(), 1, 1);</v>
      </c>
    </row>
    <row r="170">
      <c r="A170" s="21" t="str">
        <f>HYPERLINK("https://bg3.wiki/wiki/Karlach%27s_Underwear", "Karlach's Underwear")</f>
        <v>Karlach's Underwear</v>
      </c>
      <c r="B170" s="22" t="s">
        <v>11</v>
      </c>
      <c r="C170" s="23" t="s">
        <v>719</v>
      </c>
      <c r="D170" s="24" t="str">
        <f t="shared" si="3"/>
        <v>Osi.TemplateAddTo("e865db4c-4df3-48e9-8cf3-5abad75510ba", GetHostCharacter(), 1, 1);</v>
      </c>
    </row>
    <row r="171">
      <c r="A171" s="21" t="str">
        <f>HYPERLINK("https://bg3.wiki/wiki/Lae%27zel%27s_Underwear", "Lae'zel's Underwear")</f>
        <v>Lae'zel's Underwear</v>
      </c>
      <c r="B171" s="22" t="s">
        <v>11</v>
      </c>
      <c r="C171" s="23" t="s">
        <v>720</v>
      </c>
      <c r="D171" s="24" t="str">
        <f t="shared" si="3"/>
        <v>Osi.TemplateAddTo("185ab1be-e93d-4518-b053-d6d4d7168d68", GetHostCharacter(), 1, 1);</v>
      </c>
    </row>
    <row r="172">
      <c r="A172" s="21" t="str">
        <f>HYPERLINK("https://bg3.wiki/wiki/Minthara%27s_Underwear", "Minthara's Underwear")</f>
        <v>Minthara's Underwear</v>
      </c>
      <c r="B172" s="22" t="s">
        <v>11</v>
      </c>
      <c r="C172" s="23" t="s">
        <v>721</v>
      </c>
      <c r="D172" s="24" t="str">
        <f t="shared" si="3"/>
        <v>Osi.TemplateAddTo("73874ef8-a3c4-4a68-8d2a-ed3d580dfb52", GetHostCharacter(), 1, 1);</v>
      </c>
    </row>
    <row r="173">
      <c r="A173" s="21" t="str">
        <f>HYPERLINK("https://bg3.wiki/wiki/Periwinkle_Undergarments", "Periwinkle Undergarments")</f>
        <v>Periwinkle Undergarments</v>
      </c>
      <c r="B173" s="22" t="s">
        <v>11</v>
      </c>
      <c r="C173" s="23" t="s">
        <v>722</v>
      </c>
      <c r="D173" s="24" t="str">
        <f t="shared" si="3"/>
        <v>Osi.TemplateAddTo("bf974183-9bf5-4086-9742-a2deef9e7675", GetHostCharacter(), 1, 1);</v>
      </c>
    </row>
    <row r="174">
      <c r="A174" s="21" t="str">
        <f>HYPERLINK("https://bg3.wiki/wiki/Shadowheart%27s_Underwear", "Shadowheart's Underwear")</f>
        <v>Shadowheart's Underwear</v>
      </c>
      <c r="B174" s="22" t="s">
        <v>11</v>
      </c>
      <c r="C174" s="23" t="s">
        <v>723</v>
      </c>
      <c r="D174" s="24" t="str">
        <f t="shared" si="3"/>
        <v>Osi.TemplateAddTo("b460bd0c-58fe-4a56-831c-af92fd4ba7e2", GetHostCharacter(), 1, 1);</v>
      </c>
    </row>
    <row r="175">
      <c r="A175" s="21" t="str">
        <f>HYPERLINK("https://bg3.wiki/wiki/Underwear/Base_Armour", "Underwear/Base Armour")</f>
        <v>Underwear/Base Armour</v>
      </c>
      <c r="B175" s="22" t="s">
        <v>11</v>
      </c>
      <c r="C175" s="23" t="s">
        <v>724</v>
      </c>
      <c r="D175" s="24" t="str">
        <f t="shared" si="3"/>
        <v>Osi.TemplateAddTo("e419b771-2ea2-439d-a9e9-c2796398dd09", GetHostCharacter(), 1, 1);</v>
      </c>
    </row>
    <row r="176">
      <c r="A176" s="21" t="str">
        <f>HYPERLINK("https://bg3.wiki/wiki/Underwear/Dragonborn", "Underwear/Dragonborn")</f>
        <v>Underwear/Dragonborn</v>
      </c>
      <c r="B176" s="22" t="s">
        <v>11</v>
      </c>
      <c r="C176" s="23" t="s">
        <v>725</v>
      </c>
      <c r="D176" s="24" t="str">
        <f t="shared" si="3"/>
        <v>Osi.TemplateAddTo("8494f6d9-d588-4d18-bb0d-c5a58e911771", GetHostCharacter(), 1, 1);</v>
      </c>
    </row>
    <row r="177">
      <c r="A177" s="21" t="str">
        <f>HYPERLINK("https://bg3.wiki/wiki/Underwear/Drow", "Underwear/Drow")</f>
        <v>Underwear/Drow</v>
      </c>
      <c r="B177" s="22" t="s">
        <v>11</v>
      </c>
      <c r="C177" s="23" t="s">
        <v>726</v>
      </c>
      <c r="D177" s="24" t="str">
        <f t="shared" si="3"/>
        <v>Osi.TemplateAddTo("6d076cab-f23a-4a80-89b6-107be7f345bd", GetHostCharacter(), 1, 1);</v>
      </c>
    </row>
    <row r="178">
      <c r="A178" s="21" t="str">
        <f>HYPERLINK("https://bg3.wiki/wiki/Underwear/Dwarf", "Underwear/Dwarf")</f>
        <v>Underwear/Dwarf</v>
      </c>
      <c r="B178" s="22" t="s">
        <v>11</v>
      </c>
      <c r="C178" s="23" t="s">
        <v>727</v>
      </c>
      <c r="D178" s="24" t="str">
        <f t="shared" si="3"/>
        <v>Osi.TemplateAddTo("9fecf84d-911f-4986-9454-0429ac437f45", GetHostCharacter(), 1, 1);</v>
      </c>
    </row>
    <row r="179">
      <c r="A179" s="21" t="str">
        <f>HYPERLINK("https://bg3.wiki/wiki/Underwear/Elf", "Underwear/Elf")</f>
        <v>Underwear/Elf</v>
      </c>
      <c r="B179" s="22" t="s">
        <v>11</v>
      </c>
      <c r="C179" s="23" t="s">
        <v>728</v>
      </c>
      <c r="D179" s="24" t="str">
        <f t="shared" si="3"/>
        <v>Osi.TemplateAddTo("0ec7d956-e65f-4bfa-b677-22f399f81a32", GetHostCharacter(), 1, 1);</v>
      </c>
    </row>
    <row r="180">
      <c r="A180" s="21" t="str">
        <f>HYPERLINK("https://bg3.wiki/wiki/Underwear/Githyanki", "Underwear/Githyanki")</f>
        <v>Underwear/Githyanki</v>
      </c>
      <c r="B180" s="22" t="s">
        <v>11</v>
      </c>
      <c r="C180" s="23" t="s">
        <v>729</v>
      </c>
      <c r="D180" s="24" t="str">
        <f t="shared" si="3"/>
        <v>Osi.TemplateAddTo("1cb3fb1b-2dfc-446a-9c9b-666eb0de05d6", GetHostCharacter(), 1, 1);</v>
      </c>
    </row>
    <row r="181">
      <c r="A181" s="21" t="str">
        <f>HYPERLINK("https://bg3.wiki/wiki/Underwear/Gnome", "Underwear/Gnome")</f>
        <v>Underwear/Gnome</v>
      </c>
      <c r="B181" s="22" t="s">
        <v>11</v>
      </c>
      <c r="C181" s="23" t="s">
        <v>730</v>
      </c>
      <c r="D181" s="24" t="str">
        <f t="shared" si="3"/>
        <v>Osi.TemplateAddTo("d692d48f-9a39-4001-8a38-c01e397953dc", GetHostCharacter(), 1, 1);</v>
      </c>
    </row>
    <row r="182">
      <c r="A182" s="21" t="str">
        <f>HYPERLINK("https://bg3.wiki/wiki/Underwear/Half-Elf", "Underwear/Half-Elf")</f>
        <v>Underwear/Half-Elf</v>
      </c>
      <c r="B182" s="22" t="s">
        <v>11</v>
      </c>
      <c r="C182" s="23" t="s">
        <v>731</v>
      </c>
      <c r="D182" s="24" t="str">
        <f t="shared" si="3"/>
        <v>Osi.TemplateAddTo("f328179e-f5e1-4fd4-bd41-efad411223e8", GetHostCharacter(), 1, 1);</v>
      </c>
    </row>
    <row r="183">
      <c r="A183" s="21" t="str">
        <f>HYPERLINK("https://bg3.wiki/wiki/Underwear/Half-Orc", "Underwear/Half-Orc")</f>
        <v>Underwear/Half-Orc</v>
      </c>
      <c r="B183" s="22" t="s">
        <v>11</v>
      </c>
      <c r="C183" s="23" t="s">
        <v>732</v>
      </c>
      <c r="D183" s="24" t="str">
        <f t="shared" si="3"/>
        <v>Osi.TemplateAddTo("3caad2f1-719f-4070-b7f0-887c49c773d3", GetHostCharacter(), 1, 1);</v>
      </c>
    </row>
    <row r="184">
      <c r="A184" s="21" t="str">
        <f>HYPERLINK("https://bg3.wiki/wiki/Underwear/Halfling", "Underwear/Halfling")</f>
        <v>Underwear/Halfling</v>
      </c>
      <c r="B184" s="22" t="s">
        <v>11</v>
      </c>
      <c r="C184" s="23" t="s">
        <v>733</v>
      </c>
      <c r="D184" s="24" t="str">
        <f t="shared" si="3"/>
        <v>Osi.TemplateAddTo("78063154-288f-41aa-a99f-e56cbf601129", GetHostCharacter(), 1, 1);</v>
      </c>
    </row>
    <row r="185">
      <c r="A185" s="21" t="str">
        <f>HYPERLINK("https://bg3.wiki/wiki/Underwear/Helper", "Underwear/Helper")</f>
        <v>Underwear/Helper</v>
      </c>
      <c r="B185" s="22" t="s">
        <v>11</v>
      </c>
      <c r="C185" s="23" t="s">
        <v>734</v>
      </c>
      <c r="D185" s="24" t="str">
        <f t="shared" si="3"/>
        <v>Osi.TemplateAddTo("305718fa-de30-474f-97a8-41ae79b4919e", GetHostCharacter(), 1, 1);</v>
      </c>
    </row>
    <row r="186">
      <c r="A186" s="21" t="str">
        <f>HYPERLINK("https://bg3.wiki/wiki/Underwear/Human", "Underwear/Human")</f>
        <v>Underwear/Human</v>
      </c>
      <c r="B186" s="22" t="s">
        <v>11</v>
      </c>
      <c r="C186" s="23" t="s">
        <v>735</v>
      </c>
      <c r="D186" s="24" t="str">
        <f t="shared" si="3"/>
        <v>Osi.TemplateAddTo("d40b567d-6b66-447e-8923-2bbd0d7aea00", GetHostCharacter(), 1, 1);</v>
      </c>
    </row>
    <row r="187">
      <c r="A187" s="21" t="str">
        <f>HYPERLINK("https://bg3.wiki/wiki/Underwear/Incubus", "Underwear/Incubus A")</f>
        <v>Underwear/Incubus A</v>
      </c>
      <c r="B187" s="22" t="s">
        <v>11</v>
      </c>
      <c r="C187" s="23" t="s">
        <v>736</v>
      </c>
      <c r="D187" s="24" t="str">
        <f t="shared" si="3"/>
        <v>Osi.TemplateAddTo("5fa043bf-0445-49ad-9e82-0df77c639fe2", GetHostCharacter(), 1, 1);</v>
      </c>
    </row>
    <row r="188">
      <c r="A188" s="21" t="str">
        <f>HYPERLINK("https://bg3.wiki/wiki/Underwear/Incubus", "Underwear/Incubus B")</f>
        <v>Underwear/Incubus B</v>
      </c>
      <c r="B188" s="22" t="s">
        <v>11</v>
      </c>
      <c r="C188" s="23" t="s">
        <v>737</v>
      </c>
      <c r="D188" s="24" t="str">
        <f t="shared" si="3"/>
        <v>Osi.TemplateAddTo("82c84433-0464-442a-8e5a-0891d829f99a", GetHostCharacter(), 1, 1);</v>
      </c>
    </row>
    <row r="189">
      <c r="A189" s="21" t="str">
        <f>HYPERLINK("https://bg3.wiki/wiki/Underwear/Tiefling", "Underwear/Tiefling")</f>
        <v>Underwear/Tiefling</v>
      </c>
      <c r="B189" s="22" t="s">
        <v>11</v>
      </c>
      <c r="C189" s="23" t="s">
        <v>738</v>
      </c>
      <c r="D189" s="24" t="str">
        <f t="shared" si="3"/>
        <v>Osi.TemplateAddTo("498c155f-8675-4a55-9cb0-89dd7270469f", GetHostCharacter(), 1, 1);</v>
      </c>
    </row>
    <row r="190">
      <c r="A190" s="38" t="str">
        <f>HYPERLINK("https://bg3.wiki/wiki/Wyll%27s_Underwear", "Wyll's Underwear")</f>
        <v>Wyll's Underwear</v>
      </c>
      <c r="B190" s="39" t="s">
        <v>11</v>
      </c>
      <c r="C190" s="40" t="s">
        <v>739</v>
      </c>
      <c r="D190" s="41" t="str">
        <f t="shared" si="3"/>
        <v>Osi.TemplateAddTo("1930ceec-4a50-43d9-8589-94593c449be4", GetHostCharacter(), 1, 1);</v>
      </c>
    </row>
    <row r="191">
      <c r="C191" s="42"/>
    </row>
    <row r="192">
      <c r="A192" s="55" t="s">
        <v>740</v>
      </c>
      <c r="B192" s="22"/>
      <c r="C192" s="23"/>
      <c r="D192" s="22"/>
    </row>
    <row r="193">
      <c r="A193" s="34" t="s">
        <v>7</v>
      </c>
      <c r="B193" s="35" t="s">
        <v>8</v>
      </c>
      <c r="C193" s="35" t="s">
        <v>9</v>
      </c>
      <c r="D193" s="36" t="s">
        <v>10</v>
      </c>
      <c r="E193" s="37"/>
    </row>
    <row r="194">
      <c r="A194" s="21" t="str">
        <f>HYPERLINK("https://bg3.wiki/wiki/Aberration_Hunters%27_Amulet", "Aberration Hunters' Amulet")</f>
        <v>Aberration Hunters' Amulet</v>
      </c>
      <c r="B194" s="22" t="s">
        <v>17</v>
      </c>
      <c r="C194" s="23" t="s">
        <v>741</v>
      </c>
      <c r="D194" s="24" t="str">
        <f t="shared" ref="D194:D212" si="4">"Osi.TemplateAddTo("""&amp; C194 &amp;""", GetHostCharacter(), 1, 1);"</f>
        <v>Osi.TemplateAddTo("1310524f-408e-405d-8d75-7a6d3cb18bcc", GetHostCharacter(), 1, 1);</v>
      </c>
    </row>
    <row r="195">
      <c r="A195" s="21" t="str">
        <f>HYPERLINK("https://bg3.wiki/wiki/Absolute%27s_Talisman", "Absolute's Talisman")</f>
        <v>Absolute's Talisman</v>
      </c>
      <c r="B195" s="22" t="s">
        <v>17</v>
      </c>
      <c r="C195" s="23" t="s">
        <v>742</v>
      </c>
      <c r="D195" s="24" t="str">
        <f t="shared" si="4"/>
        <v>Osi.TemplateAddTo("95b04c9c-8b58-44c5-bf1f-7d4d1027d57e", GetHostCharacter(), 1, 1);</v>
      </c>
    </row>
    <row r="196">
      <c r="A196" s="21" t="str">
        <f>HYPERLINK("https://bg3.wiki/wiki/Absolute_Confidence_Amulet", "Absolute Confidence Amulet")</f>
        <v>Absolute Confidence Amulet</v>
      </c>
      <c r="B196" s="22" t="s">
        <v>17</v>
      </c>
      <c r="C196" s="23" t="s">
        <v>743</v>
      </c>
      <c r="D196" s="24" t="str">
        <f t="shared" si="4"/>
        <v>Osi.TemplateAddTo("b4f88dd8-0a5b-4641-937e-a882bebc26b1", GetHostCharacter(), 1, 1);</v>
      </c>
    </row>
    <row r="197">
      <c r="A197" s="21" t="str">
        <f>HYPERLINK("https://bg3.wiki/wiki/Amulet_of_Bhaal", "Amulet of Bhaal")</f>
        <v>Amulet of Bhaal</v>
      </c>
      <c r="B197" s="22" t="s">
        <v>55</v>
      </c>
      <c r="C197" s="23" t="s">
        <v>744</v>
      </c>
      <c r="D197" s="24" t="str">
        <f t="shared" si="4"/>
        <v>Osi.TemplateAddTo("16a632e2-45b1-4ff1-8250-513eb271abea", GetHostCharacter(), 1, 1);</v>
      </c>
    </row>
    <row r="198">
      <c r="A198" s="21" t="str">
        <f>HYPERLINK("https://bg3.wiki/wiki/Amulet_of_Branding", "Amulet of Branding")</f>
        <v>Amulet of Branding</v>
      </c>
      <c r="B198" s="22" t="s">
        <v>24</v>
      </c>
      <c r="C198" s="23" t="s">
        <v>745</v>
      </c>
      <c r="D198" s="24" t="str">
        <f t="shared" si="4"/>
        <v>Osi.TemplateAddTo("894a6847-3d80-4368-86fb-354c8cb23525", GetHostCharacter(), 1, 1);</v>
      </c>
    </row>
    <row r="199">
      <c r="A199" s="21" t="str">
        <f>HYPERLINK("https://bg3.wiki/wiki/Amulet_of_Elemental_Torment", "Amulet of Elemental Torment")</f>
        <v>Amulet of Elemental Torment</v>
      </c>
      <c r="B199" s="22" t="s">
        <v>17</v>
      </c>
      <c r="C199" s="23" t="s">
        <v>746</v>
      </c>
      <c r="D199" s="24" t="str">
        <f t="shared" si="4"/>
        <v>Osi.TemplateAddTo("c1cb7388-bd2f-4cc7-8305-7d7a0651874f", GetHostCharacter(), 1, 1);</v>
      </c>
    </row>
    <row r="200">
      <c r="A200" s="21" t="str">
        <f>HYPERLINK("https://bg3.wiki/wiki/Amulet_of_Greater_Health", "Amulet of Greater Health")</f>
        <v>Amulet of Greater Health</v>
      </c>
      <c r="B200" s="22" t="s">
        <v>19</v>
      </c>
      <c r="C200" s="23" t="s">
        <v>747</v>
      </c>
      <c r="D200" s="24" t="str">
        <f t="shared" si="4"/>
        <v>Osi.TemplateAddTo("5ed63342-30c9-456d-9a57-a88c8596c0c9", GetHostCharacter(), 1, 1);</v>
      </c>
    </row>
    <row r="201">
      <c r="A201" s="21" t="str">
        <f>HYPERLINK("https://bg3.wiki/wiki/Amulet_of_Misty_Step", "Amulet of Misty Step")</f>
        <v>Amulet of Misty Step</v>
      </c>
      <c r="B201" s="22" t="s">
        <v>17</v>
      </c>
      <c r="C201" s="23" t="s">
        <v>18</v>
      </c>
      <c r="D201" s="24" t="str">
        <f t="shared" si="4"/>
        <v>Osi.TemplateAddTo("338848e7-b2c6-4f97-879b-cb3439b4f959", GetHostCharacter(), 1, 1);</v>
      </c>
    </row>
    <row r="202">
      <c r="A202" s="21" t="str">
        <f>HYPERLINK("https://bg3.wiki/wiki/Amulet_of_Restoration", "Amulet of Restoration")</f>
        <v>Amulet of Restoration</v>
      </c>
      <c r="B202" s="22" t="s">
        <v>24</v>
      </c>
      <c r="C202" s="23" t="s">
        <v>748</v>
      </c>
      <c r="D202" s="24" t="str">
        <f t="shared" si="4"/>
        <v>Osi.TemplateAddTo("b648ee98-f648-411b-be7e-6c50ca9b463c", GetHostCharacter(), 1, 1);</v>
      </c>
    </row>
    <row r="203">
      <c r="A203" s="21" t="str">
        <f>HYPERLINK("https://bg3.wiki/wiki/Amulet_of_Sel%C3%BBne%27s_Chosen", "Amulet of Selûne's Chosen")</f>
        <v>Amulet of Selûne's Chosen</v>
      </c>
      <c r="B203" s="22" t="s">
        <v>17</v>
      </c>
      <c r="C203" s="23" t="s">
        <v>749</v>
      </c>
      <c r="D203" s="24" t="str">
        <f t="shared" si="4"/>
        <v>Osi.TemplateAddTo("e7bf966a-b611-4c36-89fe-0a3b28393d97", GetHostCharacter(), 1, 1);</v>
      </c>
    </row>
    <row r="204">
      <c r="A204" s="21" t="str">
        <f>HYPERLINK("https://bg3.wiki/wiki/Amulet_of_Silvanus", "Amulet of Silvanus")</f>
        <v>Amulet of Silvanus</v>
      </c>
      <c r="B204" s="22" t="s">
        <v>17</v>
      </c>
      <c r="C204" s="23" t="s">
        <v>750</v>
      </c>
      <c r="D204" s="24" t="str">
        <f t="shared" si="4"/>
        <v>Osi.TemplateAddTo("c0b04c1c-afb5-4f02-b832-e12043a2d2c4", GetHostCharacter(), 1, 1);</v>
      </c>
    </row>
    <row r="205">
      <c r="A205" s="21" t="str">
        <f>HYPERLINK("https://bg3.wiki/wiki/Amulet_of_Windrider", "Amulet of Windrider")</f>
        <v>Amulet of Windrider</v>
      </c>
      <c r="B205" s="22" t="s">
        <v>19</v>
      </c>
      <c r="C205" s="23" t="s">
        <v>751</v>
      </c>
      <c r="D205" s="24" t="str">
        <f t="shared" si="4"/>
        <v>Osi.TemplateAddTo("489290fd-c517-4c26-83e8-db102d8db25b", GetHostCharacter(), 1, 1);</v>
      </c>
    </row>
    <row r="206">
      <c r="A206" s="21" t="str">
        <f>HYPERLINK("https://bg3.wiki/wiki/Amulet_of_the_Absolute", "Amulet of the Absolute")</f>
        <v>Amulet of the Absolute</v>
      </c>
      <c r="B206" s="22" t="s">
        <v>11</v>
      </c>
      <c r="C206" s="23" t="s">
        <v>752</v>
      </c>
      <c r="D206" s="24" t="str">
        <f t="shared" si="4"/>
        <v>Osi.TemplateAddTo("0b30d06e-5bd4-45e5-bb89-a0b167e06d06", GetHostCharacter(), 1, 1);</v>
      </c>
    </row>
    <row r="207">
      <c r="A207" s="21" t="str">
        <f>HYPERLINK("https://bg3.wiki/wiki/Amulet_of_the_Devout", "Amulet of the Devout")</f>
        <v>Amulet of the Devout</v>
      </c>
      <c r="B207" s="22" t="s">
        <v>19</v>
      </c>
      <c r="C207" s="23" t="s">
        <v>753</v>
      </c>
      <c r="D207" s="24" t="str">
        <f t="shared" si="4"/>
        <v>Osi.TemplateAddTo("1acf71e6-6bca-4d9b-9d24-739823e10723", GetHostCharacter(), 1, 1);</v>
      </c>
    </row>
    <row r="208">
      <c r="A208" s="21" t="str">
        <f>HYPERLINK("https://bg3.wiki/wiki/Amulet_of_the_Drunkard", "Amulet of the Drunkard")</f>
        <v>Amulet of the Drunkard</v>
      </c>
      <c r="B208" s="22" t="s">
        <v>24</v>
      </c>
      <c r="C208" s="23" t="s">
        <v>754</v>
      </c>
      <c r="D208" s="24" t="str">
        <f t="shared" si="4"/>
        <v>Osi.TemplateAddTo("b6510e39-54fc-45fa-a49e-e7d8cbfdafe6", GetHostCharacter(), 1, 1);</v>
      </c>
    </row>
    <row r="209">
      <c r="A209" s="21" t="str">
        <f>HYPERLINK("https://bg3.wiki/wiki/Amulet_of_the_Harpers", "Amulet of the Harpers")</f>
        <v>Amulet of the Harpers</v>
      </c>
      <c r="B209" s="22" t="s">
        <v>24</v>
      </c>
      <c r="C209" s="23" t="s">
        <v>755</v>
      </c>
      <c r="D209" s="24" t="str">
        <f t="shared" si="4"/>
        <v>Osi.TemplateAddTo("ddc9ac0b-8e68-422b-8d9d-c081629ab4ad", GetHostCharacter(), 1, 1);</v>
      </c>
    </row>
    <row r="210">
      <c r="A210" s="21" t="str">
        <f>HYPERLINK("https://bg3.wiki/wiki/Amulet_of_the_Unworthy", "Amulet of the Unworthy")</f>
        <v>Amulet of the Unworthy</v>
      </c>
      <c r="B210" s="22" t="s">
        <v>17</v>
      </c>
      <c r="C210" s="23" t="s">
        <v>756</v>
      </c>
      <c r="D210" s="24" t="str">
        <f t="shared" si="4"/>
        <v>Osi.TemplateAddTo("b96d16dc-da98-4108-9a0e-5e55720dbf5c", GetHostCharacter(), 1, 1);</v>
      </c>
    </row>
    <row r="211">
      <c r="A211" s="21" t="str">
        <f>HYPERLINK("https://bg3.wiki/wiki/Barnabus%27_Collar", "Barnabus' Collar")</f>
        <v>Barnabus' Collar</v>
      </c>
      <c r="B211" s="22" t="s">
        <v>11</v>
      </c>
      <c r="C211" s="23" t="s">
        <v>757</v>
      </c>
      <c r="D211" s="24" t="str">
        <f t="shared" si="4"/>
        <v>Osi.TemplateAddTo("37ce3317-3504-4e85-8457-c83c628bd046", GetHostCharacter(), 1, 1);</v>
      </c>
    </row>
    <row r="212">
      <c r="A212" s="21" t="str">
        <f>HYPERLINK("https://bg3.wiki/wiki/Beastmaster%27s_Chain", "Beastmaster's Chain")</f>
        <v>Beastmaster's Chain</v>
      </c>
      <c r="B212" s="22" t="s">
        <v>17</v>
      </c>
      <c r="C212" s="23" t="s">
        <v>758</v>
      </c>
      <c r="D212" s="24" t="str">
        <f t="shared" si="4"/>
        <v>Osi.TemplateAddTo("01d74aea-9e8a-4d03-9b55-e43458b61163", GetHostCharacter(), 1, 1);</v>
      </c>
    </row>
    <row r="213">
      <c r="A213" s="21" t="str">
        <f>HYPERLINK("https://bg3.wiki/wiki/Bloody_Amulet", "Bloody Amulet")</f>
        <v>Bloody Amulet</v>
      </c>
      <c r="B213" s="22" t="s">
        <v>55</v>
      </c>
      <c r="C213" s="23" t="s">
        <v>158</v>
      </c>
      <c r="D213" s="24"/>
    </row>
    <row r="214">
      <c r="A214" s="21" t="str">
        <f>HYPERLINK("https://bg3.wiki/wiki/Brass_Locket", "Brass Locket")</f>
        <v>Brass Locket</v>
      </c>
      <c r="B214" s="22" t="s">
        <v>55</v>
      </c>
      <c r="C214" s="23" t="s">
        <v>759</v>
      </c>
      <c r="D214" s="24" t="str">
        <f t="shared" ref="D214:D263" si="5">"Osi.TemplateAddTo("""&amp; C214 &amp;""", GetHostCharacter(), 1, 1);"</f>
        <v>Osi.TemplateAddTo("fa28af9d-f179-4eeb-9780-a4cde893ac1f", GetHostCharacter(), 1, 1);</v>
      </c>
    </row>
    <row r="215">
      <c r="A215" s="21" t="str">
        <f>HYPERLINK("https://bg3.wiki/wiki/Bronze_Necklace", "Bronze Necklace")</f>
        <v>Bronze Necklace</v>
      </c>
      <c r="B215" s="22" t="s">
        <v>11</v>
      </c>
      <c r="C215" s="23" t="s">
        <v>760</v>
      </c>
      <c r="D215" s="24" t="str">
        <f t="shared" si="5"/>
        <v>Osi.TemplateAddTo("fda631e5-83f5-4ae4-b28f-cf4da102e3be", GetHostCharacter(), 1, 1);</v>
      </c>
    </row>
    <row r="216">
      <c r="A216" s="21" t="str">
        <f>HYPERLINK("https://bg3.wiki/wiki/Bronze_Pendant", "Bronze Pendant")</f>
        <v>Bronze Pendant</v>
      </c>
      <c r="B216" s="22" t="s">
        <v>11</v>
      </c>
      <c r="C216" s="23" t="s">
        <v>761</v>
      </c>
      <c r="D216" s="24" t="str">
        <f t="shared" si="5"/>
        <v>Osi.TemplateAddTo("15be2ce4-3f2c-4b75-8068-bd13fd69a3d5", GetHostCharacter(), 1, 1);</v>
      </c>
    </row>
    <row r="217">
      <c r="A217" s="21" t="str">
        <f>HYPERLINK("https://bg3.wiki/wiki/Broodmother%27s_Revenge", "Broodmother's Revenge")</f>
        <v>Broodmother's Revenge</v>
      </c>
      <c r="B217" s="22" t="s">
        <v>17</v>
      </c>
      <c r="C217" s="23" t="s">
        <v>762</v>
      </c>
      <c r="D217" s="24" t="str">
        <f t="shared" si="5"/>
        <v>Osi.TemplateAddTo("21abc023-343a-4693-b63f-3ba07a231864", GetHostCharacter(), 1, 1);</v>
      </c>
    </row>
    <row r="218">
      <c r="A218" s="21" t="str">
        <f>HYPERLINK("https://bg3.wiki/wiki/Burnished_Necklace", "Burnished Necklace")</f>
        <v>Burnished Necklace</v>
      </c>
      <c r="B218" s="22" t="s">
        <v>11</v>
      </c>
      <c r="C218" s="23" t="s">
        <v>763</v>
      </c>
      <c r="D218" s="24" t="str">
        <f t="shared" si="5"/>
        <v>Osi.TemplateAddTo("032c0c5e-158f-4c51-8fbe-f7658f43c853", GetHostCharacter(), 1, 1);</v>
      </c>
    </row>
    <row r="219">
      <c r="A219" s="21" t="str">
        <f>HYPERLINK("https://bg3.wiki/wiki/Champion%27s_Chain", "Champion's Chain")</f>
        <v>Champion's Chain</v>
      </c>
      <c r="B219" s="22" t="s">
        <v>24</v>
      </c>
      <c r="C219" s="23" t="s">
        <v>764</v>
      </c>
      <c r="D219" s="24" t="str">
        <f t="shared" si="5"/>
        <v>Osi.TemplateAddTo("f6963e1e-b95a-496d-9d57-d4ad79a4394c", GetHostCharacter(), 1, 1);</v>
      </c>
    </row>
    <row r="220">
      <c r="A220" s="21" t="str">
        <f>HYPERLINK("https://bg3.wiki/wiki/Chancer%27s_Carcanet", "Chancer's Carcanet")</f>
        <v>Chancer's Carcanet</v>
      </c>
      <c r="B220" s="22" t="s">
        <v>24</v>
      </c>
      <c r="C220" s="23" t="s">
        <v>765</v>
      </c>
      <c r="D220" s="24" t="str">
        <f t="shared" si="5"/>
        <v>Osi.TemplateAddTo("49c2d3d1-f489-4433-8f9a-bdef766ee9f1", GetHostCharacter(), 1, 1);</v>
      </c>
    </row>
    <row r="221">
      <c r="A221" s="21" t="str">
        <f>HYPERLINK("https://bg3.wiki/wiki/Corvid_Token", "Corvid Token")</f>
        <v>Corvid Token</v>
      </c>
      <c r="B221" s="22" t="s">
        <v>19</v>
      </c>
      <c r="C221" s="23" t="s">
        <v>766</v>
      </c>
      <c r="D221" s="24" t="str">
        <f t="shared" si="5"/>
        <v>Osi.TemplateAddTo("95f850c6-ccaf-4f37-8c7a-33f740765ec0", GetHostCharacter(), 1, 1);</v>
      </c>
    </row>
    <row r="222">
      <c r="A222" s="21" t="str">
        <f>HYPERLINK("https://bg3.wiki/wiki/Dauntless_Amulet", "Dauntless Amulet")</f>
        <v>Dauntless Amulet</v>
      </c>
      <c r="B222" s="22" t="s">
        <v>24</v>
      </c>
      <c r="C222" s="23" t="s">
        <v>767</v>
      </c>
      <c r="D222" s="24" t="str">
        <f t="shared" si="5"/>
        <v>Osi.TemplateAddTo("a67c7aa5-7b3f-4222-a655-6e4217d3b8e6", GetHostCharacter(), 1, 1);</v>
      </c>
    </row>
    <row r="223">
      <c r="A223" s="21" t="str">
        <f>HYPERLINK("https://bg3.wiki/wiki/Destroyed_Kill_Collar", "Destroyed Kill Collar")</f>
        <v>Destroyed Kill Collar</v>
      </c>
      <c r="B223" s="22" t="s">
        <v>11</v>
      </c>
      <c r="C223" s="23" t="s">
        <v>768</v>
      </c>
      <c r="D223" s="24" t="str">
        <f t="shared" si="5"/>
        <v>Osi.TemplateAddTo("2071b74c-95b4-4490-91b7-cf5e250f22ab", GetHostCharacter(), 1, 1);</v>
      </c>
    </row>
    <row r="224">
      <c r="A224" s="21" t="str">
        <f>HYPERLINK("https://bg3.wiki/wiki/Dog_Collar", "Dog Collar")</f>
        <v>Dog Collar</v>
      </c>
      <c r="B224" s="22" t="s">
        <v>11</v>
      </c>
      <c r="C224" s="23" t="s">
        <v>769</v>
      </c>
      <c r="D224" s="24" t="str">
        <f t="shared" si="5"/>
        <v>Osi.TemplateAddTo("f5e6c5d5-7361-446f-aa78-d394b2e4042c", GetHostCharacter(), 1, 1);</v>
      </c>
    </row>
    <row r="225">
      <c r="A225" s="21" t="str">
        <f>HYPERLINK("https://bg3.wiki/wiki/Envoy%27s_Amulet", "Envoy's Amulet")</f>
        <v>Envoy's Amulet</v>
      </c>
      <c r="B225" s="22" t="s">
        <v>24</v>
      </c>
      <c r="C225" s="23" t="s">
        <v>770</v>
      </c>
      <c r="D225" s="24" t="str">
        <f t="shared" si="5"/>
        <v>Osi.TemplateAddTo("5556b0c1-5b0a-47f9-8bc6-91c8f293f83e", GetHostCharacter(), 1, 1);</v>
      </c>
    </row>
    <row r="226">
      <c r="A226" s="21" t="str">
        <f>HYPERLINK("https://bg3.wiki/wiki/Fey_Semblance_Amulet", "Fey Semblance Amulet")</f>
        <v>Fey Semblance Amulet</v>
      </c>
      <c r="B226" s="22" t="s">
        <v>19</v>
      </c>
      <c r="C226" s="23" t="s">
        <v>771</v>
      </c>
      <c r="D226" s="24" t="str">
        <f t="shared" si="5"/>
        <v>Osi.TemplateAddTo("e4d2562d-2789-4598-befe-d46b255f551a", GetHostCharacter(), 1, 1);</v>
      </c>
    </row>
    <row r="227">
      <c r="A227" s="21" t="str">
        <f>HYPERLINK("https://bg3.wiki/wiki/Fireheart", "Fireheart")</f>
        <v>Fireheart</v>
      </c>
      <c r="B227" s="22" t="s">
        <v>17</v>
      </c>
      <c r="C227" s="23" t="s">
        <v>772</v>
      </c>
      <c r="D227" s="24" t="str">
        <f t="shared" si="5"/>
        <v>Osi.TemplateAddTo("ad278f33-7c10-4779-88fc-d1448f25ae72", GetHostCharacter(), 1, 1);</v>
      </c>
    </row>
    <row r="228">
      <c r="A228" s="21" t="str">
        <f>HYPERLINK("https://bg3.wiki/wiki/Frost_Prince", "Frost Prince")</f>
        <v>Frost Prince</v>
      </c>
      <c r="B228" s="22" t="s">
        <v>17</v>
      </c>
      <c r="C228" s="23" t="s">
        <v>773</v>
      </c>
      <c r="D228" s="24" t="str">
        <f t="shared" si="5"/>
        <v>Osi.TemplateAddTo("6cc1bd88-9ff8-42bc-ac63-495d0cc027e4", GetHostCharacter(), 1, 1);</v>
      </c>
    </row>
    <row r="229">
      <c r="A229" s="21" t="str">
        <f>HYPERLINK("https://bg3.wiki/wiki/Gold_Necklace", "Gold Necklace")</f>
        <v>Gold Necklace</v>
      </c>
      <c r="B229" s="22" t="s">
        <v>11</v>
      </c>
      <c r="C229" s="23" t="s">
        <v>774</v>
      </c>
      <c r="D229" s="24" t="str">
        <f t="shared" si="5"/>
        <v>Osi.TemplateAddTo("c612c1e6-0ff0-40a1-b199-b25db1c9808e", GetHostCharacter(), 1, 1);</v>
      </c>
    </row>
    <row r="230">
      <c r="A230" s="21" t="str">
        <f>HYPERLINK("https://bg3.wiki/wiki/Gold_Pendant", "Gold Pendant")</f>
        <v>Gold Pendant</v>
      </c>
      <c r="B230" s="22" t="s">
        <v>11</v>
      </c>
      <c r="C230" s="23" t="s">
        <v>775</v>
      </c>
      <c r="D230" s="24" t="str">
        <f t="shared" si="5"/>
        <v>Osi.TemplateAddTo("fc44cf0e-04dc-4feb-b143-b1c52cffe252", GetHostCharacter(), 1, 1);</v>
      </c>
    </row>
    <row r="231">
      <c r="A231" s="21" t="str">
        <f>HYPERLINK("https://bg3.wiki/wiki/Gordis%27_Dog_Collar", "Gordis' Dog Collar")</f>
        <v>Gordis' Dog Collar</v>
      </c>
      <c r="B231" s="22" t="s">
        <v>11</v>
      </c>
      <c r="C231" s="23" t="s">
        <v>776</v>
      </c>
      <c r="D231" s="24" t="str">
        <f t="shared" si="5"/>
        <v>Osi.TemplateAddTo("9c65cbd0-6349-4055-b5d9-892d70e9d3dd", GetHostCharacter(), 1, 1);</v>
      </c>
    </row>
    <row r="232">
      <c r="A232" s="21" t="str">
        <f>HYPERLINK("https://bg3.wiki/wiki/Hammergrim_Mist_Amulet", "Hammergrim Mist Amulet")</f>
        <v>Hammergrim Mist Amulet</v>
      </c>
      <c r="B232" s="22" t="s">
        <v>17</v>
      </c>
      <c r="C232" s="23" t="s">
        <v>777</v>
      </c>
      <c r="D232" s="24" t="str">
        <f t="shared" si="5"/>
        <v>Osi.TemplateAddTo("17a817b0-ea8b-492c-8925-402ad5cd84d5", GetHostCharacter(), 1, 1);</v>
      </c>
    </row>
    <row r="233">
      <c r="A233" s="21" t="str">
        <f>HYPERLINK("https://bg3.wiki/wiki/Ilmater%27s_Aid", "Ilmater's Aid")</f>
        <v>Ilmater's Aid</v>
      </c>
      <c r="B233" s="22" t="s">
        <v>17</v>
      </c>
      <c r="C233" s="23" t="s">
        <v>778</v>
      </c>
      <c r="D233" s="24" t="str">
        <f t="shared" si="5"/>
        <v>Osi.TemplateAddTo("49a3a5ac-4e04-497a-a721-1decf89ea077", GetHostCharacter(), 1, 1);</v>
      </c>
    </row>
    <row r="234">
      <c r="A234" s="21" t="str">
        <f>HYPERLINK("https://bg3.wiki/wiki/Khalid%27s_Gift", "Khalid's Gift")</f>
        <v>Khalid's Gift</v>
      </c>
      <c r="B234" s="22" t="s">
        <v>19</v>
      </c>
      <c r="C234" s="23" t="s">
        <v>779</v>
      </c>
      <c r="D234" s="24" t="str">
        <f t="shared" si="5"/>
        <v>Osi.TemplateAddTo("64b31781-85f6-4266-8fac-430d79bcbdb4", GetHostCharacter(), 1, 1);</v>
      </c>
    </row>
    <row r="235">
      <c r="A235" s="21" t="str">
        <f>HYPERLINK("https://bg3.wiki/wiki/Kill_Collar", "Kill Collar")</f>
        <v>Kill Collar</v>
      </c>
      <c r="B235" s="22" t="s">
        <v>17</v>
      </c>
      <c r="C235" s="23" t="s">
        <v>780</v>
      </c>
      <c r="D235" s="24" t="str">
        <f t="shared" si="5"/>
        <v>Osi.TemplateAddTo("47af23c3-7eb0-4a49-a4a4-f2ee5ab521c0", GetHostCharacter(), 1, 1);</v>
      </c>
    </row>
    <row r="236">
      <c r="A236" s="21" t="str">
        <f>HYPERLINK("https://bg3.wiki/wiki/Komira%27s_Locket", "Komira's Locket")</f>
        <v>Komira's Locket</v>
      </c>
      <c r="B236" s="22" t="s">
        <v>17</v>
      </c>
      <c r="C236" s="23" t="s">
        <v>781</v>
      </c>
      <c r="D236" s="24" t="str">
        <f t="shared" si="5"/>
        <v>Osi.TemplateAddTo("be745c7b-f5a0-48cb-a7bd-3b7713f6e702", GetHostCharacter(), 1, 1);</v>
      </c>
    </row>
    <row r="237">
      <c r="A237" s="21" t="str">
        <f>HYPERLINK("https://bg3.wiki/wiki/Kruznabir%27s_Asylum_Amulet", "Kruznabir's Asylum Amulet")</f>
        <v>Kruznabir's Asylum Amulet</v>
      </c>
      <c r="B237" s="22" t="s">
        <v>24</v>
      </c>
      <c r="C237" s="23" t="s">
        <v>782</v>
      </c>
      <c r="D237" s="24" t="str">
        <f t="shared" si="5"/>
        <v>Osi.TemplateAddTo("52503330-69de-427a-a443-b49ab748fc1c", GetHostCharacter(), 1, 1);</v>
      </c>
    </row>
    <row r="238">
      <c r="A238" s="21" t="str">
        <f>HYPERLINK("https://bg3.wiki/wiki/Lofty_Sorcerer%27s_Amulet", "Lofty Sorcerer's Amulet")</f>
        <v>Lofty Sorcerer's Amulet</v>
      </c>
      <c r="B238" s="22" t="s">
        <v>19</v>
      </c>
      <c r="C238" s="23" t="s">
        <v>783</v>
      </c>
      <c r="D238" s="24" t="str">
        <f t="shared" si="5"/>
        <v>Osi.TemplateAddTo("99864ac4-824c-4049-8933-e81667c4a408", GetHostCharacter(), 1, 1);</v>
      </c>
    </row>
    <row r="239">
      <c r="A239" s="21" t="str">
        <f>HYPERLINK("https://bg3.wiki/wiki/Mayrina%27s_Locket", "Mayrina's Locket")</f>
        <v>Mayrina's Locket</v>
      </c>
      <c r="B239" s="22" t="s">
        <v>55</v>
      </c>
      <c r="C239" s="23" t="s">
        <v>784</v>
      </c>
      <c r="D239" s="24" t="str">
        <f t="shared" si="5"/>
        <v>Osi.TemplateAddTo("0ecfe9e6-f7f9-45a4-89b0-1db1ed8e8c56", GetHostCharacter(), 1, 1);</v>
      </c>
    </row>
    <row r="240">
      <c r="A240" s="21" t="str">
        <f>HYPERLINK("https://bg3.wiki/wiki/Moondrop_Pendant", "Moondrop Pendant")</f>
        <v>Moondrop Pendant</v>
      </c>
      <c r="B240" s="22" t="s">
        <v>17</v>
      </c>
      <c r="C240" s="23" t="s">
        <v>785</v>
      </c>
      <c r="D240" s="24" t="str">
        <f t="shared" si="5"/>
        <v>Osi.TemplateAddTo("5bf24229-7a46-46d7-94d7-766ea5591ec2", GetHostCharacter(), 1, 1);</v>
      </c>
    </row>
    <row r="241">
      <c r="A241" s="21" t="str">
        <f>HYPERLINK("https://bg3.wiki/wiki/Necklace_of_Elemental_Augmentation", "Necklace of Elemental Augmentation")</f>
        <v>Necklace of Elemental Augmentation</v>
      </c>
      <c r="B241" s="22" t="s">
        <v>17</v>
      </c>
      <c r="C241" s="23" t="s">
        <v>786</v>
      </c>
      <c r="D241" s="24" t="str">
        <f t="shared" si="5"/>
        <v>Osi.TemplateAddTo("a92cec2f-3a86-4aa1-a7e9-1d6dc9e12957", GetHostCharacter(), 1, 1);</v>
      </c>
    </row>
    <row r="242">
      <c r="A242" s="21" t="str">
        <f>HYPERLINK("https://bg3.wiki/wiki/Pearl_Necklace", "Pearl Necklace")</f>
        <v>Pearl Necklace</v>
      </c>
      <c r="B242" s="22" t="s">
        <v>11</v>
      </c>
      <c r="C242" s="23" t="s">
        <v>787</v>
      </c>
      <c r="D242" s="24" t="str">
        <f t="shared" si="5"/>
        <v>Osi.TemplateAddTo("5fb93f62-06fa-4dc1-9c59-ff3fd48043d4", GetHostCharacter(), 1, 1);</v>
      </c>
    </row>
    <row r="243">
      <c r="A243" s="21" t="str">
        <f>HYPERLINK("https://bg3.wiki/wiki/Pearl_of_Power_Amulet", "Pearl of Power Amulet")</f>
        <v>Pearl of Power Amulet</v>
      </c>
      <c r="B243" s="22" t="s">
        <v>788</v>
      </c>
      <c r="C243" s="23" t="s">
        <v>789</v>
      </c>
      <c r="D243" s="24" t="str">
        <f t="shared" si="5"/>
        <v>Osi.TemplateAddTo("6b8fcc06-fa6a-4a11-8318-075d90d8e909", GetHostCharacter(), 1, 1);</v>
      </c>
    </row>
    <row r="244">
      <c r="A244" s="21" t="str">
        <f>HYPERLINK("https://bg3.wiki/wiki/Periapt_of_Wound_Closure", "Periapt of Wound Closure")</f>
        <v>Periapt of Wound Closure</v>
      </c>
      <c r="B244" s="22" t="s">
        <v>24</v>
      </c>
      <c r="C244" s="23" t="s">
        <v>790</v>
      </c>
      <c r="D244" s="24" t="str">
        <f t="shared" si="5"/>
        <v>Osi.TemplateAddTo("716e94de-130b-4f54-84d9-a14fc60adcfb", GetHostCharacter(), 1, 1);</v>
      </c>
    </row>
    <row r="245">
      <c r="A245" s="21" t="str">
        <f>HYPERLINK("https://bg3.wiki/wiki/Polished_Necklace", "Polished Necklace")</f>
        <v>Polished Necklace</v>
      </c>
      <c r="B245" s="22" t="s">
        <v>11</v>
      </c>
      <c r="C245" s="23" t="s">
        <v>791</v>
      </c>
      <c r="D245" s="24" t="str">
        <f t="shared" si="5"/>
        <v>Osi.TemplateAddTo("912bbc6f-f4f0-4815-9ed5-d914289402e6", GetHostCharacter(), 1, 1);</v>
      </c>
    </row>
    <row r="246">
      <c r="A246" s="21" t="str">
        <f>HYPERLINK("https://bg3.wiki/wiki/Psychic_Spark", "Psychic Spark")</f>
        <v>Psychic Spark</v>
      </c>
      <c r="B246" s="22" t="s">
        <v>17</v>
      </c>
      <c r="C246" s="23" t="s">
        <v>792</v>
      </c>
      <c r="D246" s="24" t="str">
        <f t="shared" si="5"/>
        <v>Osi.TemplateAddTo("4a9f0479-954f-486c-9534-d7d72c11f919", GetHostCharacter(), 1, 1);</v>
      </c>
    </row>
    <row r="247">
      <c r="A247" s="21" t="str">
        <f>HYPERLINK("https://bg3.wiki/wiki/Rocky%27s_Dog_Collar", "Rocky's Dog Collar")</f>
        <v>Rocky's Dog Collar</v>
      </c>
      <c r="B247" s="22" t="s">
        <v>11</v>
      </c>
      <c r="C247" s="23" t="s">
        <v>793</v>
      </c>
      <c r="D247" s="24" t="str">
        <f t="shared" si="5"/>
        <v>Osi.TemplateAddTo("9086724b-f0d6-4607-8b7c-b7fc64b71010", GetHostCharacter(), 1, 1);</v>
      </c>
    </row>
    <row r="248">
      <c r="A248" s="21" t="str">
        <f>HYPERLINK("https://bg3.wiki/wiki/Scarab_of_Protection", "Scarab of Protection")</f>
        <v>Scarab of Protection</v>
      </c>
      <c r="B248" s="22" t="s">
        <v>66</v>
      </c>
      <c r="C248" s="23" t="s">
        <v>794</v>
      </c>
      <c r="D248" s="24" t="str">
        <f t="shared" si="5"/>
        <v>Osi.TemplateAddTo("7107c86e-ec6a-4bd8-bc93-8147412fc501", GetHostCharacter(), 1, 1);</v>
      </c>
    </row>
    <row r="249">
      <c r="A249" s="21" t="str">
        <f>HYPERLINK("https://bg3.wiki/wiki/Sel%C3%BBnite_Amulet", "Selûnite Amulet")</f>
        <v>Selûnite Amulet</v>
      </c>
      <c r="B249" s="22" t="s">
        <v>11</v>
      </c>
      <c r="C249" s="23" t="s">
        <v>795</v>
      </c>
      <c r="D249" s="24" t="str">
        <f t="shared" si="5"/>
        <v>Osi.TemplateAddTo("50777efe-56f5-4b51-9998-576985e5f0b8", GetHostCharacter(), 1, 1);</v>
      </c>
    </row>
    <row r="250">
      <c r="A250" s="21" t="str">
        <f>HYPERLINK("https://bg3.wiki/wiki/Sentient_Amulet_(Rare)", "Sentient Amulet (Rare)")</f>
        <v>Sentient Amulet (Rare)</v>
      </c>
      <c r="B250" s="22" t="s">
        <v>24</v>
      </c>
      <c r="C250" s="23" t="s">
        <v>796</v>
      </c>
      <c r="D250" s="24" t="str">
        <f t="shared" si="5"/>
        <v>Osi.TemplateAddTo("086ae8fd-c44e-43a7-b8be-777b551a06d6", GetHostCharacter(), 1, 1);</v>
      </c>
    </row>
    <row r="251">
      <c r="A251" s="21" t="str">
        <f>HYPERLINK("https://bg3.wiki/wiki/Sentient_Amulet_(Very_Rare)", "Sentient Amulet (Very Rare)")</f>
        <v>Sentient Amulet (Very Rare)</v>
      </c>
      <c r="B251" s="22" t="s">
        <v>19</v>
      </c>
      <c r="C251" s="23" t="s">
        <v>797</v>
      </c>
      <c r="D251" s="24" t="str">
        <f t="shared" si="5"/>
        <v>Osi.TemplateAddTo("7eaa1331-877c-40d7-9811-8238aee09f68", GetHostCharacter(), 1, 1);</v>
      </c>
    </row>
    <row r="252">
      <c r="A252" s="21" t="str">
        <f>HYPERLINK("https://bg3.wiki/wiki/Shar%27s_Temptation", "Shar's Temptation")</f>
        <v>Shar's Temptation</v>
      </c>
      <c r="B252" s="22" t="s">
        <v>17</v>
      </c>
      <c r="C252" s="23" t="s">
        <v>798</v>
      </c>
      <c r="D252" s="24" t="str">
        <f t="shared" si="5"/>
        <v>Osi.TemplateAddTo("9c10ac72-da07-4aca-a2ce-3d04d1ce3485", GetHostCharacter(), 1, 1);</v>
      </c>
    </row>
    <row r="253">
      <c r="A253" s="21" t="str">
        <f>HYPERLINK("https://bg3.wiki/wiki/Silver_Amulet", "Silver Amulet")</f>
        <v>Silver Amulet</v>
      </c>
      <c r="B253" s="22" t="s">
        <v>11</v>
      </c>
      <c r="C253" s="23" t="s">
        <v>799</v>
      </c>
      <c r="D253" s="24" t="str">
        <f t="shared" si="5"/>
        <v>Osi.TemplateAddTo("51873c0d-f319-45e6-a6a2-79164cd8f3db", GetHostCharacter(), 1, 1);</v>
      </c>
    </row>
    <row r="254">
      <c r="A254" s="21" t="str">
        <f>HYPERLINK("https://bg3.wiki/wiki/Silver_Locket", "Silver Locket")</f>
        <v>Silver Locket</v>
      </c>
      <c r="B254" s="22" t="s">
        <v>11</v>
      </c>
      <c r="C254" s="23" t="s">
        <v>800</v>
      </c>
      <c r="D254" s="24" t="str">
        <f t="shared" si="5"/>
        <v>Osi.TemplateAddTo("88417607-71f0-4bdc-9c7b-ca5a18ba6b59", GetHostCharacter(), 1, 1);</v>
      </c>
    </row>
    <row r="255">
      <c r="A255" s="21" t="str">
        <f>HYPERLINK("https://bg3.wiki/wiki/Silver_Necklace", "Silver Necklace")</f>
        <v>Silver Necklace</v>
      </c>
      <c r="B255" s="22" t="s">
        <v>11</v>
      </c>
      <c r="C255" s="23" t="s">
        <v>801</v>
      </c>
      <c r="D255" s="24" t="str">
        <f t="shared" si="5"/>
        <v>Osi.TemplateAddTo("50d054ee-4982-46eb-8f16-7a1c71ec8e28", GetHostCharacter(), 1, 1);</v>
      </c>
    </row>
    <row r="256">
      <c r="A256" s="21" t="str">
        <f>HYPERLINK("https://bg3.wiki/wiki/Silver_Pendant", "Silver Pendant")</f>
        <v>Silver Pendant</v>
      </c>
      <c r="B256" s="22" t="s">
        <v>17</v>
      </c>
      <c r="C256" s="23" t="s">
        <v>802</v>
      </c>
      <c r="D256" s="24" t="str">
        <f t="shared" si="5"/>
        <v>Osi.TemplateAddTo("8b5fb90f-f957-4a1a-b8eb-2baff0c3b40b", GetHostCharacter(), 1, 1);</v>
      </c>
    </row>
    <row r="257">
      <c r="A257" s="21" t="str">
        <f>HYPERLINK("https://bg3.wiki/wiki/Spell_Savant_Amulet", "Spell Savant Amulet")</f>
        <v>Spell Savant Amulet</v>
      </c>
      <c r="B257" s="22" t="s">
        <v>24</v>
      </c>
      <c r="C257" s="23" t="s">
        <v>803</v>
      </c>
      <c r="D257" s="24" t="str">
        <f t="shared" si="5"/>
        <v>Osi.TemplateAddTo("a3964bb7-abe5-49f3-a1b1-30ff160ecbf3", GetHostCharacter(), 1, 1);</v>
      </c>
    </row>
    <row r="258">
      <c r="A258" s="21" t="str">
        <f>HYPERLINK("https://bg3.wiki/wiki/Spellcrux_Amulet", "Spellcrux Amulet")</f>
        <v>Spellcrux Amulet</v>
      </c>
      <c r="B258" s="22" t="s">
        <v>19</v>
      </c>
      <c r="C258" s="23" t="s">
        <v>804</v>
      </c>
      <c r="D258" s="24" t="str">
        <f t="shared" si="5"/>
        <v>Osi.TemplateAddTo("ba147dc7-98bc-4bfb-9fbc-efa1735d0841", GetHostCharacter(), 1, 1);</v>
      </c>
    </row>
    <row r="259">
      <c r="A259" s="21" t="str">
        <f>HYPERLINK("https://bg3.wiki/wiki/Spineshudder_Amulet", "Spineshudder Amulet")</f>
        <v>Spineshudder Amulet</v>
      </c>
      <c r="B259" s="22" t="s">
        <v>17</v>
      </c>
      <c r="C259" s="23" t="s">
        <v>805</v>
      </c>
      <c r="D259" s="24" t="str">
        <f t="shared" si="5"/>
        <v>Osi.TemplateAddTo("203321f7-74f6-428c-90be-5d8b12da23ec", GetHostCharacter(), 1, 1);</v>
      </c>
    </row>
    <row r="260">
      <c r="A260" s="21" t="str">
        <f>HYPERLINK("https://bg3.wiki/wiki/Strange_Tendril_Amulet", "Strange Tendril Amulet")</f>
        <v>Strange Tendril Amulet</v>
      </c>
      <c r="B260" s="22" t="s">
        <v>24</v>
      </c>
      <c r="C260" s="23" t="s">
        <v>806</v>
      </c>
      <c r="D260" s="24" t="str">
        <f t="shared" si="5"/>
        <v>Osi.TemplateAddTo("757d37d1-a225-448f-a25b-02daffbdec97", GetHostCharacter(), 1, 1);</v>
      </c>
    </row>
    <row r="261">
      <c r="A261" s="21" t="str">
        <f>HYPERLINK("https://bg3.wiki/wiki/Surgeon%27s_Subjugation_Amulet", "Surgeon's Subjugation Amulet")</f>
        <v>Surgeon's Subjugation Amulet</v>
      </c>
      <c r="B261" s="22" t="s">
        <v>24</v>
      </c>
      <c r="C261" s="23" t="s">
        <v>807</v>
      </c>
      <c r="D261" s="24" t="str">
        <f t="shared" si="5"/>
        <v>Osi.TemplateAddTo("d6db1ae8-8e8e-49d1-8968-5cdb7fa3a02a", GetHostCharacter(), 1, 1);</v>
      </c>
    </row>
    <row r="262">
      <c r="A262" s="21" t="str">
        <f>HYPERLINK("https://bg3.wiki/wiki/Synaptic_Needle_Amulet", "Synaptic Needle Amulet")</f>
        <v>Synaptic Needle Amulet</v>
      </c>
      <c r="B262" s="22" t="s">
        <v>24</v>
      </c>
      <c r="C262" s="23" t="s">
        <v>808</v>
      </c>
      <c r="D262" s="24" t="str">
        <f t="shared" si="5"/>
        <v>Osi.TemplateAddTo("28daf3e2-18c6-479d-82f6-54041596980e", GetHostCharacter(), 1, 1);</v>
      </c>
    </row>
    <row r="263">
      <c r="A263" s="21" t="str">
        <f>HYPERLINK("https://bg3.wiki/wiki/Tarnished_Charm", "Tarnished Charm")</f>
        <v>Tarnished Charm</v>
      </c>
      <c r="B263" s="22" t="s">
        <v>17</v>
      </c>
      <c r="C263" s="23" t="s">
        <v>809</v>
      </c>
      <c r="D263" s="24" t="str">
        <f t="shared" si="5"/>
        <v>Osi.TemplateAddTo("6d02f3e8-9c0e-49ce-993e-035e433d02b2", GetHostCharacter(), 1, 1);</v>
      </c>
    </row>
    <row r="264">
      <c r="A264" s="56" t="str">
        <f>HYPERLINK("https://bg3.wiki/wiki/Tarnished_Locket", "Tarnished Locket")</f>
        <v>Tarnished Locket</v>
      </c>
      <c r="B264" s="57" t="s">
        <v>11</v>
      </c>
      <c r="C264" s="58" t="s">
        <v>158</v>
      </c>
      <c r="D264" s="59"/>
      <c r="E264" s="60"/>
    </row>
    <row r="265">
      <c r="A265" s="21" t="str">
        <f>HYPERLINK("https://bg3.wiki/wiki/Tarnished_Pendant", "Tarnished Pendant")</f>
        <v>Tarnished Pendant</v>
      </c>
      <c r="B265" s="22" t="s">
        <v>11</v>
      </c>
      <c r="C265" s="23" t="s">
        <v>810</v>
      </c>
      <c r="D265" s="24" t="str">
        <f t="shared" ref="D265:D274" si="6">"Osi.TemplateAddTo("""&amp; C265 &amp;""", GetHostCharacter(), 1, 1);"</f>
        <v>Osi.TemplateAddTo("8bba4a7c-a7df-4d1f-b202-286522a028fa", GetHostCharacter(), 1, 1);</v>
      </c>
    </row>
    <row r="266">
      <c r="A266" s="21" t="str">
        <f>HYPERLINK("https://bg3.wiki/wiki/The_Amulet_of_Lost_Voices", "The Amulet of Lost Voices")</f>
        <v>The Amulet of Lost Voices</v>
      </c>
      <c r="B266" s="22" t="s">
        <v>24</v>
      </c>
      <c r="C266" s="23" t="s">
        <v>811</v>
      </c>
      <c r="D266" s="24" t="str">
        <f t="shared" si="6"/>
        <v>Osi.TemplateAddTo("e89d55a7-9a68-445a-bac9-b4a02654f0c7", GetHostCharacter(), 1, 1);</v>
      </c>
    </row>
    <row r="267">
      <c r="A267" s="21" t="str">
        <f>HYPERLINK("https://bg3.wiki/wiki/The_Blast_Pendant", "The Blast Pendant")</f>
        <v>The Blast Pendant</v>
      </c>
      <c r="B267" s="22" t="s">
        <v>17</v>
      </c>
      <c r="C267" s="23" t="s">
        <v>812</v>
      </c>
      <c r="D267" s="24" t="str">
        <f t="shared" si="6"/>
        <v>Osi.TemplateAddTo("c2bbb262-34ee-4483-a0f8-f72cb7794ff1", GetHostCharacter(), 1, 1);</v>
      </c>
    </row>
    <row r="268">
      <c r="A268" s="21" t="str">
        <f>HYPERLINK("https://bg3.wiki/wiki/The_Ever-Seeing_Eye", "The Ever-Seeing Eye")</f>
        <v>The Ever-Seeing Eye</v>
      </c>
      <c r="B268" s="22" t="s">
        <v>17</v>
      </c>
      <c r="C268" s="23" t="s">
        <v>813</v>
      </c>
      <c r="D268" s="24" t="str">
        <f t="shared" si="6"/>
        <v>Osi.TemplateAddTo("3af0e44d-309a-4a42-818a-288af77a7350", GetHostCharacter(), 1, 1);</v>
      </c>
    </row>
    <row r="269">
      <c r="A269" s="21" t="str">
        <f>HYPERLINK("https://bg3.wiki/wiki/The_Spectator_Eyes", "The Spectator Eyes")</f>
        <v>The Spectator Eyes</v>
      </c>
      <c r="B269" s="22" t="s">
        <v>19</v>
      </c>
      <c r="C269" s="23" t="s">
        <v>814</v>
      </c>
      <c r="D269" s="24" t="str">
        <f t="shared" si="6"/>
        <v>Osi.TemplateAddTo("6fe3b3f6-22f4-4745-9be0-25d0e36a1a4f", GetHostCharacter(), 1, 1);</v>
      </c>
    </row>
    <row r="270">
      <c r="A270" s="21" t="str">
        <f>HYPERLINK("https://bg3.wiki/wiki/Treacleflow_Amulet", "Treacleflow Amulet")</f>
        <v>Treacleflow Amulet</v>
      </c>
      <c r="B270" s="22" t="s">
        <v>24</v>
      </c>
      <c r="C270" s="23" t="s">
        <v>815</v>
      </c>
      <c r="D270" s="24" t="str">
        <f t="shared" si="6"/>
        <v>Osi.TemplateAddTo("20beaa42-f9fb-4b53-9c86-b971059b845b", GetHostCharacter(), 1, 1);</v>
      </c>
    </row>
    <row r="271">
      <c r="A271" s="21" t="str">
        <f>HYPERLINK("https://bg3.wiki/wiki/Tressym_Collar", "Tressym Collar")</f>
        <v>Tressym Collar</v>
      </c>
      <c r="B271" s="22" t="s">
        <v>19</v>
      </c>
      <c r="C271" s="23" t="s">
        <v>816</v>
      </c>
      <c r="D271" s="24" t="str">
        <f t="shared" si="6"/>
        <v>Osi.TemplateAddTo("7d4b8a5c-7748-4021-a760-4bf646518a88", GetHostCharacter(), 1, 1);</v>
      </c>
    </row>
    <row r="272">
      <c r="A272" s="21" t="str">
        <f>HYPERLINK("https://bg3.wiki/wiki/Uncovered_Mysteries", "Uncovered Mysteries")</f>
        <v>Uncovered Mysteries</v>
      </c>
      <c r="B272" s="22" t="s">
        <v>24</v>
      </c>
      <c r="C272" s="23" t="s">
        <v>817</v>
      </c>
      <c r="D272" s="24" t="str">
        <f t="shared" si="6"/>
        <v>Osi.TemplateAddTo("cfbda235-8cb7-4ee7-bd94-b9a2249ed82e", GetHostCharacter(), 1, 1);</v>
      </c>
    </row>
    <row r="273">
      <c r="A273" s="21" t="str">
        <f>HYPERLINK("https://bg3.wiki/wiki/Unflinching_Protector_Amulet", "Unflinching Protector Amulet")</f>
        <v>Unflinching Protector Amulet</v>
      </c>
      <c r="B273" s="22" t="s">
        <v>19</v>
      </c>
      <c r="C273" s="23" t="s">
        <v>818</v>
      </c>
      <c r="D273" s="24" t="str">
        <f t="shared" si="6"/>
        <v>Osi.TemplateAddTo("ed529c1b-abb0-4efa-8f5b-c4ed8560dfd3", GetHostCharacter(), 1, 1);</v>
      </c>
    </row>
    <row r="274">
      <c r="A274" s="38" t="str">
        <f>HYPERLINK("https://bg3.wiki/wiki/Zina%27s_Dog_Collar", "Zina's Dog Collar")</f>
        <v>Zina's Dog Collar</v>
      </c>
      <c r="B274" s="39" t="s">
        <v>11</v>
      </c>
      <c r="C274" s="40" t="s">
        <v>819</v>
      </c>
      <c r="D274" s="41" t="str">
        <f t="shared" si="6"/>
        <v>Osi.TemplateAddTo("5561e219-895e-4144-8865-86d37826a2af", GetHostCharacter(), 1, 1);</v>
      </c>
    </row>
    <row r="275">
      <c r="B275" s="22"/>
      <c r="C275" s="23"/>
      <c r="D275" s="22"/>
    </row>
    <row r="276">
      <c r="A276" s="55" t="s">
        <v>820</v>
      </c>
      <c r="B276" s="22"/>
      <c r="C276" s="23"/>
      <c r="D276" s="22"/>
    </row>
    <row r="277">
      <c r="A277" s="34" t="s">
        <v>7</v>
      </c>
      <c r="B277" s="35" t="s">
        <v>8</v>
      </c>
      <c r="C277" s="35" t="s">
        <v>9</v>
      </c>
      <c r="D277" s="36" t="s">
        <v>10</v>
      </c>
      <c r="E277" s="43"/>
    </row>
    <row r="278">
      <c r="A278" s="21" t="str">
        <f>HYPERLINK("https://bg3.wiki/wiki/%27Magic%27_Ring", "'Magic' Ring")</f>
        <v>'Magic' Ring</v>
      </c>
      <c r="B278" s="22" t="s">
        <v>11</v>
      </c>
      <c r="C278" s="23" t="s">
        <v>821</v>
      </c>
      <c r="D278" s="24" t="str">
        <f t="shared" ref="D278:D308" si="7">"Osi.TemplateAddTo("""&amp; C278 &amp;""", GetHostCharacter(), 1, 1);"</f>
        <v>Osi.TemplateAddTo("eb4e9410-3d33-4986-a5c2-8642ca5bbfc4", GetHostCharacter(), 1, 1);</v>
      </c>
      <c r="E278" s="15"/>
    </row>
    <row r="279">
      <c r="A279" s="21" t="str">
        <f>HYPERLINK("https://bg3.wiki/wiki/A_Sparking_Promise", "A Sparking Promise")</f>
        <v>A Sparking Promise</v>
      </c>
      <c r="B279" s="22" t="s">
        <v>24</v>
      </c>
      <c r="C279" s="23" t="s">
        <v>822</v>
      </c>
      <c r="D279" s="24" t="str">
        <f t="shared" si="7"/>
        <v>Osi.TemplateAddTo("5c8235c3-1aad-4b6d-bd0c-9753c77da5d2", GetHostCharacter(), 1, 1);</v>
      </c>
      <c r="E279" s="15"/>
    </row>
    <row r="280">
      <c r="A280" s="21" t="str">
        <f>HYPERLINK("https://bg3.wiki/wiki/Absolute%27s_Smite", "Absolute's Smite")</f>
        <v>Absolute's Smite</v>
      </c>
      <c r="B280" s="22" t="s">
        <v>17</v>
      </c>
      <c r="C280" s="23" t="s">
        <v>823</v>
      </c>
      <c r="D280" s="24" t="str">
        <f t="shared" si="7"/>
        <v>Osi.TemplateAddTo("f09b6c2f-e5f3-43df-82c7-9ed5862a7421", GetHostCharacter(), 1, 1);</v>
      </c>
      <c r="E280" s="15"/>
    </row>
    <row r="281">
      <c r="A281" s="21" t="str">
        <f>HYPERLINK("https://bg3.wiki/wiki/After_Death_Do_Us_Part", "After Death Do Us Part")</f>
        <v>After Death Do Us Part</v>
      </c>
      <c r="B281" s="22" t="s">
        <v>24</v>
      </c>
      <c r="C281" s="23" t="s">
        <v>824</v>
      </c>
      <c r="D281" s="24" t="str">
        <f t="shared" si="7"/>
        <v>Osi.TemplateAddTo("d874115c-6b92-4222-b1a2-594cf111b075", GetHostCharacter(), 1, 1);</v>
      </c>
      <c r="E281" s="15"/>
    </row>
    <row r="282">
      <c r="A282" s="21" t="str">
        <f>HYPERLINK("https://bg3.wiki/wiki/Amethyst_Ring", "Amethyst Ring")</f>
        <v>Amethyst Ring</v>
      </c>
      <c r="B282" s="22" t="s">
        <v>11</v>
      </c>
      <c r="C282" s="23" t="s">
        <v>825</v>
      </c>
      <c r="D282" s="24" t="str">
        <f t="shared" si="7"/>
        <v>Osi.TemplateAddTo("a9f741f6-a758-47ea-bb21-9a37d3ddfe42", GetHostCharacter(), 1, 1);</v>
      </c>
      <c r="E282" s="15"/>
    </row>
    <row r="283">
      <c r="A283" s="21" t="str">
        <f>HYPERLINK("https://bg3.wiki/wiki/Band_of_the_Mystic_Scoundrel", "Band of the Mystic Scoundrel")</f>
        <v>Band of the Mystic Scoundrel</v>
      </c>
      <c r="B283" s="22" t="s">
        <v>24</v>
      </c>
      <c r="C283" s="23" t="s">
        <v>826</v>
      </c>
      <c r="D283" s="24" t="str">
        <f t="shared" si="7"/>
        <v>Osi.TemplateAddTo("5b74c9d8-cb88-4a29-99c4-25d98c7d88f7", GetHostCharacter(), 1, 1);</v>
      </c>
      <c r="E283" s="15"/>
    </row>
    <row r="284">
      <c r="A284" s="21" t="str">
        <f>HYPERLINK("https://bg3.wiki/wiki/Bloody_Signet_Ring", "Bloody Signet Ring")</f>
        <v>Bloody Signet Ring</v>
      </c>
      <c r="B284" s="22" t="s">
        <v>11</v>
      </c>
      <c r="C284" s="23" t="s">
        <v>827</v>
      </c>
      <c r="D284" s="24" t="str">
        <f t="shared" si="7"/>
        <v>Osi.TemplateAddTo("49114c66-a7cc-48d5-895f-9a31c71c4675", GetHostCharacter(), 1, 1);</v>
      </c>
      <c r="E284" s="15"/>
    </row>
    <row r="285">
      <c r="A285" s="21" t="str">
        <f>HYPERLINK("https://bg3.wiki/wiki/Bracing_Band", "Bracing Band")</f>
        <v>Bracing Band</v>
      </c>
      <c r="B285" s="22" t="s">
        <v>17</v>
      </c>
      <c r="C285" s="23" t="s">
        <v>828</v>
      </c>
      <c r="D285" s="24" t="str">
        <f t="shared" si="7"/>
        <v>Osi.TemplateAddTo("c714fc94-eeaf-4622-9375-545261867514", GetHostCharacter(), 1, 1);</v>
      </c>
      <c r="E285" s="15"/>
    </row>
    <row r="286">
      <c r="A286" s="21" t="str">
        <f>HYPERLINK("https://bg3.wiki/wiki/Bronze_Ring", "Bronze Ring")</f>
        <v>Bronze Ring</v>
      </c>
      <c r="B286" s="22" t="s">
        <v>11</v>
      </c>
      <c r="C286" s="23" t="s">
        <v>829</v>
      </c>
      <c r="D286" s="24" t="str">
        <f t="shared" si="7"/>
        <v>Osi.TemplateAddTo("9e1ef422-c33e-4429-a197-abc07a02d767", GetHostCharacter(), 1, 1);</v>
      </c>
      <c r="E286" s="15"/>
    </row>
    <row r="287">
      <c r="A287" s="21" t="str">
        <f>HYPERLINK("https://bg3.wiki/wiki/Burnished_Ring", "Burnished Ring")</f>
        <v>Burnished Ring</v>
      </c>
      <c r="B287" s="22" t="s">
        <v>19</v>
      </c>
      <c r="C287" s="23" t="s">
        <v>830</v>
      </c>
      <c r="D287" s="24" t="str">
        <f t="shared" si="7"/>
        <v>Osi.TemplateAddTo("7902afa6-2b17-4052-beb2-2a1bced5c6e6", GetHostCharacter(), 1, 1);</v>
      </c>
      <c r="E287" s="15"/>
    </row>
    <row r="288">
      <c r="A288" s="21" t="str">
        <f>HYPERLINK("https://bg3.wiki/wiki/Callous_Glow_Ring", "Callous Glow Ring")</f>
        <v>Callous Glow Ring</v>
      </c>
      <c r="B288" s="22" t="s">
        <v>17</v>
      </c>
      <c r="C288" s="23" t="s">
        <v>831</v>
      </c>
      <c r="D288" s="24" t="str">
        <f t="shared" si="7"/>
        <v>Osi.TemplateAddTo("afdcde80-f976-4781-86be-75a5fb0ae05e", GetHostCharacter(), 1, 1);</v>
      </c>
      <c r="E288" s="15"/>
    </row>
    <row r="289">
      <c r="A289" s="21" t="str">
        <f>HYPERLINK("https://bg3.wiki/wiki/Carnelian_Ring", "Carnelian Ring")</f>
        <v>Carnelian Ring</v>
      </c>
      <c r="B289" s="22" t="s">
        <v>11</v>
      </c>
      <c r="C289" s="23" t="s">
        <v>832</v>
      </c>
      <c r="D289" s="24" t="str">
        <f t="shared" si="7"/>
        <v>Osi.TemplateAddTo("d4d7ed7f-3b51-4be4-8b3c-15dcd4f9de91", GetHostCharacter(), 1, 1);</v>
      </c>
      <c r="E289" s="15"/>
    </row>
    <row r="290">
      <c r="A290" s="21" t="str">
        <f>HYPERLINK("https://bg3.wiki/wiki/Caustic_Band", "Caustic Band")</f>
        <v>Caustic Band</v>
      </c>
      <c r="B290" s="22" t="s">
        <v>17</v>
      </c>
      <c r="C290" s="23" t="s">
        <v>833</v>
      </c>
      <c r="D290" s="24" t="str">
        <f t="shared" si="7"/>
        <v>Osi.TemplateAddTo("463b0a81-1fc3-4db1-bafe-a915f9a8e028", GetHostCharacter(), 1, 1);</v>
      </c>
      <c r="E290" s="15"/>
    </row>
    <row r="291">
      <c r="A291" s="21" t="str">
        <f>HYPERLINK("https://bg3.wiki/wiki/Copper_Band", "Copper Band")</f>
        <v>Copper Band</v>
      </c>
      <c r="B291" s="22" t="s">
        <v>11</v>
      </c>
      <c r="C291" s="23" t="s">
        <v>834</v>
      </c>
      <c r="D291" s="24" t="str">
        <f t="shared" si="7"/>
        <v>Osi.TemplateAddTo("5f2b3262-bc71-4873-beb5-b51968e565ee", GetHostCharacter(), 1, 1);</v>
      </c>
      <c r="E291" s="15"/>
    </row>
    <row r="292">
      <c r="A292" s="21" t="str">
        <f>HYPERLINK("https://bg3.wiki/wiki/Copper_Ring", "Copper Ring")</f>
        <v>Copper Ring</v>
      </c>
      <c r="B292" s="22" t="s">
        <v>11</v>
      </c>
      <c r="C292" s="23" t="s">
        <v>835</v>
      </c>
      <c r="D292" s="24" t="str">
        <f t="shared" si="7"/>
        <v>Osi.TemplateAddTo("8b1c2137-76e4-4a47-bebb-cf50847aca08", GetHostCharacter(), 1, 1);</v>
      </c>
      <c r="E292" s="15"/>
    </row>
    <row r="293">
      <c r="A293" s="21" t="str">
        <f>HYPERLINK("https://bg3.wiki/wiki/Coruscation_Ring", "Coruscation Ring")</f>
        <v>Coruscation Ring</v>
      </c>
      <c r="B293" s="22" t="s">
        <v>17</v>
      </c>
      <c r="C293" s="23" t="s">
        <v>836</v>
      </c>
      <c r="D293" s="24" t="str">
        <f t="shared" si="7"/>
        <v>Osi.TemplateAddTo("3bd041cf-bff5-4464-9002-5c17b957b3c7", GetHostCharacter(), 1, 1);</v>
      </c>
      <c r="E293" s="15"/>
    </row>
    <row r="294">
      <c r="A294" s="21" t="str">
        <f>HYPERLINK("https://bg3.wiki/wiki/Crusher%27s_Ring", "Crusher's Ring")</f>
        <v>Crusher's Ring</v>
      </c>
      <c r="B294" s="22" t="s">
        <v>17</v>
      </c>
      <c r="C294" s="23" t="s">
        <v>837</v>
      </c>
      <c r="D294" s="24" t="str">
        <f t="shared" si="7"/>
        <v>Osi.TemplateAddTo("3023d5a5-14f0-4549-8ff2-1f34336c243c", GetHostCharacter(), 1, 1);</v>
      </c>
      <c r="E294" s="15"/>
    </row>
    <row r="295">
      <c r="A295" s="21" t="str">
        <f>HYPERLINK("https://bg3.wiki/wiki/Crypt_Lord_Ring", "Crypt Lord Ring")</f>
        <v>Crypt Lord Ring</v>
      </c>
      <c r="B295" s="22" t="s">
        <v>19</v>
      </c>
      <c r="C295" s="23" t="s">
        <v>838</v>
      </c>
      <c r="D295" s="24" t="str">
        <f t="shared" si="7"/>
        <v>Osi.TemplateAddTo("e86c0cbb-9791-4cc7-95ba-9821902119fa", GetHostCharacter(), 1, 1);</v>
      </c>
      <c r="E295" s="15"/>
    </row>
    <row r="296">
      <c r="A296" s="21" t="str">
        <f>HYPERLINK("https://bg3.wiki/wiki/Dark_Ring", "Dark Ring")</f>
        <v>Dark Ring</v>
      </c>
      <c r="B296" s="22" t="s">
        <v>11</v>
      </c>
      <c r="C296" s="23" t="s">
        <v>839</v>
      </c>
      <c r="D296" s="24" t="str">
        <f t="shared" si="7"/>
        <v>Osi.TemplateAddTo("5b22795e-8193-4933-98f9-9667d6f60b53", GetHostCharacter(), 1, 1);</v>
      </c>
      <c r="E296" s="15"/>
    </row>
    <row r="297">
      <c r="A297" s="21" t="str">
        <f>HYPERLINK("https://bg3.wiki/wiki/Djinni_Ring", "Djinni Ring")</f>
        <v>Djinni Ring</v>
      </c>
      <c r="B297" s="22" t="s">
        <v>17</v>
      </c>
      <c r="C297" s="23" t="s">
        <v>840</v>
      </c>
      <c r="D297" s="24" t="str">
        <f t="shared" si="7"/>
        <v>Osi.TemplateAddTo("258f4d35-959c-497b-a38a-df3a1e71f3a0", GetHostCharacter(), 1, 1);</v>
      </c>
      <c r="E297" s="15"/>
    </row>
    <row r="298">
      <c r="A298" s="21" t="str">
        <f>HYPERLINK("https://bg3.wiki/wiki/Dowry_Ring", "Dowry Ring")</f>
        <v>Dowry Ring</v>
      </c>
      <c r="B298" s="22" t="s">
        <v>11</v>
      </c>
      <c r="C298" s="23" t="s">
        <v>841</v>
      </c>
      <c r="D298" s="24" t="str">
        <f t="shared" si="7"/>
        <v>Osi.TemplateAddTo("4090ca27-dcca-4028-a887-173e87b602da", GetHostCharacter(), 1, 1);</v>
      </c>
      <c r="E298" s="15"/>
    </row>
    <row r="299">
      <c r="A299" s="21" t="str">
        <f>HYPERLINK("https://bg3.wiki/wiki/Emerald_Ring", "Emerald Ring")</f>
        <v>Emerald Ring</v>
      </c>
      <c r="B299" s="22" t="s">
        <v>11</v>
      </c>
      <c r="C299" s="23" t="s">
        <v>842</v>
      </c>
      <c r="D299" s="24" t="str">
        <f t="shared" si="7"/>
        <v>Osi.TemplateAddTo("7ff7d7b1-6fdd-44b7-b0ca-d9f4ebf5bb72", GetHostCharacter(), 1, 1);</v>
      </c>
      <c r="E299" s="15"/>
    </row>
    <row r="300">
      <c r="A300" s="21" t="str">
        <f>HYPERLINK("https://bg3.wiki/wiki/Eversight_Ring", "Eversight Ring")</f>
        <v>Eversight Ring</v>
      </c>
      <c r="B300" s="22" t="s">
        <v>17</v>
      </c>
      <c r="C300" s="23" t="s">
        <v>843</v>
      </c>
      <c r="D300" s="24" t="str">
        <f t="shared" si="7"/>
        <v>Osi.TemplateAddTo("0661eb9b-0924-450d-923b-1e371de444ae", GetHostCharacter(), 1, 1);</v>
      </c>
      <c r="E300" s="27" t="s">
        <v>844</v>
      </c>
    </row>
    <row r="301">
      <c r="A301" s="21" t="str">
        <f>HYPERLINK("https://bg3.wiki/wiki/Explorer%27s_Ring", "Explorer's Ring")</f>
        <v>Explorer's Ring</v>
      </c>
      <c r="B301" s="22" t="s">
        <v>17</v>
      </c>
      <c r="C301" s="23" t="s">
        <v>845</v>
      </c>
      <c r="D301" s="24" t="str">
        <f t="shared" si="7"/>
        <v>Osi.TemplateAddTo("046598e3-8cb4-497c-bfd2-866ff88b50db", GetHostCharacter(), 1, 1);</v>
      </c>
      <c r="E301" s="15"/>
    </row>
    <row r="302">
      <c r="A302" s="21" t="str">
        <f>HYPERLINK("https://bg3.wiki/wiki/Family_Ring", "Family Ring")</f>
        <v>Family Ring</v>
      </c>
      <c r="B302" s="22" t="s">
        <v>17</v>
      </c>
      <c r="C302" s="23" t="s">
        <v>846</v>
      </c>
      <c r="D302" s="24" t="str">
        <f t="shared" si="7"/>
        <v>Osi.TemplateAddTo("d337a7fe-dcbf-446c-a595-00b30f8f2e58", GetHostCharacter(), 1, 1);</v>
      </c>
      <c r="E302" s="15"/>
    </row>
    <row r="303">
      <c r="A303" s="21" t="str">
        <f>HYPERLINK("https://bg3.wiki/wiki/Fetish_of_Callarduran_Smoothhands", "Fetish of Callarduran Smoothhands")</f>
        <v>Fetish of Callarduran Smoothhands</v>
      </c>
      <c r="B303" s="22" t="s">
        <v>24</v>
      </c>
      <c r="C303" s="23" t="s">
        <v>847</v>
      </c>
      <c r="D303" s="24" t="str">
        <f t="shared" si="7"/>
        <v>Osi.TemplateAddTo("f2b2327e-0aae-4389-87fb-cc999f7121ed", GetHostCharacter(), 1, 1);</v>
      </c>
      <c r="E303" s="15"/>
    </row>
    <row r="304">
      <c r="A304" s="21" t="str">
        <f>HYPERLINK("https://bg3.wiki/wiki/Firzu%27s_Ring_of_Trading", "Firzu's Ring of Trading")</f>
        <v>Firzu's Ring of Trading</v>
      </c>
      <c r="B304" s="22" t="s">
        <v>17</v>
      </c>
      <c r="C304" s="23" t="s">
        <v>848</v>
      </c>
      <c r="D304" s="24" t="str">
        <f t="shared" si="7"/>
        <v>Osi.TemplateAddTo("148ab978-d44c-4c5d-895d-1ca1c1680012", GetHostCharacter(), 1, 1);</v>
      </c>
      <c r="E304" s="15"/>
    </row>
    <row r="305">
      <c r="A305" s="21" t="str">
        <f>HYPERLINK("https://bg3.wiki/wiki/Garnet_Ring", "Garnet Ring")</f>
        <v>Garnet Ring</v>
      </c>
      <c r="B305" s="22" t="s">
        <v>11</v>
      </c>
      <c r="C305" s="23" t="s">
        <v>849</v>
      </c>
      <c r="D305" s="24" t="str">
        <f t="shared" si="7"/>
        <v>Osi.TemplateAddTo("f284c260-84d9-45d6-8a15-257401f361dc", GetHostCharacter(), 1, 1);</v>
      </c>
      <c r="E305" s="15"/>
    </row>
    <row r="306">
      <c r="A306" s="21" t="str">
        <f>HYPERLINK("https://bg3.wiki/wiki/Gold_Band", "Gold Band")</f>
        <v>Gold Band</v>
      </c>
      <c r="B306" s="22" t="s">
        <v>11</v>
      </c>
      <c r="C306" s="23" t="s">
        <v>850</v>
      </c>
      <c r="D306" s="24" t="str">
        <f t="shared" si="7"/>
        <v>Osi.TemplateAddTo("b72c3fb7-c172-4dfa-81bb-f924a3c1ec19", GetHostCharacter(), 1, 1);</v>
      </c>
      <c r="E306" s="15"/>
    </row>
    <row r="307">
      <c r="A307" s="21" t="str">
        <f>HYPERLINK("https://bg3.wiki/wiki/Gold_Ring", "Gold Ring")</f>
        <v>Gold Ring</v>
      </c>
      <c r="B307" s="22" t="s">
        <v>11</v>
      </c>
      <c r="C307" s="23" t="s">
        <v>851</v>
      </c>
      <c r="D307" s="24" t="str">
        <f t="shared" si="7"/>
        <v>Osi.TemplateAddTo("173aad0e-0db4-4f2f-8f24-49e6898b8f90", GetHostCharacter(), 1, 1);</v>
      </c>
      <c r="E307" s="15"/>
    </row>
    <row r="308">
      <c r="A308" s="21" t="str">
        <f>HYPERLINK("https://bg3.wiki/wiki/Guiding_Light", "Guiding Light")</f>
        <v>Guiding Light</v>
      </c>
      <c r="B308" s="22" t="s">
        <v>55</v>
      </c>
      <c r="C308" s="23" t="s">
        <v>852</v>
      </c>
      <c r="D308" s="24" t="str">
        <f t="shared" si="7"/>
        <v>Osi.TemplateAddTo("70ad7889-e1e2-4c2f-980f-28eaa02c2022", GetHostCharacter(), 1, 1);</v>
      </c>
      <c r="E308" s="15"/>
    </row>
    <row r="309">
      <c r="A309" s="21" t="str">
        <f t="shared" ref="A309:A310" si="8">HYPERLINK("https://bg3.wiki/wiki/Guild_Ring", "Guild Ring")</f>
        <v>Guild Ring</v>
      </c>
      <c r="B309" s="22" t="s">
        <v>55</v>
      </c>
      <c r="C309" s="23" t="s">
        <v>158</v>
      </c>
      <c r="D309" s="24"/>
      <c r="E309" s="15"/>
    </row>
    <row r="310">
      <c r="A310" s="21" t="str">
        <f t="shared" si="8"/>
        <v>Guild Ring</v>
      </c>
      <c r="B310" s="22" t="s">
        <v>17</v>
      </c>
      <c r="C310" s="23" t="s">
        <v>853</v>
      </c>
      <c r="D310" s="24" t="str">
        <f t="shared" ref="D310:D343" si="9">"Osi.TemplateAddTo("""&amp; C310 &amp;""", GetHostCharacter(), 1, 1);"</f>
        <v>Osi.TemplateAddTo("46b1d5d4-34e0-467e-b1b8-a43ae33f7541", GetHostCharacter(), 1, 1);</v>
      </c>
      <c r="E310" s="15"/>
    </row>
    <row r="311">
      <c r="A311" s="21" t="str">
        <f>HYPERLINK("https://bg3.wiki/wiki/Hag%27s_Ring", "Hag's Ring")</f>
        <v>Hag's Ring</v>
      </c>
      <c r="B311" s="22" t="s">
        <v>17</v>
      </c>
      <c r="C311" s="23" t="s">
        <v>854</v>
      </c>
      <c r="D311" s="24" t="str">
        <f t="shared" si="9"/>
        <v>Osi.TemplateAddTo("139a436b-120a-413e-a36e-c0e2c970439c", GetHostCharacter(), 1, 1);</v>
      </c>
      <c r="E311" s="15"/>
    </row>
    <row r="312">
      <c r="A312" s="21" t="str">
        <f>HYPERLINK("https://bg3.wiki/wiki/Keepsake_Ring", "Keepsake Ring")</f>
        <v>Keepsake Ring</v>
      </c>
      <c r="B312" s="22" t="s">
        <v>24</v>
      </c>
      <c r="C312" s="23" t="s">
        <v>855</v>
      </c>
      <c r="D312" s="24" t="str">
        <f t="shared" si="9"/>
        <v>Osi.TemplateAddTo("75a84557-5cc5-4e74-83a8-1353f84116ef", GetHostCharacter(), 1, 1);</v>
      </c>
      <c r="E312" s="15"/>
    </row>
    <row r="313">
      <c r="A313" s="21" t="str">
        <f>HYPERLINK("https://bg3.wiki/wiki/Killer%27s_Sweetheart", "Killer's Sweetheart")</f>
        <v>Killer's Sweetheart</v>
      </c>
      <c r="B313" s="22" t="s">
        <v>19</v>
      </c>
      <c r="C313" s="23" t="s">
        <v>856</v>
      </c>
      <c r="D313" s="24" t="str">
        <f t="shared" si="9"/>
        <v>Osi.TemplateAddTo("2f2d4bf3-6a14-43f5-81fe-e14aa9871215", GetHostCharacter(), 1, 1);</v>
      </c>
      <c r="E313" s="15"/>
    </row>
    <row r="314">
      <c r="A314" s="21" t="str">
        <f>HYPERLINK("https://bg3.wiki/wiki/Mage%27s_Friend", "Mage's Friend")</f>
        <v>Mage's Friend</v>
      </c>
      <c r="B314" s="22" t="s">
        <v>17</v>
      </c>
      <c r="C314" s="23" t="s">
        <v>857</v>
      </c>
      <c r="D314" s="24" t="str">
        <f t="shared" si="9"/>
        <v>Osi.TemplateAddTo("4b6d7c53-43b5-4c17-8139-732ca0fc2972", GetHostCharacter(), 1, 1);</v>
      </c>
      <c r="E314" s="15"/>
    </row>
    <row r="315">
      <c r="A315" s="21" t="str">
        <f>HYPERLINK("https://bg3.wiki/wiki/Onyx_Ring", "Onyx Ring")</f>
        <v>Onyx Ring</v>
      </c>
      <c r="B315" s="22" t="s">
        <v>11</v>
      </c>
      <c r="C315" s="23" t="s">
        <v>858</v>
      </c>
      <c r="D315" s="24" t="str">
        <f t="shared" si="9"/>
        <v>Osi.TemplateAddTo("fc5dbbb6-10ec-427d-abe5-a04f5182e332", GetHostCharacter(), 1, 1);</v>
      </c>
      <c r="E315" s="15"/>
    </row>
    <row r="316">
      <c r="A316" s="21" t="str">
        <f>HYPERLINK("https://bg3.wiki/wiki/Orphic_Ring", "Orphic Ring")</f>
        <v>Orphic Ring</v>
      </c>
      <c r="B316" s="22" t="s">
        <v>19</v>
      </c>
      <c r="C316" s="23" t="s">
        <v>859</v>
      </c>
      <c r="D316" s="24" t="str">
        <f t="shared" si="9"/>
        <v>Osi.TemplateAddTo("1789fae7-b4c9-48a6-8886-cd96687bf45f", GetHostCharacter(), 1, 1);</v>
      </c>
      <c r="E316" s="15"/>
    </row>
    <row r="317">
      <c r="A317" s="21" t="str">
        <f>HYPERLINK("https://bg3.wiki/wiki/Peridot_Ring", "Peridot Ring")</f>
        <v>Peridot Ring</v>
      </c>
      <c r="B317" s="22" t="s">
        <v>11</v>
      </c>
      <c r="C317" s="23" t="s">
        <v>860</v>
      </c>
      <c r="D317" s="24" t="str">
        <f t="shared" si="9"/>
        <v>Osi.TemplateAddTo("9c147265-5b32-44fe-af57-fa0d3f6c5712", GetHostCharacter(), 1, 1);</v>
      </c>
      <c r="E317" s="15"/>
    </row>
    <row r="318">
      <c r="A318" s="21" t="str">
        <f>HYPERLINK("https://bg3.wiki/wiki/Poisoner%27s_Ring", "Poisoner's Ring")</f>
        <v>Poisoner's Ring</v>
      </c>
      <c r="B318" s="22" t="s">
        <v>17</v>
      </c>
      <c r="C318" s="23" t="s">
        <v>861</v>
      </c>
      <c r="D318" s="24" t="str">
        <f t="shared" si="9"/>
        <v>Osi.TemplateAddTo("c4f364cc-daa1-4783-a474-b7ff394d2157", GetHostCharacter(), 1, 1);</v>
      </c>
      <c r="E318" s="15"/>
    </row>
    <row r="319">
      <c r="A319" s="21" t="str">
        <f>HYPERLINK("https://bg3.wiki/wiki/Polished_Ring", "Polished Ring")</f>
        <v>Polished Ring</v>
      </c>
      <c r="B319" s="22" t="s">
        <v>11</v>
      </c>
      <c r="C319" s="23" t="s">
        <v>862</v>
      </c>
      <c r="D319" s="24" t="str">
        <f t="shared" si="9"/>
        <v>Osi.TemplateAddTo("efe2746c-10d4-4082-9133-d05b6f7fa291", GetHostCharacter(), 1, 1);</v>
      </c>
      <c r="E319" s="15"/>
    </row>
    <row r="320">
      <c r="A320" s="21" t="str">
        <f>HYPERLINK("https://bg3.wiki/wiki/Ring_of_Absolute_Force", "Ring of Absolute Force")</f>
        <v>Ring of Absolute Force</v>
      </c>
      <c r="B320" s="22" t="s">
        <v>17</v>
      </c>
      <c r="C320" s="23" t="s">
        <v>863</v>
      </c>
      <c r="D320" s="24" t="str">
        <f t="shared" si="9"/>
        <v>Osi.TemplateAddTo("c7a58f48-f24f-4139-b0f0-8b12e1bf074e", GetHostCharacter(), 1, 1);</v>
      </c>
      <c r="E320" s="15"/>
    </row>
    <row r="321">
      <c r="A321" s="21" t="str">
        <f>HYPERLINK("https://bg3.wiki/wiki/Ring_of_Arcane_Synergy", "Ring of Arcane Synergy")</f>
        <v>Ring of Arcane Synergy</v>
      </c>
      <c r="B321" s="22" t="s">
        <v>24</v>
      </c>
      <c r="C321" s="23" t="s">
        <v>864</v>
      </c>
      <c r="D321" s="24" t="str">
        <f t="shared" si="9"/>
        <v>Osi.TemplateAddTo("fa7b47e8-d411-4379-b68a-8ceb26891265", GetHostCharacter(), 1, 1);</v>
      </c>
      <c r="E321" s="15"/>
    </row>
    <row r="322">
      <c r="A322" s="21" t="str">
        <f>HYPERLINK("https://bg3.wiki/wiki/Ring_of_Beguiling", "Ring of Beguiling")</f>
        <v>Ring of Beguiling</v>
      </c>
      <c r="B322" s="22" t="s">
        <v>24</v>
      </c>
      <c r="C322" s="23" t="s">
        <v>865</v>
      </c>
      <c r="D322" s="24" t="str">
        <f t="shared" si="9"/>
        <v>Osi.TemplateAddTo("931bdffe-0a36-4645-89f9-5ea7ec2eeb7f", GetHostCharacter(), 1, 1);</v>
      </c>
      <c r="E322" s="15"/>
    </row>
    <row r="323">
      <c r="A323" s="21" t="str">
        <f>HYPERLINK("https://bg3.wiki/wiki/Ring_of_Being_Really_Invisible", "Ring of Being Really Invisible")</f>
        <v>Ring of Being Really Invisible</v>
      </c>
      <c r="B323" s="22" t="s">
        <v>11</v>
      </c>
      <c r="C323" s="23" t="s">
        <v>866</v>
      </c>
      <c r="D323" s="24" t="str">
        <f t="shared" si="9"/>
        <v>Osi.TemplateAddTo("1abd032b-c138-45ee-b85e-62b5bbb6ea2d", GetHostCharacter(), 1, 1);</v>
      </c>
      <c r="E323" s="15"/>
    </row>
    <row r="324">
      <c r="A324" s="21" t="str">
        <f>HYPERLINK("https://bg3.wiki/wiki/Ring_of_Blink", "Ring of Blink")</f>
        <v>Ring of Blink</v>
      </c>
      <c r="B324" s="22" t="s">
        <v>24</v>
      </c>
      <c r="C324" s="23" t="s">
        <v>867</v>
      </c>
      <c r="D324" s="24" t="str">
        <f t="shared" si="9"/>
        <v>Osi.TemplateAddTo("ec81c059-7d71-42ba-8970-cc77b9864967", GetHostCharacter(), 1, 1);</v>
      </c>
      <c r="E324" s="15"/>
    </row>
    <row r="325">
      <c r="A325" s="21" t="str">
        <f>HYPERLINK("https://bg3.wiki/wiki/Ring_of_Colour_Spray", "Ring of Colour Spray")</f>
        <v>Ring of Colour Spray</v>
      </c>
      <c r="B325" s="22" t="s">
        <v>17</v>
      </c>
      <c r="C325" s="23" t="s">
        <v>868</v>
      </c>
      <c r="D325" s="24" t="str">
        <f t="shared" si="9"/>
        <v>Osi.TemplateAddTo("eadad0c4-d4a5-45cb-b4c3-e16a9b3ebe0a", GetHostCharacter(), 1, 1);</v>
      </c>
      <c r="E325" s="15"/>
    </row>
    <row r="326">
      <c r="A326" s="21" t="str">
        <f>HYPERLINK("https://bg3.wiki/wiki/Ring_of_Crabsight", "Ring of Crabsight")</f>
        <v>Ring of Crabsight</v>
      </c>
      <c r="B326" s="22" t="s">
        <v>17</v>
      </c>
      <c r="C326" s="23" t="s">
        <v>869</v>
      </c>
      <c r="D326" s="24" t="str">
        <f t="shared" si="9"/>
        <v>Osi.TemplateAddTo("d5c32289-4fcc-483c-885c-1b8ddd519d44", GetHostCharacter(), 1, 1);</v>
      </c>
      <c r="E326" s="15"/>
    </row>
    <row r="327">
      <c r="A327" s="21" t="str">
        <f>HYPERLINK("https://bg3.wiki/wiki/Ring_of_Elemental_Infusion", "Ring of Elemental Infusion")</f>
        <v>Ring of Elemental Infusion</v>
      </c>
      <c r="B327" s="22" t="s">
        <v>17</v>
      </c>
      <c r="C327" s="23" t="s">
        <v>870</v>
      </c>
      <c r="D327" s="24" t="str">
        <f t="shared" si="9"/>
        <v>Osi.TemplateAddTo("9ce563ca-82b0-4c28-bd82-8640fd0a5be3", GetHostCharacter(), 1, 1);</v>
      </c>
      <c r="E327" s="15"/>
    </row>
    <row r="328">
      <c r="A328" s="21" t="str">
        <f>HYPERLINK("https://bg3.wiki/wiki/Ring_of_Evasion", "Ring of Evasion")</f>
        <v>Ring of Evasion</v>
      </c>
      <c r="B328" s="22" t="s">
        <v>19</v>
      </c>
      <c r="C328" s="23" t="s">
        <v>871</v>
      </c>
      <c r="D328" s="24" t="str">
        <f t="shared" si="9"/>
        <v>Osi.TemplateAddTo("57e350dc-5156-49a7-8994-0f6a8eca08ea", GetHostCharacter(), 1, 1);</v>
      </c>
      <c r="E328" s="15"/>
    </row>
    <row r="329">
      <c r="A329" s="21" t="str">
        <f>HYPERLINK("https://bg3.wiki/wiki/Ring_of_Exalted_Marrow", "Ring of Exalted Marrow")</f>
        <v>Ring of Exalted Marrow</v>
      </c>
      <c r="B329" s="22" t="s">
        <v>24</v>
      </c>
      <c r="C329" s="23" t="s">
        <v>872</v>
      </c>
      <c r="D329" s="24" t="str">
        <f t="shared" si="9"/>
        <v>Osi.TemplateAddTo("6594c1e3-0868-4efd-a93c-b6f4b3bd034d", GetHostCharacter(), 1, 1);</v>
      </c>
      <c r="E329" s="15"/>
    </row>
    <row r="330">
      <c r="A330" s="21" t="str">
        <f>HYPERLINK("https://bg3.wiki/wiki/Ring_of_Feywild_Sparks", "Ring of Feywild Sparks")</f>
        <v>Ring of Feywild Sparks</v>
      </c>
      <c r="B330" s="22" t="s">
        <v>19</v>
      </c>
      <c r="C330" s="23" t="s">
        <v>873</v>
      </c>
      <c r="D330" s="24" t="str">
        <f t="shared" si="9"/>
        <v>Osi.TemplateAddTo("a4813d7b-2ff0-488b-8152-a27cb75e8d8e", GetHostCharacter(), 1, 1);</v>
      </c>
      <c r="E330" s="15"/>
    </row>
    <row r="331">
      <c r="A331" s="21" t="str">
        <f>HYPERLINK("https://bg3.wiki/wiki/Ring_of_Fire", "Ring of Fire")</f>
        <v>Ring of Fire</v>
      </c>
      <c r="B331" s="22" t="s">
        <v>17</v>
      </c>
      <c r="C331" s="23" t="s">
        <v>874</v>
      </c>
      <c r="D331" s="24" t="str">
        <f t="shared" si="9"/>
        <v>Osi.TemplateAddTo("146e88ea-85ca-469b-9ce0-60be52613f2d", GetHostCharacter(), 1, 1);</v>
      </c>
      <c r="E331" s="15"/>
    </row>
    <row r="332">
      <c r="A332" s="21" t="str">
        <f>HYPERLINK("https://bg3.wiki/wiki/Ring_of_Flinging", "Ring of Flinging")</f>
        <v>Ring of Flinging</v>
      </c>
      <c r="B332" s="22" t="s">
        <v>17</v>
      </c>
      <c r="C332" s="23" t="s">
        <v>875</v>
      </c>
      <c r="D332" s="24" t="str">
        <f t="shared" si="9"/>
        <v>Osi.TemplateAddTo("4aba2198-98f9-4ec8-8a1b-bbd9ed864856", GetHostCharacter(), 1, 1);</v>
      </c>
      <c r="E332" s="15"/>
    </row>
    <row r="333">
      <c r="A333" s="21" t="str">
        <f>HYPERLINK("https://bg3.wiki/wiki/Ring_of_Free_Action", "Ring of Free Action")</f>
        <v>Ring of Free Action</v>
      </c>
      <c r="B333" s="22" t="s">
        <v>24</v>
      </c>
      <c r="C333" s="23" t="s">
        <v>876</v>
      </c>
      <c r="D333" s="24" t="str">
        <f t="shared" si="9"/>
        <v>Osi.TemplateAddTo("50379f58-7892-44cb-be6e-146a60070055", GetHostCharacter(), 1, 1);</v>
      </c>
      <c r="E333" s="15"/>
    </row>
    <row r="334">
      <c r="A334" s="21" t="str">
        <f>HYPERLINK("https://bg3.wiki/wiki/Ring_of_Geniality", "Ring of Geniality")</f>
        <v>Ring of Geniality</v>
      </c>
      <c r="B334" s="22" t="s">
        <v>17</v>
      </c>
      <c r="C334" s="23" t="s">
        <v>877</v>
      </c>
      <c r="D334" s="24" t="str">
        <f t="shared" si="9"/>
        <v>Osi.TemplateAddTo("6c6c956e-80d3-4382-b651-b647ed0a998b", GetHostCharacter(), 1, 1);</v>
      </c>
      <c r="E334" s="15"/>
    </row>
    <row r="335">
      <c r="A335" s="21" t="str">
        <f>HYPERLINK("https://bg3.wiki/wiki/Ring_of_Infinite_Wishes", "Ring of Infinite Wishes")</f>
        <v>Ring of Infinite Wishes</v>
      </c>
      <c r="B335" s="22" t="s">
        <v>11</v>
      </c>
      <c r="C335" s="23" t="s">
        <v>878</v>
      </c>
      <c r="D335" s="24" t="str">
        <f t="shared" si="9"/>
        <v>Osi.TemplateAddTo("1f2df119-5ca2-4860-ba0c-ecbb9c140e37", GetHostCharacter(), 1, 1);</v>
      </c>
      <c r="E335" s="15"/>
    </row>
    <row r="336">
      <c r="A336" s="21" t="str">
        <f>HYPERLINK("https://bg3.wiki/wiki/Ring_of_Jumping", "Ring of Jumping")</f>
        <v>Ring of Jumping</v>
      </c>
      <c r="B336" s="22" t="s">
        <v>17</v>
      </c>
      <c r="C336" s="23" t="s">
        <v>879</v>
      </c>
      <c r="D336" s="24" t="str">
        <f t="shared" si="9"/>
        <v>Osi.TemplateAddTo("cddea208-03cc-4b67-969d-a038bb233e5d", GetHostCharacter(), 1, 1);</v>
      </c>
      <c r="E336" s="15"/>
    </row>
    <row r="337">
      <c r="A337" s="21" t="str">
        <f>HYPERLINK("https://bg3.wiki/wiki/Ring_of_Mental_Inhibition", "Ring of Mental Inhibition")</f>
        <v>Ring of Mental Inhibition</v>
      </c>
      <c r="B337" s="22" t="s">
        <v>17</v>
      </c>
      <c r="C337" s="23" t="s">
        <v>880</v>
      </c>
      <c r="D337" s="24" t="str">
        <f t="shared" si="9"/>
        <v>Osi.TemplateAddTo("70893b6f-b0de-4f4e-af9f-f10e2c09bd1e", GetHostCharacter(), 1, 1);</v>
      </c>
      <c r="E337" s="15"/>
    </row>
    <row r="338">
      <c r="A338" s="21" t="str">
        <f>HYPERLINK("https://bg3.wiki/wiki/Ring_of_Mind-Shielding", "Ring of Mind-Shielding")</f>
        <v>Ring of Mind-Shielding</v>
      </c>
      <c r="B338" s="22" t="s">
        <v>24</v>
      </c>
      <c r="C338" s="23" t="s">
        <v>881</v>
      </c>
      <c r="D338" s="24" t="str">
        <f t="shared" si="9"/>
        <v>Osi.TemplateAddTo("c8f05ff8-58f9-49f9-8ea7-abda1fea27d6", GetHostCharacter(), 1, 1);</v>
      </c>
      <c r="E338" s="15"/>
    </row>
    <row r="339">
      <c r="A339" s="21" t="str">
        <f>HYPERLINK("https://bg3.wiki/wiki/Ring_of_Murderous_Opportunity", "Ring of Murderous Opportunity")</f>
        <v>Ring of Murderous Opportunity</v>
      </c>
      <c r="B339" s="22" t="s">
        <v>11</v>
      </c>
      <c r="C339" s="23" t="s">
        <v>882</v>
      </c>
      <c r="D339" s="24" t="str">
        <f t="shared" si="9"/>
        <v>Osi.TemplateAddTo("b9ed80b2-cedd-4008-a0d9-7ccf016a7bbf", GetHostCharacter(), 1, 1);</v>
      </c>
      <c r="E339" s="15"/>
    </row>
    <row r="340">
      <c r="A340" s="21" t="str">
        <f>HYPERLINK("https://bg3.wiki/wiki/Ring_of_Poison_Resistance", "Ring of Poison Resistance")</f>
        <v>Ring of Poison Resistance</v>
      </c>
      <c r="B340" s="22" t="s">
        <v>24</v>
      </c>
      <c r="C340" s="23" t="s">
        <v>883</v>
      </c>
      <c r="D340" s="24" t="str">
        <f t="shared" si="9"/>
        <v>Osi.TemplateAddTo("35688051-90df-40e1-890b-c3cde2c82fde", GetHostCharacter(), 1, 1);</v>
      </c>
      <c r="E340" s="15"/>
    </row>
    <row r="341">
      <c r="A341" s="21" t="str">
        <f>HYPERLINK("https://bg3.wiki/wiki/Ring_of_Protection", "Ring of Protection")</f>
        <v>Ring of Protection</v>
      </c>
      <c r="B341" s="22" t="s">
        <v>24</v>
      </c>
      <c r="C341" s="23" t="s">
        <v>884</v>
      </c>
      <c r="D341" s="24" t="str">
        <f t="shared" si="9"/>
        <v>Osi.TemplateAddTo("1352a999-76cc-46c5-a67a-26edc2011911", GetHostCharacter(), 1, 1);</v>
      </c>
      <c r="E341" s="15"/>
    </row>
    <row r="342">
      <c r="A342" s="21" t="str">
        <f>HYPERLINK("https://bg3.wiki/wiki/Ring_of_Regeneration", "Ring of Regeneration")</f>
        <v>Ring of Regeneration</v>
      </c>
      <c r="B342" s="22" t="s">
        <v>19</v>
      </c>
      <c r="C342" s="23" t="s">
        <v>885</v>
      </c>
      <c r="D342" s="24" t="str">
        <f t="shared" si="9"/>
        <v>Osi.TemplateAddTo("d6ee2594-7373-4fed-a167-f9d95cb4ecfd", GetHostCharacter(), 1, 1);</v>
      </c>
      <c r="E342" s="15"/>
    </row>
    <row r="343">
      <c r="A343" s="21" t="str">
        <f>HYPERLINK("https://bg3.wiki/wiki/Ring_of_Resistance_to_Ants", "Ring of Resistance to Ants")</f>
        <v>Ring of Resistance to Ants</v>
      </c>
      <c r="B343" s="22" t="s">
        <v>11</v>
      </c>
      <c r="C343" s="23" t="s">
        <v>886</v>
      </c>
      <c r="D343" s="24" t="str">
        <f t="shared" si="9"/>
        <v>Osi.TemplateAddTo("4ca7ff5f-2c7b-407c-b754-b227d6e4fc31", GetHostCharacter(), 1, 1);</v>
      </c>
      <c r="E343" s="15"/>
    </row>
    <row r="344">
      <c r="A344" s="21" t="str">
        <f>HYPERLINK("https://bg3.wiki/wiki/Ring_of_Restorative_Gravity", "Ring of Restorative Gravity")</f>
        <v>Ring of Restorative Gravity</v>
      </c>
      <c r="B344" s="22" t="s">
        <v>17</v>
      </c>
      <c r="C344" s="23" t="s">
        <v>158</v>
      </c>
      <c r="D344" s="24"/>
      <c r="E344" s="15"/>
    </row>
    <row r="345">
      <c r="A345" s="21" t="str">
        <f>HYPERLINK("https://bg3.wiki/wiki/Ring_of_Salving", "Ring of Salving")</f>
        <v>Ring of Salving</v>
      </c>
      <c r="B345" s="22" t="s">
        <v>17</v>
      </c>
      <c r="C345" s="23" t="s">
        <v>887</v>
      </c>
      <c r="D345" s="24" t="str">
        <f t="shared" ref="D345:D367" si="10">"Osi.TemplateAddTo("""&amp; C345 &amp;""", GetHostCharacter(), 1, 1);"</f>
        <v>Osi.TemplateAddTo("a6fe2fbc-b0f8-4c35-a3ab-d5deb6aa2978", GetHostCharacter(), 1, 1);</v>
      </c>
      <c r="E345" s="15"/>
    </row>
    <row r="346">
      <c r="A346" s="21" t="str">
        <f>HYPERLINK("https://bg3.wiki/wiki/Ring_of_Self_Immolation", "Ring of Self Immolation")</f>
        <v>Ring of Self Immolation</v>
      </c>
      <c r="B346" s="22" t="s">
        <v>17</v>
      </c>
      <c r="C346" s="23" t="s">
        <v>888</v>
      </c>
      <c r="D346" s="24" t="str">
        <f t="shared" si="10"/>
        <v>Osi.TemplateAddTo("69362d04-4569-4ec8-8946-c20ee2dc1490", GetHostCharacter(), 1, 1);</v>
      </c>
      <c r="E346" s="15"/>
    </row>
    <row r="347">
      <c r="A347" s="21" t="str">
        <f>HYPERLINK("https://bg3.wiki/wiki/Ring_of_Shadows", "Ring of Shadows")</f>
        <v>Ring of Shadows</v>
      </c>
      <c r="B347" s="22" t="s">
        <v>17</v>
      </c>
      <c r="C347" s="23" t="s">
        <v>889</v>
      </c>
      <c r="D347" s="24" t="str">
        <f t="shared" si="10"/>
        <v>Osi.TemplateAddTo("c0bce741-9829-49c5-9778-426f2b00a642", GetHostCharacter(), 1, 1);</v>
      </c>
      <c r="E347" s="15"/>
    </row>
    <row r="348">
      <c r="A348" s="21" t="str">
        <f>HYPERLINK("https://bg3.wiki/wiki/Ring_of_Spiteful_Thunder", "Ring of Spiteful Thunder")</f>
        <v>Ring of Spiteful Thunder</v>
      </c>
      <c r="B348" s="22" t="s">
        <v>17</v>
      </c>
      <c r="C348" s="23" t="s">
        <v>890</v>
      </c>
      <c r="D348" s="24" t="str">
        <f t="shared" si="10"/>
        <v>Osi.TemplateAddTo("5c05ff73-9d0d-4d58-b93a-e4b448a1e388", GetHostCharacter(), 1, 1);</v>
      </c>
      <c r="E348" s="27" t="s">
        <v>891</v>
      </c>
    </row>
    <row r="349">
      <c r="A349" s="21" t="str">
        <f>HYPERLINK("https://bg3.wiki/wiki/Ring_of_Truthfulness", "Ring of Truthfulness")</f>
        <v>Ring of Truthfulness</v>
      </c>
      <c r="B349" s="22" t="s">
        <v>24</v>
      </c>
      <c r="C349" s="23" t="s">
        <v>892</v>
      </c>
      <c r="D349" s="24" t="str">
        <f t="shared" si="10"/>
        <v>Osi.TemplateAddTo("d897788f-6bed-498a-a87d-c205c7195525", GetHostCharacter(), 1, 1);</v>
      </c>
      <c r="E349" s="15"/>
    </row>
    <row r="350">
      <c r="A350" s="21" t="str">
        <f>HYPERLINK("https://bg3.wiki/wiki/Ring_of_Twilight", "Ring of Twilight")</f>
        <v>Ring of Twilight</v>
      </c>
      <c r="B350" s="22" t="s">
        <v>24</v>
      </c>
      <c r="C350" s="23" t="s">
        <v>893</v>
      </c>
      <c r="D350" s="24" t="str">
        <f t="shared" si="10"/>
        <v>Osi.TemplateAddTo("252584f5-e8b8-4ad8-8776-b3a2bb9e0823", GetHostCharacter(), 1, 1);</v>
      </c>
      <c r="E350" s="15"/>
    </row>
    <row r="351">
      <c r="A351" s="21" t="str">
        <f>HYPERLINK("https://bg3.wiki/wiki/Ring_of_the_Lekinesus", "Ring of the Lekinesus")</f>
        <v>Ring of the Lekinesus</v>
      </c>
      <c r="B351" s="22" t="s">
        <v>11</v>
      </c>
      <c r="C351" s="23" t="s">
        <v>894</v>
      </c>
      <c r="D351" s="24" t="str">
        <f t="shared" si="10"/>
        <v>Osi.TemplateAddTo("46e1228a-6682-4766-af76-bf5a42fe8611", GetHostCharacter(), 1, 1);</v>
      </c>
      <c r="E351" s="15"/>
    </row>
    <row r="352">
      <c r="A352" s="21" t="str">
        <f>HYPERLINK("https://bg3.wiki/wiki/Risky_Ring", "Risky Ring")</f>
        <v>Risky Ring</v>
      </c>
      <c r="B352" s="22" t="s">
        <v>24</v>
      </c>
      <c r="C352" s="23" t="s">
        <v>895</v>
      </c>
      <c r="D352" s="24" t="str">
        <f t="shared" si="10"/>
        <v>Osi.TemplateAddTo("6fa51fb6-0c99-4e2e-bf3c-f4fe18fd64a7", GetHostCharacter(), 1, 1);</v>
      </c>
      <c r="E352" s="15"/>
    </row>
    <row r="353">
      <c r="A353" s="21" t="str">
        <f>HYPERLINK("https://bg3.wiki/wiki/Ruby_Ring", "Ruby Ring")</f>
        <v>Ruby Ring</v>
      </c>
      <c r="B353" s="22" t="s">
        <v>11</v>
      </c>
      <c r="C353" s="23" t="s">
        <v>896</v>
      </c>
      <c r="D353" s="24" t="str">
        <f t="shared" si="10"/>
        <v>Osi.TemplateAddTo("81d843ad-2343-4964-b5d0-3db44dfee4e1", GetHostCharacter(), 1, 1);</v>
      </c>
      <c r="E353" s="15"/>
    </row>
    <row r="354">
      <c r="A354" s="21" t="str">
        <f>HYPERLINK("https://bg3.wiki/wiki/Sandthief%27s_Ring", "Sandthief's Ring")</f>
        <v>Sandthief's Ring</v>
      </c>
      <c r="B354" s="22" t="s">
        <v>17</v>
      </c>
      <c r="C354" s="23" t="s">
        <v>897</v>
      </c>
      <c r="D354" s="24" t="str">
        <f t="shared" si="10"/>
        <v>Osi.TemplateAddTo("bf2949fe-6739-4149-ac68-106a00eec905", GetHostCharacter(), 1, 1);</v>
      </c>
      <c r="E354" s="15"/>
    </row>
    <row r="355">
      <c r="A355" s="21" t="str">
        <f>HYPERLINK("https://bg3.wiki/wiki/Seemingly_Gleaming_Ring", "Seemingly Gleaming Ring")</f>
        <v>Seemingly Gleaming Ring</v>
      </c>
      <c r="B355" s="22" t="s">
        <v>17</v>
      </c>
      <c r="C355" s="23" t="s">
        <v>898</v>
      </c>
      <c r="D355" s="24" t="str">
        <f t="shared" si="10"/>
        <v>Osi.TemplateAddTo("743984c8-55a8-4045-9904-f0c84a0cf692", GetHostCharacter(), 1, 1);</v>
      </c>
      <c r="E355" s="15"/>
    </row>
    <row r="356">
      <c r="A356" s="21" t="str">
        <f>HYPERLINK("https://bg3.wiki/wiki/Shadow-Cloaked_Ring", "Shadow-Cloaked Ring")</f>
        <v>Shadow-Cloaked Ring</v>
      </c>
      <c r="B356" s="22" t="s">
        <v>17</v>
      </c>
      <c r="C356" s="23" t="s">
        <v>899</v>
      </c>
      <c r="D356" s="24" t="str">
        <f t="shared" si="10"/>
        <v>Osi.TemplateAddTo("9297096d-98d6-4637-9b7c-843af752505e", GetHostCharacter(), 1, 1);</v>
      </c>
      <c r="E356" s="15"/>
    </row>
    <row r="357">
      <c r="A357" s="21" t="str">
        <f>HYPERLINK("https://bg3.wiki/wiki/Shadow_Blade_Ring", "Shadow Blade Ring")</f>
        <v>Shadow Blade Ring</v>
      </c>
      <c r="B357" s="22" t="s">
        <v>17</v>
      </c>
      <c r="C357" s="23" t="s">
        <v>900</v>
      </c>
      <c r="D357" s="24" t="str">
        <f t="shared" si="10"/>
        <v>Osi.TemplateAddTo("8cc165d7-0372-4f4b-b4ac-f424f4069af1", GetHostCharacter(), 1, 1);</v>
      </c>
      <c r="E357" s="15"/>
    </row>
    <row r="358">
      <c r="A358" s="21" t="str">
        <f>HYPERLINK("https://bg3.wiki/wiki/Shapeshifter%27s_Boon_Ring", "Shapeshifter's Boon Ring")</f>
        <v>Shapeshifter's Boon Ring</v>
      </c>
      <c r="B358" s="22" t="s">
        <v>17</v>
      </c>
      <c r="C358" s="23" t="s">
        <v>901</v>
      </c>
      <c r="D358" s="24" t="str">
        <f t="shared" si="10"/>
        <v>Osi.TemplateAddTo("6853e585-e9c7-4f26-918e-995342b19d1a", GetHostCharacter(), 1, 1);</v>
      </c>
      <c r="E358" s="15"/>
    </row>
    <row r="359">
      <c r="A359" s="21" t="str">
        <f>HYPERLINK("https://bg3.wiki/wiki/Shifting_Corpus_Ring", "Shifting Corpus Ring")</f>
        <v>Shifting Corpus Ring</v>
      </c>
      <c r="B359" s="22" t="s">
        <v>24</v>
      </c>
      <c r="C359" s="23" t="s">
        <v>902</v>
      </c>
      <c r="D359" s="24" t="str">
        <f t="shared" si="10"/>
        <v>Osi.TemplateAddTo("959e9aa6-b12b-4b71-83b4-0debdf647e9c", GetHostCharacter(), 1, 1);</v>
      </c>
      <c r="E359" s="15"/>
    </row>
    <row r="360">
      <c r="A360" s="21" t="str">
        <f>HYPERLINK("https://bg3.wiki/wiki/Silver_Band", "Silver Band")</f>
        <v>Silver Band</v>
      </c>
      <c r="B360" s="22" t="s">
        <v>11</v>
      </c>
      <c r="C360" s="23" t="s">
        <v>903</v>
      </c>
      <c r="D360" s="24" t="str">
        <f t="shared" si="10"/>
        <v>Osi.TemplateAddTo("34dceb64-7246-4a2a-b7c0-411725ce468e", GetHostCharacter(), 1, 1);</v>
      </c>
      <c r="E360" s="15"/>
    </row>
    <row r="361">
      <c r="A361" s="21" t="str">
        <f>HYPERLINK("https://bg3.wiki/wiki/Smuggler%27s_Ring", "Smuggler's Ring")</f>
        <v>Smuggler's Ring</v>
      </c>
      <c r="B361" s="22" t="s">
        <v>17</v>
      </c>
      <c r="C361" s="23" t="s">
        <v>904</v>
      </c>
      <c r="D361" s="24" t="str">
        <f t="shared" si="10"/>
        <v>Osi.TemplateAddTo("1b47637d-fdea-431f-a828-7ff8d9b4341e", GetHostCharacter(), 1, 1);</v>
      </c>
      <c r="E361" s="15"/>
    </row>
    <row r="362">
      <c r="A362" s="21" t="str">
        <f>HYPERLINK("https://bg3.wiki/wiki/Snowburst_Ring", "Snowburst Ring")</f>
        <v>Snowburst Ring</v>
      </c>
      <c r="B362" s="22" t="s">
        <v>17</v>
      </c>
      <c r="C362" s="23" t="s">
        <v>905</v>
      </c>
      <c r="D362" s="24" t="str">
        <f t="shared" si="10"/>
        <v>Osi.TemplateAddTo("ee8d0bb8-ee1c-437c-b8e0-a9671b865c48", GetHostCharacter(), 1, 1);</v>
      </c>
      <c r="E362" s="15"/>
    </row>
    <row r="363">
      <c r="A363" s="21" t="str">
        <f>HYPERLINK("https://bg3.wiki/wiki/Spurred_Band", "Spurred Band")</f>
        <v>Spurred Band</v>
      </c>
      <c r="B363" s="22" t="s">
        <v>17</v>
      </c>
      <c r="C363" s="23" t="s">
        <v>906</v>
      </c>
      <c r="D363" s="24" t="str">
        <f t="shared" si="10"/>
        <v>Osi.TemplateAddTo("699135e9-8932-4bde-8a17-8be5e11d873f", GetHostCharacter(), 1, 1);</v>
      </c>
      <c r="E363" s="15"/>
    </row>
    <row r="364">
      <c r="A364" s="21" t="str">
        <f>HYPERLINK("https://bg3.wiki/wiki/Strange_Conduit_Ring", "Strange Conduit Ring")</f>
        <v>Strange Conduit Ring</v>
      </c>
      <c r="B364" s="22" t="s">
        <v>17</v>
      </c>
      <c r="C364" s="23" t="s">
        <v>907</v>
      </c>
      <c r="D364" s="24" t="str">
        <f t="shared" si="10"/>
        <v>Osi.TemplateAddTo("c4194cee-6f9a-4c5e-8327-816d44c86316", GetHostCharacter(), 1, 1);</v>
      </c>
      <c r="E364" s="15"/>
    </row>
    <row r="365">
      <c r="A365" s="21" t="str">
        <f>HYPERLINK("https://bg3.wiki/wiki/Sunwalker%27s_Gift", "Sunwalker's Gift")</f>
        <v>Sunwalker's Gift</v>
      </c>
      <c r="B365" s="22" t="s">
        <v>17</v>
      </c>
      <c r="C365" s="23" t="s">
        <v>908</v>
      </c>
      <c r="D365" s="24" t="str">
        <f t="shared" si="10"/>
        <v>Osi.TemplateAddTo("e8b6eb1d-c4f2-4b46-979c-ad3b9469030e", GetHostCharacter(), 1, 1);</v>
      </c>
      <c r="E365" s="15"/>
    </row>
    <row r="366">
      <c r="A366" s="21" t="str">
        <f>HYPERLINK("https://bg3.wiki/wiki/Szarr_Family_Ring", "Szarr Family Ring")</f>
        <v>Szarr Family Ring</v>
      </c>
      <c r="B366" s="22" t="s">
        <v>55</v>
      </c>
      <c r="C366" s="23" t="s">
        <v>909</v>
      </c>
      <c r="D366" s="24" t="str">
        <f t="shared" si="10"/>
        <v>Osi.TemplateAddTo("846d27b5-c247-4049-9872-86171c172015", GetHostCharacter(), 1, 1);</v>
      </c>
      <c r="E366" s="15"/>
    </row>
    <row r="367">
      <c r="A367" s="21" t="str">
        <f>HYPERLINK("https://bg3.wiki/wiki/Tarnished_Ring", "Tarnished Ring")</f>
        <v>Tarnished Ring</v>
      </c>
      <c r="B367" s="22" t="s">
        <v>11</v>
      </c>
      <c r="C367" s="23" t="s">
        <v>910</v>
      </c>
      <c r="D367" s="24" t="str">
        <f t="shared" si="10"/>
        <v>Osi.TemplateAddTo("5e309a15-0f33-4343-b0f5-e98ff71219fc", GetHostCharacter(), 1, 1);</v>
      </c>
      <c r="E367" s="15"/>
    </row>
    <row r="368">
      <c r="A368" s="21" t="str">
        <f>HYPERLINK("https://bg3.wiki/wiki/Tarnished_Wedding_Ring", "Tarnished Wedding Ring")</f>
        <v>Tarnished Wedding Ring</v>
      </c>
      <c r="B368" s="22" t="s">
        <v>11</v>
      </c>
      <c r="C368" s="23" t="s">
        <v>158</v>
      </c>
      <c r="D368" s="24"/>
      <c r="E368" s="15"/>
    </row>
    <row r="369">
      <c r="A369" s="21" t="str">
        <f>HYPERLINK("https://bg3.wiki/wiki/The_Sparkswall", "The Sparkswall")</f>
        <v>The Sparkswall</v>
      </c>
      <c r="B369" s="22" t="s">
        <v>17</v>
      </c>
      <c r="C369" s="23" t="s">
        <v>911</v>
      </c>
      <c r="D369" s="24" t="str">
        <f t="shared" ref="D369:D375" si="11">"Osi.TemplateAddTo("""&amp; C369 &amp;""", GetHostCharacter(), 1, 1);"</f>
        <v>Osi.TemplateAddTo("a72120e6-aa1c-4a2b-89ae-a0469fb5b088", GetHostCharacter(), 1, 1);</v>
      </c>
      <c r="E369" s="15"/>
    </row>
    <row r="370">
      <c r="A370" s="21" t="str">
        <f>HYPERLINK("https://bg3.wiki/wiki/The_Whispering_Promise", "The Whispering Promise")</f>
        <v>The Whispering Promise</v>
      </c>
      <c r="B370" s="22" t="s">
        <v>17</v>
      </c>
      <c r="C370" s="23" t="s">
        <v>912</v>
      </c>
      <c r="D370" s="24" t="str">
        <f t="shared" si="11"/>
        <v>Osi.TemplateAddTo("4aef9bb0-38a8-428e-8b87-6e462d612dd6", GetHostCharacter(), 1, 1);</v>
      </c>
      <c r="E370" s="15"/>
    </row>
    <row r="371">
      <c r="A371" s="21" t="str">
        <f>HYPERLINK("https://bg3.wiki/wiki/Till_Death_Do_Us_Part", "Till Death Do Us Part")</f>
        <v>Till Death Do Us Part</v>
      </c>
      <c r="B371" s="22" t="s">
        <v>24</v>
      </c>
      <c r="C371" s="23" t="s">
        <v>913</v>
      </c>
      <c r="D371" s="24" t="str">
        <f t="shared" si="11"/>
        <v>Osi.TemplateAddTo("d5617279-2a10-4749-9d2d-686144178689", GetHostCharacter(), 1, 1);</v>
      </c>
      <c r="E371" s="15"/>
    </row>
    <row r="372">
      <c r="A372" s="21" t="str">
        <f>HYPERLINK("https://bg3.wiki/wiki/Tourmaline_Ring", "Tourmaline Ring")</f>
        <v>Tourmaline Ring</v>
      </c>
      <c r="B372" s="22" t="s">
        <v>11</v>
      </c>
      <c r="C372" s="23" t="s">
        <v>914</v>
      </c>
      <c r="D372" s="24" t="str">
        <f t="shared" si="11"/>
        <v>Osi.TemplateAddTo("49b84359-6a28-460e-af98-4526c5fca6fd", GetHostCharacter(), 1, 1);</v>
      </c>
      <c r="E372" s="15"/>
    </row>
    <row r="373">
      <c r="A373" s="21" t="str">
        <f>HYPERLINK("https://bg3.wiki/wiki/True_Love%27s_Caress", "True Love's Caress")</f>
        <v>True Love's Caress</v>
      </c>
      <c r="B373" s="22" t="s">
        <v>24</v>
      </c>
      <c r="C373" s="23" t="s">
        <v>915</v>
      </c>
      <c r="D373" s="24" t="str">
        <f t="shared" si="11"/>
        <v>Osi.TemplateAddTo("bf59a1e5-e3d1-48f1-9970-4aa3fdcaa780", GetHostCharacter(), 1, 1);</v>
      </c>
      <c r="E373" s="15"/>
    </row>
    <row r="374">
      <c r="A374" s="21" t="str">
        <f>HYPERLINK("https://bg3.wiki/wiki/True_Love%27s_Embrace", "True Love's Embrace")</f>
        <v>True Love's Embrace</v>
      </c>
      <c r="B374" s="22" t="s">
        <v>24</v>
      </c>
      <c r="C374" s="23" t="s">
        <v>916</v>
      </c>
      <c r="D374" s="24" t="str">
        <f t="shared" si="11"/>
        <v>Osi.TemplateAddTo("7becedf0-a90a-40d3-a726-e4e671f3d73f", GetHostCharacter(), 1, 1);</v>
      </c>
      <c r="E374" s="15"/>
    </row>
    <row r="375">
      <c r="A375" s="38" t="str">
        <f>HYPERLINK("https://bg3.wiki/wiki/Verdelite_Ring", "Verdelite Ring")</f>
        <v>Verdelite Ring</v>
      </c>
      <c r="B375" s="39" t="s">
        <v>11</v>
      </c>
      <c r="C375" s="40" t="s">
        <v>917</v>
      </c>
      <c r="D375" s="41" t="str">
        <f t="shared" si="11"/>
        <v>Osi.TemplateAddTo("5cd7c5d3-fb97-4757-b5fd-dcc7a43110a7", GetHostCharacter(), 1, 1);</v>
      </c>
      <c r="E375" s="15"/>
    </row>
    <row r="376">
      <c r="C376" s="42"/>
    </row>
  </sheetData>
  <mergeCells count="1">
    <mergeCell ref="A1:E1"/>
  </mergeCells>
  <conditionalFormatting sqref="B2:B376">
    <cfRule type="cellIs" dxfId="0" priority="1" operator="equal">
      <formula>"Common"</formula>
    </cfRule>
  </conditionalFormatting>
  <conditionalFormatting sqref="B2:B376">
    <cfRule type="cellIs" dxfId="1" priority="2" operator="equal">
      <formula>"rare"</formula>
    </cfRule>
  </conditionalFormatting>
  <conditionalFormatting sqref="B2:B376">
    <cfRule type="cellIs" dxfId="2" priority="3" operator="equal">
      <formula>"Very Rare"</formula>
    </cfRule>
  </conditionalFormatting>
  <conditionalFormatting sqref="B2:B376">
    <cfRule type="cellIs" dxfId="3" priority="4" operator="equal">
      <formula>"Uncommon"</formula>
    </cfRule>
  </conditionalFormatting>
  <conditionalFormatting sqref="B2:B376">
    <cfRule type="cellIs" dxfId="4" priority="5" operator="equal">
      <formula>"Legendary"</formula>
    </cfRule>
  </conditionalFormatting>
  <conditionalFormatting sqref="B2:B376">
    <cfRule type="cellIs" dxfId="5" priority="6" operator="equal">
      <formula>"Story Item"</formula>
    </cfRule>
  </conditionalFormatting>
  <conditionalFormatting sqref="C2:C376">
    <cfRule type="containsText" dxfId="6" priority="7" operator="containsText" text="todo">
      <formula>NOT(ISERROR(SEARCH(("todo"),(C2))))</formula>
    </cfRule>
  </conditionalFormatting>
  <drawing r:id="rId1"/>
  <tableParts count="5">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88"/>
    <col customWidth="1" min="2" max="2" width="9.5"/>
    <col customWidth="1" min="3" max="3" width="20.13"/>
    <col customWidth="1" min="4" max="4" width="70.0"/>
    <col customWidth="1" min="5" max="6" width="52.13"/>
  </cols>
  <sheetData>
    <row r="1">
      <c r="A1" s="55" t="s">
        <v>918</v>
      </c>
      <c r="B1" s="22"/>
      <c r="C1" s="23"/>
      <c r="D1" s="22"/>
    </row>
    <row r="2">
      <c r="A2" s="34" t="s">
        <v>7</v>
      </c>
      <c r="B2" s="35" t="s">
        <v>8</v>
      </c>
      <c r="C2" s="35" t="s">
        <v>9</v>
      </c>
      <c r="D2" s="36" t="s">
        <v>10</v>
      </c>
      <c r="E2" s="43"/>
      <c r="F2" s="43"/>
    </row>
    <row r="3">
      <c r="A3" s="21" t="str">
        <f>HYPERLINK("https://bg3.wiki/wiki/Adjustable_Steel_Helm", "Adjustable Steel Helm")</f>
        <v>Adjustable Steel Helm</v>
      </c>
      <c r="B3" s="22" t="s">
        <v>11</v>
      </c>
      <c r="C3" s="23" t="s">
        <v>919</v>
      </c>
      <c r="D3" s="24" t="str">
        <f t="shared" ref="D3:D8" si="1">"Osi.TemplateAddTo("""&amp; C3 &amp;""", GetHostCharacter(), 1, 1);"</f>
        <v>Osi.TemplateAddTo("6958285e-808f-429d-8fa1-48684ea5e2f8", GetHostCharacter(), 1, 1);</v>
      </c>
    </row>
    <row r="4">
      <c r="A4" s="21" t="str">
        <f>HYPERLINK("https://bg3.wiki/wiki/Angelic_Plume_Helmet", "Angelic Plume Helmet")</f>
        <v>Angelic Plume Helmet</v>
      </c>
      <c r="B4" s="22" t="s">
        <v>11</v>
      </c>
      <c r="C4" s="23" t="s">
        <v>920</v>
      </c>
      <c r="D4" s="24" t="str">
        <f t="shared" si="1"/>
        <v>Osi.TemplateAddTo("6cbcac3c-9861-44ab-9322-89b00b287bf3", GetHostCharacter(), 1, 1);</v>
      </c>
      <c r="E4" s="15"/>
      <c r="F4" s="15"/>
    </row>
    <row r="5">
      <c r="A5" s="61" t="str">
        <f>HYPERLINK("https://bg3.wiki/wiki/Assassin_of_Bhaal_Cowl", "Assassin of Bhaal Cowl")</f>
        <v>Assassin of Bhaal Cowl</v>
      </c>
      <c r="B5" s="22" t="s">
        <v>19</v>
      </c>
      <c r="C5" s="23" t="s">
        <v>921</v>
      </c>
      <c r="D5" s="24" t="str">
        <f t="shared" si="1"/>
        <v>Osi.TemplateAddTo("d5d22dfc-bba4-4e2c-ba71-c804d3b47919", GetHostCharacter(), 1, 1);</v>
      </c>
      <c r="E5" s="15"/>
      <c r="F5" s="15"/>
    </row>
    <row r="6">
      <c r="A6" s="61" t="str">
        <f>HYPERLINK("https://bg3.wiki/wiki/Bicorne_of_the_Sea_Beast", "Bicorne of the Sea Beast")</f>
        <v>Bicorne of the Sea Beast</v>
      </c>
      <c r="B6" s="22" t="s">
        <v>11</v>
      </c>
      <c r="C6" s="23" t="s">
        <v>922</v>
      </c>
      <c r="D6" s="24" t="str">
        <f t="shared" si="1"/>
        <v>Osi.TemplateAddTo("d7696865-e8c2-4c44-a890-a43f5b6f9752", GetHostCharacter(), 1, 1);</v>
      </c>
      <c r="E6" s="15"/>
      <c r="F6" s="15"/>
    </row>
    <row r="7">
      <c r="A7" s="61" t="str">
        <f>HYPERLINK("https://bg3.wiki/wiki/Birthright", "Birthright")</f>
        <v>Birthright</v>
      </c>
      <c r="B7" s="22" t="s">
        <v>19</v>
      </c>
      <c r="C7" s="23" t="s">
        <v>923</v>
      </c>
      <c r="D7" s="24" t="str">
        <f t="shared" si="1"/>
        <v>Osi.TemplateAddTo("76ce9b38-9203-437f-9962-4be4c4ad1193", GetHostCharacter(), 1, 1);</v>
      </c>
      <c r="E7" s="15"/>
      <c r="F7" s="15"/>
    </row>
    <row r="8">
      <c r="A8" s="61" t="str">
        <f>HYPERLINK("https://bg3.wiki/wiki/Blackplume_Helm", "Blackplume Helm")</f>
        <v>Blackplume Helm</v>
      </c>
      <c r="B8" s="22" t="s">
        <v>11</v>
      </c>
      <c r="C8" s="23" t="s">
        <v>924</v>
      </c>
      <c r="D8" s="24" t="str">
        <f t="shared" si="1"/>
        <v>Osi.TemplateAddTo("952d6b81-3562-4d07-ae10-385a9a2318f6", GetHostCharacter(), 1, 1);</v>
      </c>
      <c r="E8" s="15"/>
      <c r="F8" s="15"/>
    </row>
    <row r="9">
      <c r="A9" s="61" t="str">
        <f>HYPERLINK("https://bg3.wiki/wiki/Blaze_Portyr%27s_Ceremonial_Flaming_Fist_Helm", "Blaze Portyr's Ceremonial Flaming Fist Helm")</f>
        <v>Blaze Portyr's Ceremonial Flaming Fist Helm</v>
      </c>
      <c r="B9" s="22" t="s">
        <v>11</v>
      </c>
      <c r="C9" s="23" t="s">
        <v>158</v>
      </c>
      <c r="D9" s="24"/>
      <c r="E9" s="15"/>
      <c r="F9" s="15"/>
    </row>
    <row r="10">
      <c r="A10" s="61" t="str">
        <f>HYPERLINK("https://bg3.wiki/wiki/Bonespike_Helmet", "Bonespike Helmet")</f>
        <v>Bonespike Helmet</v>
      </c>
      <c r="B10" s="22" t="s">
        <v>19</v>
      </c>
      <c r="C10" s="23" t="s">
        <v>925</v>
      </c>
      <c r="D10" s="24" t="str">
        <f t="shared" ref="D10:D19" si="2">"Osi.TemplateAddTo("""&amp; C10 &amp;""", GetHostCharacter(), 1, 1);"</f>
        <v>Osi.TemplateAddTo("72152951-3670-4004-b275-6b722c498bbc", GetHostCharacter(), 1, 1);</v>
      </c>
      <c r="E10" s="15"/>
      <c r="F10" s="15"/>
    </row>
    <row r="11">
      <c r="A11" s="61" t="str">
        <f>HYPERLINK("https://bg3.wiki/wiki/Brimmed_Hat", "Brimmed Hat")</f>
        <v>Brimmed Hat</v>
      </c>
      <c r="B11" s="22" t="s">
        <v>11</v>
      </c>
      <c r="C11" s="23" t="s">
        <v>926</v>
      </c>
      <c r="D11" s="24" t="str">
        <f t="shared" si="2"/>
        <v>Osi.TemplateAddTo("b8bd447c-eef3-441e-9fb8-303b5b926432", GetHostCharacter(), 1, 1);</v>
      </c>
      <c r="E11" s="15"/>
      <c r="F11" s="15"/>
    </row>
    <row r="12">
      <c r="A12" s="61" t="str">
        <f>HYPERLINK("https://bg3.wiki/wiki/Browbeaten_Circlet", "Browbeaten Circlet")</f>
        <v>Browbeaten Circlet</v>
      </c>
      <c r="B12" s="22" t="s">
        <v>17</v>
      </c>
      <c r="C12" s="23" t="s">
        <v>927</v>
      </c>
      <c r="D12" s="24" t="str">
        <f t="shared" si="2"/>
        <v>Osi.TemplateAddTo("4def305d-0141-4811-b1d1-353d323f5f2a", GetHostCharacter(), 1, 1);</v>
      </c>
      <c r="E12" s="15"/>
      <c r="F12" s="15"/>
    </row>
    <row r="13">
      <c r="A13" s="61" t="str">
        <f>HYPERLINK("https://bg3.wiki/wiki/Bycocket", "Bycocket")</f>
        <v>Bycocket</v>
      </c>
      <c r="B13" s="22" t="s">
        <v>11</v>
      </c>
      <c r="C13" s="23" t="s">
        <v>928</v>
      </c>
      <c r="D13" s="24" t="str">
        <f t="shared" si="2"/>
        <v>Osi.TemplateAddTo("a05f4468-4e26-4856-b996-ba8ab8e55a14", GetHostCharacter(), 1, 1);</v>
      </c>
      <c r="E13" s="15"/>
      <c r="F13" s="15"/>
    </row>
    <row r="14">
      <c r="A14" s="61" t="str">
        <f>HYPERLINK("https://bg3.wiki/wiki/Cap_and_Bells", "Cap and Bells")</f>
        <v>Cap and Bells</v>
      </c>
      <c r="B14" s="22" t="s">
        <v>11</v>
      </c>
      <c r="C14" s="23" t="s">
        <v>929</v>
      </c>
      <c r="D14" s="24" t="str">
        <f t="shared" si="2"/>
        <v>Osi.TemplateAddTo("56769fcd-f35c-4569-b7ef-9a974fd2e226", GetHostCharacter(), 1, 1);</v>
      </c>
      <c r="E14" s="15"/>
      <c r="F14" s="15"/>
    </row>
    <row r="15">
      <c r="A15" s="61" t="str">
        <f>HYPERLINK("https://bg3.wiki/wiki/Cap_of_Curing", "Cap of Curing")</f>
        <v>Cap of Curing</v>
      </c>
      <c r="B15" s="22" t="s">
        <v>17</v>
      </c>
      <c r="C15" s="23" t="s">
        <v>930</v>
      </c>
      <c r="D15" s="24" t="str">
        <f t="shared" si="2"/>
        <v>Osi.TemplateAddTo("cfbd013c-f24d-4430-be13-d7bfafd48709", GetHostCharacter(), 1, 1);</v>
      </c>
      <c r="E15" s="15"/>
      <c r="F15" s="15"/>
    </row>
    <row r="16">
      <c r="A16" s="61" t="str">
        <f>HYPERLINK("https://bg3.wiki/wiki/Cap_of_Wrath", "Cap of Wrath")</f>
        <v>Cap of Wrath</v>
      </c>
      <c r="B16" s="22" t="s">
        <v>24</v>
      </c>
      <c r="C16" s="23" t="s">
        <v>931</v>
      </c>
      <c r="D16" s="24" t="str">
        <f t="shared" si="2"/>
        <v>Osi.TemplateAddTo("b2ac96aa-5f04-49fb-800c-ab51a2bdb3c6", GetHostCharacter(), 1, 1);</v>
      </c>
      <c r="E16" s="15"/>
      <c r="F16" s="15"/>
    </row>
    <row r="17">
      <c r="A17" s="61" t="str">
        <f>HYPERLINK("https://bg3.wiki/wiki/Circle_of_Bones", "Circle of Bones")</f>
        <v>Circle of Bones</v>
      </c>
      <c r="B17" s="22" t="s">
        <v>24</v>
      </c>
      <c r="C17" s="23" t="s">
        <v>932</v>
      </c>
      <c r="D17" s="24" t="str">
        <f t="shared" si="2"/>
        <v>Osi.TemplateAddTo("d2a4e407-b5de-4f0b-ab7a-75f9bf5041dd", GetHostCharacter(), 1, 1);</v>
      </c>
      <c r="E17" s="15"/>
      <c r="F17" s="15"/>
    </row>
    <row r="18">
      <c r="A18" s="61" t="str">
        <f>HYPERLINK("https://bg3.wiki/wiki/Circlet", "Circlet")</f>
        <v>Circlet</v>
      </c>
      <c r="B18" s="22" t="s">
        <v>11</v>
      </c>
      <c r="C18" s="23" t="s">
        <v>933</v>
      </c>
      <c r="D18" s="24" t="str">
        <f t="shared" si="2"/>
        <v>Osi.TemplateAddTo("437aede9-dea6-46fd-ade2-fc9cfef16c3d", GetHostCharacter(), 1, 1);</v>
      </c>
      <c r="E18" s="15"/>
      <c r="F18" s="15"/>
    </row>
    <row r="19">
      <c r="A19" s="61" t="str">
        <f>HYPERLINK("https://bg3.wiki/wiki/Circlet_of_Blasting", "Circlet of Blasting")</f>
        <v>Circlet of Blasting</v>
      </c>
      <c r="B19" s="22" t="s">
        <v>24</v>
      </c>
      <c r="C19" s="23" t="s">
        <v>934</v>
      </c>
      <c r="D19" s="24" t="str">
        <f t="shared" si="2"/>
        <v>Osi.TemplateAddTo("3abdbb8a-4701-4397-8fce-7a8dd8a0bb84", GetHostCharacter(), 1, 1);</v>
      </c>
      <c r="E19" s="15"/>
      <c r="F19" s="15"/>
    </row>
    <row r="20">
      <c r="A20" s="61" t="str">
        <f>HYPERLINK("https://bg3.wiki/wiki/Circlet_of_Fire", "Circlet of Fire")</f>
        <v>Circlet of Fire</v>
      </c>
      <c r="B20" s="22" t="s">
        <v>17</v>
      </c>
      <c r="C20" s="23" t="s">
        <v>158</v>
      </c>
      <c r="D20" s="24"/>
      <c r="E20" s="15"/>
      <c r="F20" s="15"/>
    </row>
    <row r="21">
      <c r="A21" s="61" t="str">
        <f>HYPERLINK("https://bg3.wiki/wiki/Circlet_of_Hunting", "Circlet of Hunting")</f>
        <v>Circlet of Hunting</v>
      </c>
      <c r="B21" s="22" t="s">
        <v>19</v>
      </c>
      <c r="C21" s="23" t="s">
        <v>935</v>
      </c>
      <c r="D21" s="24" t="str">
        <f t="shared" ref="D21:D103" si="3">"Osi.TemplateAddTo("""&amp; C21 &amp;""", GetHostCharacter(), 1, 1);"</f>
        <v>Osi.TemplateAddTo("1e59513c-a787-4f77-bcef-675ac4199daf", GetHostCharacter(), 1, 1);</v>
      </c>
      <c r="E21" s="15"/>
      <c r="F21" s="15"/>
    </row>
    <row r="22">
      <c r="A22" s="22" t="s">
        <v>936</v>
      </c>
      <c r="B22" s="22" t="s">
        <v>19</v>
      </c>
      <c r="C22" s="23" t="s">
        <v>937</v>
      </c>
      <c r="D22" s="24" t="str">
        <f t="shared" si="3"/>
        <v>Osi.TemplateAddTo("5cd6935a-4be9-4018-9fc2-e340b96ac519", GetHostCharacter(), 1, 1);</v>
      </c>
      <c r="E22" s="27" t="s">
        <v>224</v>
      </c>
      <c r="F22" s="27"/>
    </row>
    <row r="23">
      <c r="A23" s="61" t="str">
        <f>HYPERLINK("https://bg3.wiki/wiki/Circlet_of_Mental_Anguish", "Circlet of Mental Anguish")</f>
        <v>Circlet of Mental Anguish</v>
      </c>
      <c r="B23" s="22" t="s">
        <v>24</v>
      </c>
      <c r="C23" s="23" t="s">
        <v>938</v>
      </c>
      <c r="D23" s="24" t="str">
        <f t="shared" si="3"/>
        <v>Osi.TemplateAddTo("4b3d2d3d-3dd5-4872-af6c-7acb3756b6c7", GetHostCharacter(), 1, 1);</v>
      </c>
      <c r="E23" s="15"/>
      <c r="F23" s="15"/>
    </row>
    <row r="24">
      <c r="A24" s="61" t="str">
        <f>HYPERLINK("https://bg3.wiki/wiki/Circlet_of_Psionic_Revenge", "Circlet of Psionic Revenge")</f>
        <v>Circlet of Psionic Revenge</v>
      </c>
      <c r="B24" s="22" t="s">
        <v>24</v>
      </c>
      <c r="C24" s="23" t="s">
        <v>939</v>
      </c>
      <c r="D24" s="24" t="str">
        <f t="shared" si="3"/>
        <v>Osi.TemplateAddTo("8a17f2b1-5c5d-4bb0-8b2e-408e837c4d1f", GetHostCharacter(), 1, 1);</v>
      </c>
      <c r="E24" s="15"/>
      <c r="F24" s="15"/>
    </row>
    <row r="25">
      <c r="A25" s="61" t="str">
        <f>HYPERLINK("https://bg3.wiki/wiki/Coldbrim_Hat", "Coldbrim Hat")</f>
        <v>Coldbrim Hat</v>
      </c>
      <c r="B25" s="22" t="s">
        <v>17</v>
      </c>
      <c r="C25" s="23" t="s">
        <v>940</v>
      </c>
      <c r="D25" s="24" t="str">
        <f t="shared" si="3"/>
        <v>Osi.TemplateAddTo("d8ef5f3c-cada-42f8-a947-c3a3f62e569d", GetHostCharacter(), 1, 1);</v>
      </c>
      <c r="E25" s="15"/>
      <c r="F25" s="15"/>
    </row>
    <row r="26">
      <c r="A26" s="61" t="str">
        <f>HYPERLINK("https://bg3.wiki/wiki/Covert_Cowl", "Covert Cowl")</f>
        <v>Covert Cowl</v>
      </c>
      <c r="B26" s="22" t="s">
        <v>17</v>
      </c>
      <c r="C26" s="23" t="s">
        <v>941</v>
      </c>
      <c r="D26" s="24" t="str">
        <f t="shared" si="3"/>
        <v>Osi.TemplateAddTo("8aaf7649-5bee-442a-9192-5e8abd723c55", GetHostCharacter(), 1, 1);</v>
      </c>
      <c r="E26" s="15"/>
      <c r="F26" s="15"/>
    </row>
    <row r="27">
      <c r="A27" s="61" t="str">
        <f>HYPERLINK("https://bg3.wiki/wiki/Cracked_Helm_of_Shar", "Cracked Helm of Shar")</f>
        <v>Cracked Helm of Shar</v>
      </c>
      <c r="B27" s="22" t="s">
        <v>11</v>
      </c>
      <c r="C27" s="23" t="s">
        <v>942</v>
      </c>
      <c r="D27" s="24" t="str">
        <f t="shared" si="3"/>
        <v>Osi.TemplateAddTo("ec9d4bd6-343d-4f75-ac71-af2447a82661", GetHostCharacter(), 1, 1);</v>
      </c>
      <c r="E27" s="15"/>
      <c r="F27" s="15"/>
    </row>
    <row r="28">
      <c r="A28" s="61" t="str">
        <f>HYPERLINK("https://bg3.wiki/wiki/Dark_Justiciar_Helm", "Dark Justiciar Helm")</f>
        <v>Dark Justiciar Helm</v>
      </c>
      <c r="B28" s="22" t="s">
        <v>17</v>
      </c>
      <c r="C28" s="23" t="s">
        <v>943</v>
      </c>
      <c r="D28" s="24" t="str">
        <f t="shared" si="3"/>
        <v>Osi.TemplateAddTo("27f1c6cd-c716-440d-ba7c-795c431ce5a3", GetHostCharacter(), 1, 1);</v>
      </c>
      <c r="E28" s="15"/>
      <c r="F28" s="15"/>
    </row>
    <row r="29">
      <c r="A29" s="61" t="str">
        <f>HYPERLINK("https://bg3.wiki/wiki/Dark_Justiciar_Helmet", "Dark Justiciar Helmet")</f>
        <v>Dark Justiciar Helmet</v>
      </c>
      <c r="B29" s="22" t="s">
        <v>19</v>
      </c>
      <c r="C29" s="23" t="s">
        <v>944</v>
      </c>
      <c r="D29" s="24" t="str">
        <f t="shared" si="3"/>
        <v>Osi.TemplateAddTo("3523b640-e9da-4d89-b031-6ffe1d5fd3ed", GetHostCharacter(), 1, 1);</v>
      </c>
      <c r="E29" s="15"/>
      <c r="F29" s="15"/>
    </row>
    <row r="30">
      <c r="A30" s="61" t="str">
        <f>HYPERLINK("https://bg3.wiki/wiki/Dark_Justiciar_Mask", "Dark Justiciar Mask")</f>
        <v>Dark Justiciar Mask</v>
      </c>
      <c r="B30" s="22" t="s">
        <v>17</v>
      </c>
      <c r="C30" s="23" t="s">
        <v>945</v>
      </c>
      <c r="D30" s="24" t="str">
        <f t="shared" si="3"/>
        <v>Osi.TemplateAddTo("58968403-4dd6-4611-a7a2-a293ae7cf0b0", GetHostCharacter(), 1, 1);</v>
      </c>
      <c r="E30" s="15"/>
      <c r="F30" s="15"/>
    </row>
    <row r="31">
      <c r="A31" s="61" t="str">
        <f>HYPERLINK("https://bg3.wiki/wiki/Devilfoil_Mask", "Devilfoil Mask")</f>
        <v>Devilfoil Mask</v>
      </c>
      <c r="B31" s="22" t="s">
        <v>11</v>
      </c>
      <c r="C31" s="23" t="s">
        <v>946</v>
      </c>
      <c r="D31" s="24" t="str">
        <f t="shared" si="3"/>
        <v>Osi.TemplateAddTo("b2409a86-dc0d-4193-9985-4f11419c64be", GetHostCharacter(), 1, 1);</v>
      </c>
      <c r="E31" s="15"/>
      <c r="F31" s="15"/>
    </row>
    <row r="32">
      <c r="A32" s="61" t="str">
        <f>HYPERLINK("https://bg3.wiki/wiki/Diadem_of_Arcane_Synergy", "Diadem of Arcane Synergy")</f>
        <v>Diadem of Arcane Synergy</v>
      </c>
      <c r="B32" s="22" t="s">
        <v>24</v>
      </c>
      <c r="C32" s="23" t="s">
        <v>947</v>
      </c>
      <c r="D32" s="24" t="str">
        <f t="shared" si="3"/>
        <v>Osi.TemplateAddTo("f6585fc7-22bb-4e58-b4a6-bbb56e48a86f", GetHostCharacter(), 1, 1);</v>
      </c>
      <c r="E32" s="15"/>
      <c r="F32" s="15"/>
    </row>
    <row r="33">
      <c r="A33" s="61" t="str">
        <f>HYPERLINK("https://bg3.wiki/wiki/Embroidered_Bycocket", "Embroidered Bycocket")</f>
        <v>Embroidered Bycocket</v>
      </c>
      <c r="B33" s="22" t="s">
        <v>11</v>
      </c>
      <c r="C33" s="23" t="s">
        <v>948</v>
      </c>
      <c r="D33" s="24" t="str">
        <f t="shared" si="3"/>
        <v>Osi.TemplateAddTo("694320b7-726b-4804-9dd6-fbc8a307a05f", GetHostCharacter(), 1, 1);</v>
      </c>
      <c r="E33" s="15"/>
      <c r="F33" s="15"/>
    </row>
    <row r="34">
      <c r="A34" s="61" t="str">
        <f>HYPERLINK("https://bg3.wiki/wiki/Embroidered_Hat", "Embroidered Hat")</f>
        <v>Embroidered Hat</v>
      </c>
      <c r="B34" s="22" t="s">
        <v>11</v>
      </c>
      <c r="C34" s="23" t="s">
        <v>949</v>
      </c>
      <c r="D34" s="24" t="str">
        <f t="shared" si="3"/>
        <v>Osi.TemplateAddTo("e24d6a8b-5489-4c5c-b133-b435fda3918a", GetHostCharacter(), 1, 1);</v>
      </c>
      <c r="E34" s="15"/>
      <c r="F34" s="15"/>
    </row>
    <row r="35">
      <c r="A35" s="61" t="str">
        <f>HYPERLINK("https://bg3.wiki/wiki/Enforcer_Helmet", "Enforcer Helmet")</f>
        <v>Enforcer Helmet</v>
      </c>
      <c r="B35" s="22" t="s">
        <v>17</v>
      </c>
      <c r="C35" s="23" t="s">
        <v>950</v>
      </c>
      <c r="D35" s="24" t="str">
        <f t="shared" si="3"/>
        <v>Osi.TemplateAddTo("e9d1d363-5ebc-41ef-bb87-0db20780765d", GetHostCharacter(), 1, 1);</v>
      </c>
      <c r="E35" s="15"/>
      <c r="F35" s="15"/>
    </row>
    <row r="36">
      <c r="A36" s="61" t="str">
        <f>HYPERLINK("https://bg3.wiki/wiki/Fierce_Golden_Helm", "Fierce Golden Helm")</f>
        <v>Fierce Golden Helm</v>
      </c>
      <c r="B36" s="22" t="s">
        <v>11</v>
      </c>
      <c r="C36" s="23" t="s">
        <v>951</v>
      </c>
      <c r="D36" s="24" t="str">
        <f t="shared" si="3"/>
        <v>Osi.TemplateAddTo("413aa89a-4350-487a-b9ec-a354d035981b", GetHostCharacter(), 1, 1);</v>
      </c>
      <c r="E36" s="15"/>
      <c r="F36" s="15"/>
    </row>
    <row r="37">
      <c r="A37" s="61" t="str">
        <f>HYPERLINK("https://bg3.wiki/wiki/Fistbreaker_Helm", "Fistbreaker Helm")</f>
        <v>Fistbreaker Helm</v>
      </c>
      <c r="B37" s="22" t="s">
        <v>24</v>
      </c>
      <c r="C37" s="23" t="s">
        <v>952</v>
      </c>
      <c r="D37" s="24" t="str">
        <f t="shared" si="3"/>
        <v>Osi.TemplateAddTo("8eece655-bd99-4451-8ce0-f763edec09a4", GetHostCharacter(), 1, 1);</v>
      </c>
      <c r="E37" s="15"/>
      <c r="F37" s="15"/>
    </row>
    <row r="38">
      <c r="A38" s="61" t="str">
        <f>HYPERLINK("https://bg3.wiki/wiki/Flaming_Fist_Helmet", "Flaming Fist Helmet")</f>
        <v>Flaming Fist Helmet</v>
      </c>
      <c r="B38" s="22" t="s">
        <v>11</v>
      </c>
      <c r="C38" s="23" t="s">
        <v>953</v>
      </c>
      <c r="D38" s="24" t="str">
        <f t="shared" si="3"/>
        <v>Osi.TemplateAddTo("83219bb0-800e-46fe-9dd8-24d98ae63f3c", GetHostCharacter(), 1, 1);</v>
      </c>
      <c r="E38" s="15"/>
      <c r="F38" s="15"/>
    </row>
    <row r="39">
      <c r="A39" s="61" t="str">
        <f>HYPERLINK("https://bg3.wiki/wiki/Flawed_Helldusk_Helmet", "Flawed Helldusk Helmet")</f>
        <v>Flawed Helldusk Helmet</v>
      </c>
      <c r="B39" s="22" t="s">
        <v>24</v>
      </c>
      <c r="C39" s="23" t="s">
        <v>954</v>
      </c>
      <c r="D39" s="24" t="str">
        <f t="shared" si="3"/>
        <v>Osi.TemplateAddTo("6d60fcbb-e7a5-47ad-9cca-44565cbc0856", GetHostCharacter(), 1, 1);</v>
      </c>
      <c r="E39" s="15"/>
      <c r="F39" s="15"/>
    </row>
    <row r="40">
      <c r="A40" s="61" t="str">
        <f>HYPERLINK("https://bg3.wiki/wiki/Formidable_Helmet", "Formidable Helmet")</f>
        <v>Formidable Helmet</v>
      </c>
      <c r="B40" s="22" t="s">
        <v>11</v>
      </c>
      <c r="C40" s="23" t="s">
        <v>955</v>
      </c>
      <c r="D40" s="24" t="str">
        <f t="shared" si="3"/>
        <v>Osi.TemplateAddTo("d073de26-1257-479d-9890-adb8da6ff168", GetHostCharacter(), 1, 1);</v>
      </c>
      <c r="E40" s="15"/>
      <c r="F40" s="15"/>
    </row>
    <row r="41">
      <c r="A41" s="61" t="str">
        <f>HYPERLINK("https://bg3.wiki/wiki/Frayed_Drow_Hood", "Frayed Drow Hood")</f>
        <v>Frayed Drow Hood</v>
      </c>
      <c r="B41" s="22" t="s">
        <v>11</v>
      </c>
      <c r="C41" s="23" t="s">
        <v>956</v>
      </c>
      <c r="D41" s="24" t="str">
        <f t="shared" si="3"/>
        <v>Osi.TemplateAddTo("85f6aec3-a6df-458c-8ef4-b3fa58d85a56", GetHostCharacter(), 1, 1);</v>
      </c>
      <c r="E41" s="15"/>
      <c r="F41" s="15"/>
    </row>
    <row r="42">
      <c r="A42" s="61" t="str">
        <f>HYPERLINK("https://bg3.wiki/wiki/Frumpy_Hat", "Frumpy Hat")</f>
        <v>Frumpy Hat</v>
      </c>
      <c r="B42" s="22" t="s">
        <v>11</v>
      </c>
      <c r="C42" s="23" t="s">
        <v>957</v>
      </c>
      <c r="D42" s="24" t="str">
        <f t="shared" si="3"/>
        <v>Osi.TemplateAddTo("4d2e0931-3a01-4759-834b-8ae36749daab", GetHostCharacter(), 1, 1);</v>
      </c>
      <c r="E42" s="15"/>
      <c r="F42" s="15"/>
    </row>
    <row r="43">
      <c r="A43" s="61" t="str">
        <f>HYPERLINK("https://bg3.wiki/wiki/Gibus_of_the_Worshipful_Servant", "Gibus of the Worshipful Servant")</f>
        <v>Gibus of the Worshipful Servant</v>
      </c>
      <c r="B43" s="22" t="s">
        <v>24</v>
      </c>
      <c r="C43" s="23" t="s">
        <v>958</v>
      </c>
      <c r="D43" s="24" t="str">
        <f t="shared" si="3"/>
        <v>Osi.TemplateAddTo("14b2e775-9734-4fa0-82c3-2e560b8f2e2f", GetHostCharacter(), 1, 1);</v>
      </c>
      <c r="E43" s="15"/>
      <c r="F43" s="15"/>
    </row>
    <row r="44">
      <c r="A44" s="61" t="str">
        <f>HYPERLINK("https://bg3.wiki/wiki/Goldgloss_Heraldic_Helm", "Goldgloss Heraldic Helm")</f>
        <v>Goldgloss Heraldic Helm</v>
      </c>
      <c r="B44" s="22" t="s">
        <v>11</v>
      </c>
      <c r="C44" s="23" t="s">
        <v>959</v>
      </c>
      <c r="D44" s="24" t="str">
        <f t="shared" si="3"/>
        <v>Osi.TemplateAddTo("d5e939c3-3a79-4ab8-b96c-9ded16f714a9", GetHostCharacter(), 1, 1);</v>
      </c>
      <c r="E44" s="15"/>
      <c r="F44" s="15"/>
    </row>
    <row r="45">
      <c r="A45" s="61" t="str">
        <f>HYPERLINK("https://bg3.wiki/wiki/Grymskull_Helm", "Grymskull Helm")</f>
        <v>Grymskull Helm</v>
      </c>
      <c r="B45" s="22" t="s">
        <v>19</v>
      </c>
      <c r="C45" s="23" t="s">
        <v>960</v>
      </c>
      <c r="D45" s="24" t="str">
        <f t="shared" si="3"/>
        <v>Osi.TemplateAddTo("6b1c4d55-e0d1-4b58-a26d-57d807bca488", GetHostCharacter(), 1, 1);</v>
      </c>
      <c r="E45" s="15"/>
      <c r="F45" s="15"/>
    </row>
    <row r="46">
      <c r="A46" s="61" t="str">
        <f>HYPERLINK("https://bg3.wiki/wiki/Haste_Helm", "Haste Helm")</f>
        <v>Haste Helm</v>
      </c>
      <c r="B46" s="22" t="s">
        <v>24</v>
      </c>
      <c r="C46" s="23" t="s">
        <v>961</v>
      </c>
      <c r="D46" s="24" t="str">
        <f t="shared" si="3"/>
        <v>Osi.TemplateAddTo("94cc605d-e407-408d-acb6-9e2e31dfb283", GetHostCharacter(), 1, 1);</v>
      </c>
      <c r="E46" s="15"/>
      <c r="F46" s="15"/>
    </row>
    <row r="47">
      <c r="A47" s="61" t="str">
        <f>HYPERLINK("https://bg3.wiki/wiki/Hat_Of_Uproarious_Laughter", "Hat Of Uproarious Laughter")</f>
        <v>Hat Of Uproarious Laughter</v>
      </c>
      <c r="B47" s="22" t="s">
        <v>24</v>
      </c>
      <c r="C47" s="23" t="s">
        <v>962</v>
      </c>
      <c r="D47" s="24" t="str">
        <f t="shared" si="3"/>
        <v>Osi.TemplateAddTo("42aa49c5-8ad2-4c2d-bb60-16016fa53205", GetHostCharacter(), 1, 1);</v>
      </c>
      <c r="E47" s="15"/>
      <c r="F47" s="15"/>
    </row>
    <row r="48">
      <c r="A48" s="61" t="str">
        <f>HYPERLINK("https://bg3.wiki/wiki/Hat_of_Eminent_Giggles", "Hat of Eminent Giggles")</f>
        <v>Hat of Eminent Giggles</v>
      </c>
      <c r="B48" s="22" t="s">
        <v>11</v>
      </c>
      <c r="C48" s="23" t="s">
        <v>963</v>
      </c>
      <c r="D48" s="24" t="str">
        <f t="shared" si="3"/>
        <v>Osi.TemplateAddTo("545faeb8-78a1-447c-9a75-f1c23683e599", GetHostCharacter(), 1, 1);</v>
      </c>
      <c r="E48" s="15"/>
      <c r="F48" s="15"/>
    </row>
    <row r="49">
      <c r="A49" s="61" t="str">
        <f>HYPERLINK("https://bg3.wiki/wiki/Hat_of_Fire_Acuity", "Hat of Fire Acuity")</f>
        <v>Hat of Fire Acuity</v>
      </c>
      <c r="B49" s="22" t="s">
        <v>17</v>
      </c>
      <c r="C49" s="23" t="s">
        <v>964</v>
      </c>
      <c r="D49" s="24" t="str">
        <f t="shared" si="3"/>
        <v>Osi.TemplateAddTo("dbd8a255-771c-4c3e-b3d6-65d744b2cbd8", GetHostCharacter(), 1, 1);</v>
      </c>
      <c r="E49" s="15"/>
      <c r="F49" s="15"/>
    </row>
    <row r="50">
      <c r="A50" s="61" t="str">
        <f>HYPERLINK("https://bg3.wiki/wiki/Hat_of_Storm_Scion%27s_Power", "Hat of Storm Scion's Power")</f>
        <v>Hat of Storm Scion's Power</v>
      </c>
      <c r="B50" s="22" t="s">
        <v>17</v>
      </c>
      <c r="C50" s="23" t="s">
        <v>965</v>
      </c>
      <c r="D50" s="24" t="str">
        <f t="shared" si="3"/>
        <v>Osi.TemplateAddTo("fa68c8ad-67d7-4680-88bc-f0b066e71761", GetHostCharacter(), 1, 1);</v>
      </c>
      <c r="E50" s="15"/>
      <c r="F50" s="15"/>
    </row>
    <row r="51">
      <c r="A51" s="61" t="str">
        <f>HYPERLINK("https://bg3.wiki/wiki/Hat_of_Uninhibited_Kushigo", "Hat of Uninhibited Kushigo")</f>
        <v>Hat of Uninhibited Kushigo</v>
      </c>
      <c r="B51" s="22" t="s">
        <v>24</v>
      </c>
      <c r="C51" s="23" t="s">
        <v>966</v>
      </c>
      <c r="D51" s="24" t="str">
        <f t="shared" si="3"/>
        <v>Osi.TemplateAddTo("4d444e63-152c-48b7-a198-7027fb5904f0", GetHostCharacter(), 1, 1);</v>
      </c>
      <c r="E51" s="15"/>
      <c r="F51" s="15"/>
    </row>
    <row r="52">
      <c r="A52" s="61" t="str">
        <f>HYPERLINK("https://bg3.wiki/wiki/Hat_of_the_Sharp_Caster", "Hat of the Sharp Caster")</f>
        <v>Hat of the Sharp Caster</v>
      </c>
      <c r="B52" s="22" t="s">
        <v>24</v>
      </c>
      <c r="C52" s="23" t="s">
        <v>967</v>
      </c>
      <c r="D52" s="24" t="str">
        <f t="shared" si="3"/>
        <v>Osi.TemplateAddTo("5be5a605-ddeb-4244-ba05-551ec86297fa", GetHostCharacter(), 1, 1);</v>
      </c>
      <c r="E52" s="15"/>
      <c r="F52" s="15"/>
    </row>
    <row r="53">
      <c r="A53" s="61" t="str">
        <f>HYPERLINK("https://bg3.wiki/wiki/Helldusk_Helmet", "Helldusk Helmet")</f>
        <v>Helldusk Helmet</v>
      </c>
      <c r="B53" s="22" t="s">
        <v>19</v>
      </c>
      <c r="C53" s="23" t="s">
        <v>968</v>
      </c>
      <c r="D53" s="24" t="str">
        <f t="shared" si="3"/>
        <v>Osi.TemplateAddTo("1c198060-6b6a-41c5-82ce-a3d3c3d76404", GetHostCharacter(), 1, 1);</v>
      </c>
      <c r="E53" s="15"/>
      <c r="F53" s="15"/>
    </row>
    <row r="54">
      <c r="A54" s="61" t="str">
        <f>HYPERLINK("https://bg3.wiki/wiki/Helm_of_Arcane_Gate", "Helm of Arcane Gate")</f>
        <v>Helm of Arcane Gate</v>
      </c>
      <c r="B54" s="22" t="s">
        <v>24</v>
      </c>
      <c r="C54" s="23" t="s">
        <v>969</v>
      </c>
      <c r="D54" s="24" t="str">
        <f t="shared" si="3"/>
        <v>Osi.TemplateAddTo("fef0dda1-1d06-45b5-a302-a31e545b8ede", GetHostCharacter(), 1, 1);</v>
      </c>
      <c r="E54" s="15"/>
      <c r="F54" s="15"/>
    </row>
    <row r="55">
      <c r="A55" s="61" t="str">
        <f>HYPERLINK("https://bg3.wiki/wiki/Helm_of_Balduran", "Helm of Balduran")</f>
        <v>Helm of Balduran</v>
      </c>
      <c r="B55" s="22" t="s">
        <v>66</v>
      </c>
      <c r="C55" s="23" t="s">
        <v>970</v>
      </c>
      <c r="D55" s="24" t="str">
        <f t="shared" si="3"/>
        <v>Osi.TemplateAddTo("0a64283a-1fc4-45cd-9e5e-f463f6b762ea", GetHostCharacter(), 1, 1);</v>
      </c>
      <c r="E55" s="15"/>
      <c r="F55" s="15"/>
    </row>
    <row r="56">
      <c r="A56" s="61" t="str">
        <f>HYPERLINK("https://bg3.wiki/wiki/Helmet", "Helmet")</f>
        <v>Helmet</v>
      </c>
      <c r="B56" s="22" t="s">
        <v>11</v>
      </c>
      <c r="C56" s="23" t="s">
        <v>971</v>
      </c>
      <c r="D56" s="24" t="str">
        <f t="shared" si="3"/>
        <v>Osi.TemplateAddTo("67a87879-533e-4f9b-8274-f5bd37748ace", GetHostCharacter(), 1, 1);</v>
      </c>
      <c r="E56" s="15"/>
      <c r="F56" s="15"/>
    </row>
    <row r="57">
      <c r="A57" s="61" t="str">
        <f>HYPERLINK("https://bg3.wiki/wiki/Helmet", "Helmet (rusty)")</f>
        <v>Helmet (rusty)</v>
      </c>
      <c r="B57" s="22" t="s">
        <v>11</v>
      </c>
      <c r="C57" s="23" t="s">
        <v>972</v>
      </c>
      <c r="D57" s="24" t="str">
        <f t="shared" si="3"/>
        <v>Osi.TemplateAddTo("b1ae374f-9c03-40ee-8c87-a99ff9a69484", GetHostCharacter(), 1, 1);</v>
      </c>
      <c r="E57" s="15"/>
      <c r="F57" s="15"/>
    </row>
    <row r="58">
      <c r="A58" s="61" t="str">
        <f>HYPERLINK("https://bg3.wiki/wiki/Helmet_of_Arcane_Acuity", "Helmet of Arcane Acuity")</f>
        <v>Helmet of Arcane Acuity</v>
      </c>
      <c r="B58" s="22" t="s">
        <v>17</v>
      </c>
      <c r="C58" s="23" t="s">
        <v>973</v>
      </c>
      <c r="D58" s="24" t="str">
        <f t="shared" si="3"/>
        <v>Osi.TemplateAddTo("df71a665-a179-43b3-89ee-2e355166fa9b", GetHostCharacter(), 1, 1);</v>
      </c>
      <c r="E58" s="15"/>
      <c r="F58" s="15"/>
    </row>
    <row r="59">
      <c r="A59" s="61" t="str">
        <f>HYPERLINK("https://bg3.wiki/wiki/Helmet_of_Autonomy", "Helmet of Autonomy")</f>
        <v>Helmet of Autonomy</v>
      </c>
      <c r="B59" s="22" t="s">
        <v>17</v>
      </c>
      <c r="C59" s="23" t="s">
        <v>974</v>
      </c>
      <c r="D59" s="24" t="str">
        <f t="shared" si="3"/>
        <v>Osi.TemplateAddTo("a47c13a1-1a8e-4b3b-9cd9-53cf9c7058f0", GetHostCharacter(), 1, 1);</v>
      </c>
      <c r="E59" s="15"/>
      <c r="F59" s="15"/>
    </row>
    <row r="60">
      <c r="A60" s="61" t="str">
        <f>HYPERLINK("https://bg3.wiki/wiki/Helmet_of_Grit", "Helmet of Grit")</f>
        <v>Helmet of Grit</v>
      </c>
      <c r="B60" s="22" t="s">
        <v>19</v>
      </c>
      <c r="C60" s="23" t="s">
        <v>975</v>
      </c>
      <c r="D60" s="24" t="str">
        <f t="shared" si="3"/>
        <v>Osi.TemplateAddTo("d98595e1-0722-4200-ab73-5e88269519fa", GetHostCharacter(), 1, 1);</v>
      </c>
      <c r="E60" s="15"/>
      <c r="F60" s="15"/>
    </row>
    <row r="61">
      <c r="A61" s="61" t="str">
        <f>HYPERLINK("https://bg3.wiki/wiki/Helmet_of_Smiting", "Helmet of Smiting")</f>
        <v>Helmet of Smiting</v>
      </c>
      <c r="B61" s="22" t="s">
        <v>17</v>
      </c>
      <c r="C61" s="23" t="s">
        <v>976</v>
      </c>
      <c r="D61" s="24" t="str">
        <f t="shared" si="3"/>
        <v>Osi.TemplateAddTo("0ae1e62c-b36a-4dbc-97fb-e0658b454974", GetHostCharacter(), 1, 1);</v>
      </c>
      <c r="E61" s="15"/>
      <c r="F61" s="15"/>
    </row>
    <row r="62">
      <c r="A62" s="61" t="str">
        <f>HYPERLINK("https://bg3.wiki/wiki/Holy_Lance_Helm", "Holy Lance Helm")</f>
        <v>Holy Lance Helm</v>
      </c>
      <c r="B62" s="22" t="s">
        <v>17</v>
      </c>
      <c r="C62" s="23" t="s">
        <v>977</v>
      </c>
      <c r="D62" s="24" t="str">
        <f t="shared" si="3"/>
        <v>Osi.TemplateAddTo("5b3c40c5-b0c0-44b5-9b75-e642069fd2cc", GetHostCharacter(), 1, 1);</v>
      </c>
      <c r="E62" s="15"/>
      <c r="F62" s="15"/>
    </row>
    <row r="63">
      <c r="A63" s="61" t="str">
        <f>HYPERLINK("https://bg3.wiki/wiki/Hood_of_the_Weave", "Hood of the Weave")</f>
        <v>Hood of the Weave</v>
      </c>
      <c r="B63" s="22" t="s">
        <v>19</v>
      </c>
      <c r="C63" s="23" t="s">
        <v>978</v>
      </c>
      <c r="D63" s="24" t="str">
        <f t="shared" si="3"/>
        <v>Osi.TemplateAddTo("c5a627ff-7fc5-4cde-81ca-e4fb57cb38d6", GetHostCharacter(), 1, 1);</v>
      </c>
      <c r="E63" s="15"/>
      <c r="F63" s="15"/>
    </row>
    <row r="64">
      <c r="A64" s="61" t="str">
        <f>HYPERLINK("https://bg3.wiki/wiki/Horns_of_the_Berserker", "Horns of the Berserker")</f>
        <v>Horns of the Berserker</v>
      </c>
      <c r="B64" s="22" t="s">
        <v>19</v>
      </c>
      <c r="C64" s="23" t="s">
        <v>979</v>
      </c>
      <c r="D64" s="24" t="str">
        <f t="shared" si="3"/>
        <v>Osi.TemplateAddTo("271af9f0-409d-4b14-8277-95a36b8dd543", GetHostCharacter(), 1, 1);</v>
      </c>
      <c r="E64" s="15"/>
      <c r="F64" s="15"/>
    </row>
    <row r="65">
      <c r="A65" s="61" t="str">
        <f>HYPERLINK("https://bg3.wiki/wiki/Ignoble_Hat", "Ignoble Hat")</f>
        <v>Ignoble Hat</v>
      </c>
      <c r="B65" s="22" t="s">
        <v>11</v>
      </c>
      <c r="C65" s="23" t="s">
        <v>980</v>
      </c>
      <c r="D65" s="24" t="str">
        <f t="shared" si="3"/>
        <v>Osi.TemplateAddTo("90008c9b-ca19-46c1-9c2b-7164983de6da", GetHostCharacter(), 1, 1);</v>
      </c>
      <c r="E65" s="15"/>
      <c r="F65" s="15"/>
    </row>
    <row r="66">
      <c r="A66" s="61" t="str">
        <f>HYPERLINK("https://bg3.wiki/wiki/Infernal_Mask", "Infernal Mask")</f>
        <v>Infernal Mask</v>
      </c>
      <c r="B66" s="22" t="s">
        <v>17</v>
      </c>
      <c r="C66" s="23" t="s">
        <v>981</v>
      </c>
      <c r="D66" s="24" t="str">
        <f t="shared" si="3"/>
        <v>Osi.TemplateAddTo("520666df-5f1b-4fd9-983e-c0753f224855", GetHostCharacter(), 1, 1);</v>
      </c>
      <c r="E66" s="15"/>
      <c r="F66" s="15"/>
    </row>
    <row r="67">
      <c r="A67" s="61" t="str">
        <f>HYPERLINK("https://bg3.wiki/wiki/Jannath%27s_Hat", "Jannath's Hat")</f>
        <v>Jannath's Hat</v>
      </c>
      <c r="B67" s="22" t="s">
        <v>19</v>
      </c>
      <c r="C67" s="23" t="s">
        <v>982</v>
      </c>
      <c r="D67" s="24" t="str">
        <f t="shared" si="3"/>
        <v>Osi.TemplateAddTo("62189421-f3e5-4ebc-927a-26bc0ebf844a", GetHostCharacter(), 1, 1);</v>
      </c>
      <c r="E67" s="15"/>
      <c r="F67" s="15"/>
    </row>
    <row r="68">
      <c r="A68" s="61" t="str">
        <f>HYPERLINK("https://bg3.wiki/wiki/Key_of_the_Ancients", "Key of the Ancients")</f>
        <v>Key of the Ancients</v>
      </c>
      <c r="B68" s="22" t="s">
        <v>55</v>
      </c>
      <c r="C68" s="23" t="s">
        <v>983</v>
      </c>
      <c r="D68" s="24" t="str">
        <f t="shared" si="3"/>
        <v>Osi.TemplateAddTo("59b54a3c-1825-49a3-b216-830edfd388ab", GetHostCharacter(), 1, 1);</v>
      </c>
      <c r="E68" s="15"/>
      <c r="F68" s="15"/>
    </row>
    <row r="69">
      <c r="A69" s="61" t="str">
        <f>HYPERLINK("https://bg3.wiki/wiki/Leather_Helmet", "Leather Helmet")</f>
        <v>Leather Helmet</v>
      </c>
      <c r="B69" s="22" t="s">
        <v>11</v>
      </c>
      <c r="C69" s="23" t="s">
        <v>984</v>
      </c>
      <c r="D69" s="24" t="str">
        <f t="shared" si="3"/>
        <v>Osi.TemplateAddTo("c58a1f91-ec1b-49c8-96ab-d94d4be4b584", GetHostCharacter(), 1, 1);</v>
      </c>
      <c r="E69" s="15"/>
      <c r="F69" s="15"/>
    </row>
    <row r="70">
      <c r="A70" s="61" t="str">
        <f>HYPERLINK("https://bg3.wiki/wiki/Leatherstring_Helmet", "Leatherstring Helmet")</f>
        <v>Leatherstring Helmet</v>
      </c>
      <c r="B70" s="22" t="s">
        <v>11</v>
      </c>
      <c r="C70" s="23" t="s">
        <v>985</v>
      </c>
      <c r="D70" s="24" t="str">
        <f t="shared" si="3"/>
        <v>Osi.TemplateAddTo("70a220aa-071c-4138-a50b-4dacf20dc7a8", GetHostCharacter(), 1, 1);</v>
      </c>
      <c r="E70" s="15"/>
      <c r="F70" s="15"/>
    </row>
    <row r="71">
      <c r="A71" s="61" t="str">
        <f>HYPERLINK("https://bg3.wiki/wiki/Marksmanship_Hat", "Marksmanship Hat")</f>
        <v>Marksmanship Hat</v>
      </c>
      <c r="B71" s="22" t="s">
        <v>17</v>
      </c>
      <c r="C71" s="23" t="s">
        <v>986</v>
      </c>
      <c r="D71" s="24" t="str">
        <f t="shared" si="3"/>
        <v>Osi.TemplateAddTo("f67b0733-ad73-4d1b-94fd-e3e0236623ca", GetHostCharacter(), 1, 1);</v>
      </c>
      <c r="E71" s="15"/>
      <c r="F71" s="15"/>
    </row>
    <row r="72">
      <c r="A72" s="61" t="str">
        <f>HYPERLINK("https://bg3.wiki/wiki/Mask_of_Soul_Perception", "Mask of Soul Perception")</f>
        <v>Mask of Soul Perception</v>
      </c>
      <c r="B72" s="22" t="s">
        <v>19</v>
      </c>
      <c r="C72" s="23" t="s">
        <v>987</v>
      </c>
      <c r="D72" s="24" t="str">
        <f t="shared" si="3"/>
        <v>Osi.TemplateAddTo("bfd9ef48-7251-4259-86b0-6646f5f99d72", GetHostCharacter(), 1, 1);</v>
      </c>
      <c r="E72" s="15"/>
      <c r="F72" s="15"/>
    </row>
    <row r="73">
      <c r="A73" s="61" t="str">
        <f>HYPERLINK("https://bg3.wiki/wiki/Mask_of_the_Shapeshifter", "Mask of the Shapeshifter")</f>
        <v>Mask of the Shapeshifter</v>
      </c>
      <c r="B73" s="22" t="s">
        <v>66</v>
      </c>
      <c r="C73" s="23" t="s">
        <v>988</v>
      </c>
      <c r="D73" s="24" t="str">
        <f t="shared" si="3"/>
        <v>Osi.TemplateAddTo("5d66776d-0650-4512-b300-b2ac38e2be3a", GetHostCharacter(), 1, 1);</v>
      </c>
      <c r="E73" s="15"/>
      <c r="F73" s="15"/>
    </row>
    <row r="74">
      <c r="A74" s="61" t="str">
        <f>HYPERLINK("https://bg3.wiki/wiki/Nightsong_Helmet", "Nightsong Helmet")</f>
        <v>Nightsong Helmet</v>
      </c>
      <c r="B74" s="22" t="s">
        <v>11</v>
      </c>
      <c r="C74" s="23" t="s">
        <v>989</v>
      </c>
      <c r="D74" s="24" t="str">
        <f t="shared" si="3"/>
        <v>Osi.TemplateAddTo("197c32e4-6693-4d0e-846e-c5e1dc085010", GetHostCharacter(), 1, 1);</v>
      </c>
      <c r="E74" s="15"/>
      <c r="F74" s="15"/>
    </row>
    <row r="75">
      <c r="A75" s="62" t="s">
        <v>990</v>
      </c>
      <c r="B75" s="63" t="s">
        <v>991</v>
      </c>
      <c r="C75" s="64" t="s">
        <v>992</v>
      </c>
      <c r="D75" s="65" t="str">
        <f t="shared" si="3"/>
        <v>Osi.TemplateAddTo("ae1dc399-3706-447e-8c79-f8a35c035ec4", GetHostCharacter(), 1, 1);</v>
      </c>
      <c r="E75" s="27" t="s">
        <v>993</v>
      </c>
      <c r="F75" s="20"/>
    </row>
    <row r="76">
      <c r="A76" s="61" t="str">
        <f>HYPERLINK("https://bg3.wiki/wiki/Old_Floppy_Hat", "Old Floppy Hat")</f>
        <v>Old Floppy Hat</v>
      </c>
      <c r="B76" s="22" t="s">
        <v>11</v>
      </c>
      <c r="C76" s="23" t="s">
        <v>994</v>
      </c>
      <c r="D76" s="24" t="str">
        <f t="shared" si="3"/>
        <v>Osi.TemplateAddTo("65f78de8-f6aa-4080-84de-73e654b02883", GetHostCharacter(), 1, 1);</v>
      </c>
      <c r="E76" s="15"/>
      <c r="F76" s="15"/>
    </row>
    <row r="77">
      <c r="A77" s="61" t="str">
        <f>HYPERLINK("https://bg3.wiki/wiki/Pyroquickness_Hat", "Pyroquickness Hat")</f>
        <v>Pyroquickness Hat</v>
      </c>
      <c r="B77" s="22" t="s">
        <v>19</v>
      </c>
      <c r="C77" s="23" t="s">
        <v>995</v>
      </c>
      <c r="D77" s="24" t="str">
        <f t="shared" si="3"/>
        <v>Osi.TemplateAddTo("d5e4dce0-4385-4fae-a601-22a11fe0b2af", GetHostCharacter(), 1, 1);</v>
      </c>
      <c r="E77" s="15"/>
      <c r="F77" s="15"/>
    </row>
    <row r="78">
      <c r="A78" s="61" t="str">
        <f>HYPERLINK("https://bg3.wiki/wiki/Red_Carmine_Mask", "Red Carmine Mask")</f>
        <v>Red Carmine Mask</v>
      </c>
      <c r="B78" s="22" t="s">
        <v>11</v>
      </c>
      <c r="C78" s="23" t="s">
        <v>996</v>
      </c>
      <c r="D78" s="24" t="str">
        <f t="shared" si="3"/>
        <v>Osi.TemplateAddTo("d88ba1f3-e0a7-45cb-861c-72eaf123f83d", GetHostCharacter(), 1, 1);</v>
      </c>
      <c r="E78" s="15"/>
      <c r="F78" s="15"/>
    </row>
    <row r="79">
      <c r="A79" s="61" t="str">
        <f>HYPERLINK("https://bg3.wiki/wiki/Regal_Helm", "Regal Helm")</f>
        <v>Regal Helm</v>
      </c>
      <c r="B79" s="22" t="s">
        <v>11</v>
      </c>
      <c r="C79" s="23" t="s">
        <v>997</v>
      </c>
      <c r="D79" s="24" t="str">
        <f t="shared" si="3"/>
        <v>Osi.TemplateAddTo("87ca1f21-6b02-438d-b19d-2fbd3e275455", GetHostCharacter(), 1, 1);</v>
      </c>
      <c r="E79" s="15"/>
      <c r="F79" s="15"/>
    </row>
    <row r="80">
      <c r="A80" s="61" t="str">
        <f>HYPERLINK("https://bg3.wiki/wiki/Reinforced_Helmet", "Reinforced Helmet")</f>
        <v>Reinforced Helmet</v>
      </c>
      <c r="B80" s="22" t="s">
        <v>11</v>
      </c>
      <c r="C80" s="23" t="s">
        <v>998</v>
      </c>
      <c r="D80" s="24" t="str">
        <f t="shared" si="3"/>
        <v>Osi.TemplateAddTo("910ed403-38b3-4128-b07b-0de5d14da8f8", GetHostCharacter(), 1, 1);</v>
      </c>
      <c r="E80" s="15"/>
      <c r="F80" s="15"/>
    </row>
    <row r="81">
      <c r="A81" s="61" t="str">
        <f>HYPERLINK("https://bg3.wiki/wiki/Rich_Arcanist_Helmet", "Rich Arcanist Helmet")</f>
        <v>Rich Arcanist Helmet</v>
      </c>
      <c r="B81" s="22" t="s">
        <v>11</v>
      </c>
      <c r="C81" s="23" t="s">
        <v>999</v>
      </c>
      <c r="D81" s="24" t="str">
        <f t="shared" si="3"/>
        <v>Osi.TemplateAddTo("267fc69a-f7e4-4c68-ae7e-f053bdbe08e7", GetHostCharacter(), 1, 1);</v>
      </c>
      <c r="E81" s="15"/>
      <c r="F81" s="15"/>
    </row>
    <row r="82">
      <c r="A82" s="61" t="str">
        <f>HYPERLINK("https://bg3.wiki/wiki/Rufflesome_Blaggart_Hat", "Rufflesome Blaggart Hat")</f>
        <v>Rufflesome Blaggart Hat</v>
      </c>
      <c r="B82" s="22" t="s">
        <v>11</v>
      </c>
      <c r="C82" s="23" t="s">
        <v>1000</v>
      </c>
      <c r="D82" s="24" t="str">
        <f t="shared" si="3"/>
        <v>Osi.TemplateAddTo("3d3c949f-8fff-4133-b12e-3c739dbd6428", GetHostCharacter(), 1, 1);</v>
      </c>
      <c r="E82" s="15"/>
      <c r="F82" s="15"/>
    </row>
    <row r="83">
      <c r="A83" s="61" t="str">
        <f>HYPERLINK("https://bg3.wiki/wiki/Sarevok%27s_Horned_Helmet", "Sarevok's Horned Helmet")</f>
        <v>Sarevok's Horned Helmet</v>
      </c>
      <c r="B83" s="22" t="s">
        <v>19</v>
      </c>
      <c r="C83" s="23" t="s">
        <v>1001</v>
      </c>
      <c r="D83" s="24" t="str">
        <f t="shared" si="3"/>
        <v>Osi.TemplateAddTo("139b28dc-7db0-40b2-a383-3a4ce4c09812", GetHostCharacter(), 1, 1);</v>
      </c>
      <c r="E83" s="15"/>
      <c r="F83" s="15"/>
    </row>
    <row r="84">
      <c r="A84" s="61" t="str">
        <f>HYPERLINK("https://bg3.wiki/wiki/Scabby_Pugilist_Circlet", "Scabby Pugilist Circlet")</f>
        <v>Scabby Pugilist Circlet</v>
      </c>
      <c r="B84" s="22" t="s">
        <v>24</v>
      </c>
      <c r="C84" s="23" t="s">
        <v>1002</v>
      </c>
      <c r="D84" s="24" t="str">
        <f t="shared" si="3"/>
        <v>Osi.TemplateAddTo("48920bf4-85b0-44a1-9f6a-0ad8b493fa47", GetHostCharacter(), 1, 1);</v>
      </c>
      <c r="E84" s="15"/>
      <c r="F84" s="15"/>
    </row>
    <row r="85">
      <c r="A85" s="61" t="str">
        <f>HYPERLINK("https://bg3.wiki/wiki/Scalpspike_Helm", "Scalpspike Helm")</f>
        <v>Scalpspike Helm</v>
      </c>
      <c r="B85" s="22" t="s">
        <v>11</v>
      </c>
      <c r="C85" s="23" t="s">
        <v>1003</v>
      </c>
      <c r="D85" s="24" t="str">
        <f t="shared" si="3"/>
        <v>Osi.TemplateAddTo("15b4c55e-ba08-4318-a598-5ac30e9e29a5", GetHostCharacter(), 1, 1);</v>
      </c>
      <c r="E85" s="15"/>
      <c r="F85" s="15"/>
    </row>
    <row r="86">
      <c r="A86" s="61" t="str">
        <f>HYPERLINK("https://bg3.wiki/wiki/Scorpion_Helmet", "Scorpion Helmet")</f>
        <v>Scorpion Helmet</v>
      </c>
      <c r="B86" s="22" t="s">
        <v>11</v>
      </c>
      <c r="C86" s="23" t="s">
        <v>1004</v>
      </c>
      <c r="D86" s="24" t="str">
        <f t="shared" si="3"/>
        <v>Osi.TemplateAddTo("39f85c55-fea3-4ba1-8cd3-2b226e4fee67", GetHostCharacter(), 1, 1);</v>
      </c>
      <c r="E86" s="15"/>
      <c r="F86" s="15"/>
    </row>
    <row r="87">
      <c r="A87" s="61" t="str">
        <f>HYPERLINK("https://bg3.wiki/wiki/Shadow_of_Menzoberranzan", "Shadow of Menzoberranzan")</f>
        <v>Shadow of Menzoberranzan</v>
      </c>
      <c r="B87" s="22" t="s">
        <v>24</v>
      </c>
      <c r="C87" s="23" t="s">
        <v>1005</v>
      </c>
      <c r="D87" s="24" t="str">
        <f t="shared" si="3"/>
        <v>Osi.TemplateAddTo("d46206c9-fb4f-44a4-a4f4-f70f8cd2a64c", GetHostCharacter(), 1, 1);</v>
      </c>
      <c r="E87" s="15"/>
      <c r="F87" s="15"/>
    </row>
    <row r="88">
      <c r="A88" s="61" t="str">
        <f>HYPERLINK("https://bg3.wiki/wiki/Shapeshifter_Hat", "Shapeshifter Hat")</f>
        <v>Shapeshifter Hat</v>
      </c>
      <c r="B88" s="22" t="s">
        <v>19</v>
      </c>
      <c r="C88" s="23" t="s">
        <v>1006</v>
      </c>
      <c r="D88" s="24" t="str">
        <f t="shared" si="3"/>
        <v>Osi.TemplateAddTo("e3720399-7a78-4073-aff7-cb0fb37b13eb", GetHostCharacter(), 1, 1);</v>
      </c>
      <c r="E88" s="15"/>
      <c r="F88" s="15"/>
    </row>
    <row r="89">
      <c r="A89" s="61" t="str">
        <f>HYPERLINK("https://bg3.wiki/wiki/Shar_Headwear", "Shar Headwear")</f>
        <v>Shar Headwear</v>
      </c>
      <c r="B89" s="22" t="s">
        <v>11</v>
      </c>
      <c r="C89" s="23" t="s">
        <v>1007</v>
      </c>
      <c r="D89" s="24" t="str">
        <f t="shared" si="3"/>
        <v>Osi.TemplateAddTo("5af1725a-45f5-4f56-924a-76cd1dc1e50b", GetHostCharacter(), 1, 1);</v>
      </c>
      <c r="E89" s="15"/>
      <c r="F89" s="15"/>
    </row>
    <row r="90">
      <c r="A90" s="61" t="str">
        <f>HYPERLINK("https://bg3.wiki/wiki/Snakeskin_Hat", "Snakeskin Hat")</f>
        <v>Snakeskin Hat</v>
      </c>
      <c r="B90" s="22" t="s">
        <v>11</v>
      </c>
      <c r="C90" s="23" t="s">
        <v>1008</v>
      </c>
      <c r="D90" s="24" t="str">
        <f t="shared" si="3"/>
        <v>Osi.TemplateAddTo("4a4e2cf1-a02f-41c4-b68f-5f5301f74577", GetHostCharacter(), 1, 1);</v>
      </c>
      <c r="E90" s="15"/>
      <c r="F90" s="15"/>
    </row>
    <row r="91">
      <c r="A91" s="61" t="str">
        <f>HYPERLINK("https://bg3.wiki/wiki/Steelwatcher_Helmet", "Steelwatcher Helmet")</f>
        <v>Steelwatcher Helmet</v>
      </c>
      <c r="B91" s="22" t="s">
        <v>24</v>
      </c>
      <c r="C91" s="23" t="s">
        <v>1009</v>
      </c>
      <c r="D91" s="24" t="str">
        <f t="shared" si="3"/>
        <v>Osi.TemplateAddTo("c2ef4013-e6d1-48da-99f0-db486c223a90", GetHostCharacter(), 1, 1);</v>
      </c>
      <c r="E91" s="15"/>
      <c r="F91" s="15"/>
    </row>
    <row r="92">
      <c r="A92" s="61" t="str">
        <f>HYPERLINK("https://bg3.wiki/wiki/The_Lifebringer", "The Lifebringer")</f>
        <v>The Lifebringer</v>
      </c>
      <c r="B92" s="22" t="s">
        <v>17</v>
      </c>
      <c r="C92" s="23" t="s">
        <v>1010</v>
      </c>
      <c r="D92" s="24" t="str">
        <f t="shared" si="3"/>
        <v>Osi.TemplateAddTo("3ccc28a3-faa5-4664-a46a-39300b2d3803", GetHostCharacter(), 1, 1);</v>
      </c>
      <c r="E92" s="15"/>
      <c r="F92" s="15"/>
    </row>
    <row r="93">
      <c r="A93" s="61" t="str">
        <f>HYPERLINK("https://bg3.wiki/wiki/The_Pointy_Hat", "The Pointy Hat")</f>
        <v>The Pointy Hat</v>
      </c>
      <c r="B93" s="22" t="s">
        <v>24</v>
      </c>
      <c r="C93" s="23" t="s">
        <v>1011</v>
      </c>
      <c r="D93" s="24" t="str">
        <f t="shared" si="3"/>
        <v>Osi.TemplateAddTo("6c2e4f84-a8f2-4a91-81bf-488b497718a2", GetHostCharacter(), 1, 1);</v>
      </c>
      <c r="E93" s="15"/>
      <c r="F93" s="15"/>
    </row>
    <row r="94">
      <c r="A94" s="61" t="str">
        <f>HYPERLINK("https://bg3.wiki/wiki/The_Shadespell_Circlet", "The Shadespell Circlet")</f>
        <v>The Shadespell Circlet</v>
      </c>
      <c r="B94" s="22" t="s">
        <v>17</v>
      </c>
      <c r="C94" s="23" t="s">
        <v>1012</v>
      </c>
      <c r="D94" s="24" t="str">
        <f t="shared" si="3"/>
        <v>Osi.TemplateAddTo("f0e42b7e-4d6b-46fb-85d6-d577afc72040", GetHostCharacter(), 1, 1);</v>
      </c>
      <c r="E94" s="15"/>
      <c r="F94" s="15"/>
    </row>
    <row r="95">
      <c r="A95" s="61" t="str">
        <f>HYPERLINK("https://bg3.wiki/wiki/Tightening_Orbit_Helm", "Tightening Orbit Helm")</f>
        <v>Tightening Orbit Helm</v>
      </c>
      <c r="B95" s="22" t="s">
        <v>24</v>
      </c>
      <c r="C95" s="23" t="s">
        <v>1013</v>
      </c>
      <c r="D95" s="24" t="str">
        <f t="shared" si="3"/>
        <v>Osi.TemplateAddTo("5ac19da8-48bf-4a75-b312-430c1ab7cb41", GetHostCharacter(), 1, 1);</v>
      </c>
      <c r="E95" s="15"/>
      <c r="F95" s="15"/>
    </row>
    <row r="96">
      <c r="A96" s="61" t="str">
        <f>HYPERLINK("https://bg3.wiki/wiki/Triumphal_Helm", "Triumphal Helm")</f>
        <v>Triumphal Helm</v>
      </c>
      <c r="B96" s="22" t="s">
        <v>11</v>
      </c>
      <c r="C96" s="23" t="s">
        <v>1014</v>
      </c>
      <c r="D96" s="24" t="str">
        <f t="shared" si="3"/>
        <v>Osi.TemplateAddTo("1d00212d-e58f-4967-b378-acf214a370b3", GetHostCharacter(), 1, 1);</v>
      </c>
      <c r="E96" s="15"/>
      <c r="F96" s="15"/>
    </row>
    <row r="97">
      <c r="A97" s="61" t="str">
        <f>HYPERLINK("https://bg3.wiki/wiki/Wapira%27s_Crown", "Wapira's Crown")</f>
        <v>Wapira's Crown</v>
      </c>
      <c r="B97" s="22" t="s">
        <v>17</v>
      </c>
      <c r="C97" s="23" t="s">
        <v>1015</v>
      </c>
      <c r="D97" s="24" t="str">
        <f t="shared" si="3"/>
        <v>Osi.TemplateAddTo("e305c00e-a231-41e4-86de-cbb320bafbc8", GetHostCharacter(), 1, 1);</v>
      </c>
      <c r="E97" s="15"/>
      <c r="F97" s="15"/>
    </row>
    <row r="98">
      <c r="A98" s="61" t="str">
        <f>HYPERLINK("https://bg3.wiki/wiki/Warped_Headband_of_Intellect", "Warped Headband of Intellect")</f>
        <v>Warped Headband of Intellect</v>
      </c>
      <c r="B98" s="22" t="s">
        <v>17</v>
      </c>
      <c r="C98" s="23" t="s">
        <v>1016</v>
      </c>
      <c r="D98" s="24" t="str">
        <f t="shared" si="3"/>
        <v>Osi.TemplateAddTo("8f4876f1-44d9-4bb8-802e-907c6b0a0dba", GetHostCharacter(), 1, 1);</v>
      </c>
      <c r="E98" s="15"/>
      <c r="F98" s="15"/>
    </row>
    <row r="99">
      <c r="A99" s="61" t="str">
        <f>HYPERLINK("https://bg3.wiki/wiki/Watch%27s_Helmet", "Watch's Helmet")</f>
        <v>Watch's Helmet</v>
      </c>
      <c r="B99" s="22" t="s">
        <v>11</v>
      </c>
      <c r="C99" s="23" t="s">
        <v>1017</v>
      </c>
      <c r="D99" s="24" t="str">
        <f t="shared" si="3"/>
        <v>Osi.TemplateAddTo("673f429b-cc2e-411e-92a8-6b07e1410fd5", GetHostCharacter(), 1, 1);</v>
      </c>
      <c r="E99" s="15"/>
      <c r="F99" s="15"/>
    </row>
    <row r="100">
      <c r="A100" s="61" t="str">
        <f>HYPERLINK("https://bg3.wiki/wiki/Well_Crated_Helm", "Well Crated Helm")</f>
        <v>Well Crated Helm</v>
      </c>
      <c r="B100" s="22" t="s">
        <v>11</v>
      </c>
      <c r="C100" s="23" t="s">
        <v>1018</v>
      </c>
      <c r="D100" s="24" t="str">
        <f t="shared" si="3"/>
        <v>Osi.TemplateAddTo("2b916559-bf24-4889-b988-08e1cbd8ac68", GetHostCharacter(), 1, 1);</v>
      </c>
      <c r="E100" s="15"/>
      <c r="F100" s="15"/>
    </row>
    <row r="101">
      <c r="A101" s="61" t="str">
        <f>HYPERLINK("https://bg3.wiki/wiki/Whispering_Mask", "Whispering Mask")</f>
        <v>Whispering Mask</v>
      </c>
      <c r="B101" s="22" t="s">
        <v>11</v>
      </c>
      <c r="C101" s="23" t="s">
        <v>1019</v>
      </c>
      <c r="D101" s="24" t="str">
        <f t="shared" si="3"/>
        <v>Osi.TemplateAddTo("73690248-deea-4713-84d6-c1c8fb045869", GetHostCharacter(), 1, 1);</v>
      </c>
      <c r="E101" s="15"/>
      <c r="F101" s="15"/>
    </row>
    <row r="102">
      <c r="A102" s="61" t="str">
        <f>HYPERLINK("https://bg3.wiki/wiki/Wide-Brimmed_Hat", "Wide-Brimmed Hat")</f>
        <v>Wide-Brimmed Hat</v>
      </c>
      <c r="B102" s="22" t="s">
        <v>11</v>
      </c>
      <c r="C102" s="23" t="s">
        <v>1020</v>
      </c>
      <c r="D102" s="24" t="str">
        <f t="shared" si="3"/>
        <v>Osi.TemplateAddTo("ff47e1c4-f49f-460c-b6a6-dce635fa48c4", GetHostCharacter(), 1, 1);</v>
      </c>
      <c r="E102" s="15"/>
      <c r="F102" s="15"/>
    </row>
    <row r="103">
      <c r="A103" s="66" t="str">
        <f>HYPERLINK("https://bg3.wiki/wiki/Wizard_Hat", "Wizard Hat")</f>
        <v>Wizard Hat</v>
      </c>
      <c r="B103" s="39" t="s">
        <v>11</v>
      </c>
      <c r="C103" s="40" t="s">
        <v>1021</v>
      </c>
      <c r="D103" s="41" t="str">
        <f t="shared" si="3"/>
        <v>Osi.TemplateAddTo("07ad0e9f-7fb4-418f-a1ef-06b431c252be", GetHostCharacter(), 1, 1);</v>
      </c>
      <c r="E103" s="15"/>
      <c r="F103" s="15"/>
    </row>
    <row r="104">
      <c r="B104" s="27"/>
      <c r="C104" s="53"/>
      <c r="D104" s="27"/>
    </row>
    <row r="105">
      <c r="C105" s="42"/>
    </row>
    <row r="106">
      <c r="A106" s="55" t="s">
        <v>1022</v>
      </c>
      <c r="B106" s="22"/>
      <c r="C106" s="23"/>
      <c r="D106" s="22"/>
    </row>
    <row r="107">
      <c r="A107" s="34" t="s">
        <v>7</v>
      </c>
      <c r="B107" s="35" t="s">
        <v>8</v>
      </c>
      <c r="C107" s="35" t="s">
        <v>9</v>
      </c>
      <c r="D107" s="36" t="s">
        <v>10</v>
      </c>
      <c r="E107" s="37"/>
      <c r="F107" s="37"/>
    </row>
    <row r="108">
      <c r="A108" s="21" t="str">
        <f>HYPERLINK("https://bg3.wiki/wiki/Braindrain_Cape", "Braindrain Cape")</f>
        <v>Braindrain Cape</v>
      </c>
      <c r="B108" s="22" t="s">
        <v>24</v>
      </c>
      <c r="C108" s="23" t="s">
        <v>1023</v>
      </c>
      <c r="D108" s="24" t="str">
        <f t="shared" ref="D108:D131" si="4">"Osi.TemplateAddTo("""&amp; C108 &amp;""", GetHostCharacter(), 1, 1);"</f>
        <v>Osi.TemplateAddTo("1b4d85b9-eefd-4629-9985-db3cb5365e8f", GetHostCharacter(), 1, 1);</v>
      </c>
    </row>
    <row r="109">
      <c r="A109" s="21" t="str">
        <f>HYPERLINK("https://bg3.wiki/wiki/Cape_of_the_Red_Prince", "Cape of the Red Prince")</f>
        <v>Cape of the Red Prince</v>
      </c>
      <c r="B109" s="22" t="s">
        <v>11</v>
      </c>
      <c r="C109" s="23" t="s">
        <v>1024</v>
      </c>
      <c r="D109" s="24" t="str">
        <f t="shared" si="4"/>
        <v>Osi.TemplateAddTo("be8f2382-576f-426f-ae90-45544b507e07", GetHostCharacter(), 1, 1);</v>
      </c>
    </row>
    <row r="110">
      <c r="A110" s="21" t="str">
        <f>HYPERLINK("https://bg3.wiki/wiki/Cindermoth_Cloak", "Cindermoth Cloak")</f>
        <v>Cindermoth Cloak</v>
      </c>
      <c r="B110" s="22" t="s">
        <v>17</v>
      </c>
      <c r="C110" s="23" t="s">
        <v>1025</v>
      </c>
      <c r="D110" s="24" t="str">
        <f t="shared" si="4"/>
        <v>Osi.TemplateAddTo("8a31c554-1545-4647-b24d-93cf5d81df18", GetHostCharacter(), 1, 1);</v>
      </c>
    </row>
    <row r="111">
      <c r="A111" s="21" t="str">
        <f>HYPERLINK("https://bg3.wiki/wiki/Cloak", "Cloak (long)")</f>
        <v>Cloak (long)</v>
      </c>
      <c r="B111" s="22" t="s">
        <v>11</v>
      </c>
      <c r="C111" s="23" t="s">
        <v>1026</v>
      </c>
      <c r="D111" s="24" t="str">
        <f t="shared" si="4"/>
        <v>Osi.TemplateAddTo("a1978b4d-3d93-49ec-9a8b-d19171ed35d5", GetHostCharacter(), 1, 1);</v>
      </c>
    </row>
    <row r="112">
      <c r="A112" s="21" t="str">
        <f>HYPERLINK("https://bg3.wiki/wiki/Cloak", "Cloak (short,wavy)")</f>
        <v>Cloak (short,wavy)</v>
      </c>
      <c r="B112" s="22" t="s">
        <v>11</v>
      </c>
      <c r="C112" s="23" t="s">
        <v>1027</v>
      </c>
      <c r="D112" s="24" t="str">
        <f t="shared" si="4"/>
        <v>Osi.TemplateAddTo("c2f0ea14-9384-4b5e-a0eb-81909ce72d38", GetHostCharacter(), 1, 1);</v>
      </c>
    </row>
    <row r="113">
      <c r="A113" s="21" t="str">
        <f>HYPERLINK("https://bg3.wiki/wiki/Cloak", "Cloak (Wool)")</f>
        <v>Cloak (Wool)</v>
      </c>
      <c r="B113" s="22" t="s">
        <v>11</v>
      </c>
      <c r="C113" s="23" t="s">
        <v>1028</v>
      </c>
      <c r="D113" s="24" t="str">
        <f t="shared" si="4"/>
        <v>Osi.TemplateAddTo("465340b0-523f-48ac-a832-4db4a1183c74", GetHostCharacter(), 1, 1);</v>
      </c>
    </row>
    <row r="114">
      <c r="A114" s="21" t="str">
        <f>HYPERLINK("https://bg3.wiki/wiki/Cloak_of_Avarice", "Cloak of Avarice")</f>
        <v>Cloak of Avarice</v>
      </c>
      <c r="B114" s="22" t="s">
        <v>24</v>
      </c>
      <c r="C114" s="23" t="s">
        <v>1029</v>
      </c>
      <c r="D114" s="24" t="str">
        <f t="shared" si="4"/>
        <v>Osi.TemplateAddTo("c7774285-21b3-44fc-bae0-0b893a6a3549", GetHostCharacter(), 1, 1);</v>
      </c>
    </row>
    <row r="115">
      <c r="A115" s="21" t="str">
        <f>HYPERLINK("https://bg3.wiki/wiki/Cloak_of_Cunning_Brume", "Cloak of Cunning Brume")</f>
        <v>Cloak of Cunning Brume</v>
      </c>
      <c r="B115" s="22" t="s">
        <v>17</v>
      </c>
      <c r="C115" s="23" t="s">
        <v>1030</v>
      </c>
      <c r="D115" s="24" t="str">
        <f t="shared" si="4"/>
        <v>Osi.TemplateAddTo("4b8ea38f-d0c0-4c29-a66f-bea71219f8a3", GetHostCharacter(), 1, 1);</v>
      </c>
    </row>
    <row r="116">
      <c r="A116" s="21" t="str">
        <f>HYPERLINK("https://bg3.wiki/wiki/Cloak_of_Displacement", "Cloak of Displacement")</f>
        <v>Cloak of Displacement</v>
      </c>
      <c r="B116" s="22" t="s">
        <v>24</v>
      </c>
      <c r="C116" s="23" t="s">
        <v>1031</v>
      </c>
      <c r="D116" s="24" t="str">
        <f t="shared" si="4"/>
        <v>Osi.TemplateAddTo("257aed3e-370d-40b3-b464-de10257dd82b", GetHostCharacter(), 1, 1);</v>
      </c>
    </row>
    <row r="117">
      <c r="A117" s="21" t="str">
        <f>HYPERLINK("https://bg3.wiki/wiki/Cloak_of_Elemental_Absorption", "Cloak of Elemental Absorption")</f>
        <v>Cloak of Elemental Absorption</v>
      </c>
      <c r="B117" s="22" t="s">
        <v>17</v>
      </c>
      <c r="C117" s="23" t="s">
        <v>1032</v>
      </c>
      <c r="D117" s="24" t="str">
        <f t="shared" si="4"/>
        <v>Osi.TemplateAddTo("811ab129-2fb2-49ed-af29-5042197022fe", GetHostCharacter(), 1, 1);</v>
      </c>
    </row>
    <row r="118">
      <c r="A118" s="21" t="str">
        <f>HYPERLINK("https://bg3.wiki/wiki/Cloak_of_Protection", "Cloak of Protection")</f>
        <v>Cloak of Protection</v>
      </c>
      <c r="B118" s="22" t="s">
        <v>17</v>
      </c>
      <c r="C118" s="23" t="s">
        <v>1033</v>
      </c>
      <c r="D118" s="24" t="str">
        <f t="shared" si="4"/>
        <v>Osi.TemplateAddTo("602f62dd-0fba-4438-ad68-b846f17ac538", GetHostCharacter(), 1, 1);</v>
      </c>
    </row>
    <row r="119">
      <c r="A119" s="21" t="str">
        <f>HYPERLINK("https://bg3.wiki/wiki/Cloak_of_the_Weave", "Cloak of the Weave")</f>
        <v>Cloak of the Weave</v>
      </c>
      <c r="B119" s="22" t="s">
        <v>19</v>
      </c>
      <c r="C119" s="23" t="s">
        <v>1034</v>
      </c>
      <c r="D119" s="24" t="str">
        <f t="shared" si="4"/>
        <v>Osi.TemplateAddTo("58c9bc94-b0ac-4ab9-a005-28cc445186f8", GetHostCharacter(), 1, 1);</v>
      </c>
    </row>
    <row r="120">
      <c r="A120" s="21" t="str">
        <f>HYPERLINK("https://bg3.wiki/wiki/Derivation_Cloak", "Derivation Cloak")</f>
        <v>Derivation Cloak</v>
      </c>
      <c r="B120" s="22" t="s">
        <v>24</v>
      </c>
      <c r="C120" s="23" t="s">
        <v>1035</v>
      </c>
      <c r="D120" s="24" t="str">
        <f t="shared" si="4"/>
        <v>Osi.TemplateAddTo("857d9a3c-5a40-4dfa-a634-99629095248b", GetHostCharacter(), 1, 1);</v>
      </c>
    </row>
    <row r="121">
      <c r="A121" s="21" t="str">
        <f>HYPERLINK("https://bg3.wiki/wiki/Fleshmelter_Cloak", "Fleshmelter Cloak")</f>
        <v>Fleshmelter Cloak</v>
      </c>
      <c r="B121" s="22" t="s">
        <v>17</v>
      </c>
      <c r="C121" s="23" t="s">
        <v>1036</v>
      </c>
      <c r="D121" s="24" t="str">
        <f t="shared" si="4"/>
        <v>Osi.TemplateAddTo("a927e273-3385-4a11-8941-e952d0ddfd38", GetHostCharacter(), 1, 1);</v>
      </c>
    </row>
    <row r="122">
      <c r="A122" s="21" t="str">
        <f>HYPERLINK("https://bg3.wiki/wiki/Mantle_of_the_Holy_Warrior", "Mantle of the Holy Warrior")</f>
        <v>Mantle of the Holy Warrior</v>
      </c>
      <c r="B122" s="22" t="s">
        <v>19</v>
      </c>
      <c r="C122" s="23" t="s">
        <v>1037</v>
      </c>
      <c r="D122" s="24" t="str">
        <f t="shared" si="4"/>
        <v>Osi.TemplateAddTo("f1fdb8db-e754-4ea9-b6ce-440db6b776ac", GetHostCharacter(), 1, 1);</v>
      </c>
    </row>
    <row r="123">
      <c r="A123" s="21" t="str">
        <f>HYPERLINK("https://bg3.wiki/wiki/Minsc_Cloak", "Minsc Cloak")</f>
        <v>Minsc Cloak</v>
      </c>
      <c r="B123" s="22" t="s">
        <v>11</v>
      </c>
      <c r="C123" s="23" t="s">
        <v>1038</v>
      </c>
      <c r="D123" s="24" t="str">
        <f t="shared" si="4"/>
        <v>Osi.TemplateAddTo("0bd70497-f7b4-4ea0-8be0-21a0c66f0576", GetHostCharacter(), 1, 1);</v>
      </c>
    </row>
    <row r="124">
      <c r="A124" s="21" t="str">
        <f>HYPERLINK("https://bg3.wiki/wiki/Nymph_Cloak", "Nymph Cloak")</f>
        <v>Nymph Cloak</v>
      </c>
      <c r="B124" s="22" t="s">
        <v>19</v>
      </c>
      <c r="C124" s="23" t="s">
        <v>1039</v>
      </c>
      <c r="D124" s="24" t="str">
        <f t="shared" si="4"/>
        <v>Osi.TemplateAddTo("6062db99-6719-44e2-9d01-9a99131d1ba7", GetHostCharacter(), 1, 1);</v>
      </c>
    </row>
    <row r="125">
      <c r="A125" s="21" t="str">
        <f>HYPERLINK("https://bg3.wiki/wiki/Phasmid_Cloak", "Phasmid Cloak")</f>
        <v>Phasmid Cloak</v>
      </c>
      <c r="B125" s="22" t="s">
        <v>11</v>
      </c>
      <c r="C125" s="23" t="s">
        <v>1040</v>
      </c>
      <c r="D125" s="24" t="str">
        <f t="shared" si="4"/>
        <v>Osi.TemplateAddTo("c70ae037-f787-4db6-bb16-e0bbc0fdad4a", GetHostCharacter(), 1, 1);</v>
      </c>
    </row>
    <row r="126">
      <c r="A126" s="21" t="str">
        <f>HYPERLINK("https://bg3.wiki/wiki/Reverse_Rain_Cloak", "Reverse Rain Cloak")</f>
        <v>Reverse Rain Cloak</v>
      </c>
      <c r="B126" s="22" t="s">
        <v>17</v>
      </c>
      <c r="C126" s="23" t="s">
        <v>1041</v>
      </c>
      <c r="D126" s="24" t="str">
        <f t="shared" si="4"/>
        <v>Osi.TemplateAddTo("fc9f7223-6b39-4734-b600-820fad6c4a08", GetHostCharacter(), 1, 1);</v>
      </c>
    </row>
    <row r="127">
      <c r="A127" s="21" t="str">
        <f>HYPERLINK("https://bg3.wiki/wiki/Shade-Slayer_Cloak", "Shade-Slayer Cloak")</f>
        <v>Shade-Slayer Cloak</v>
      </c>
      <c r="B127" s="22" t="s">
        <v>19</v>
      </c>
      <c r="C127" s="23" t="s">
        <v>1042</v>
      </c>
      <c r="D127" s="24" t="str">
        <f t="shared" si="4"/>
        <v>Osi.TemplateAddTo("aff94826-0ea4-42e3-8855-aa2002c01b76", GetHostCharacter(), 1, 1);</v>
      </c>
    </row>
    <row r="128">
      <c r="A128" s="21" t="str">
        <f>HYPERLINK("https://bg3.wiki/wiki/The_Deathstalker_Mantle", "The Deathstalker Mantle")</f>
        <v>The Deathstalker Mantle</v>
      </c>
      <c r="B128" s="22" t="s">
        <v>24</v>
      </c>
      <c r="C128" s="23" t="s">
        <v>1043</v>
      </c>
      <c r="D128" s="24" t="str">
        <f t="shared" si="4"/>
        <v>Osi.TemplateAddTo("dff731f7-d6da-403d-80cf-7f3d9cc7345b", GetHostCharacter(), 1, 1);</v>
      </c>
    </row>
    <row r="129">
      <c r="A129" s="21" t="str">
        <f>HYPERLINK("https://bg3.wiki/wiki/Thunderskin_Cloak", "Thunderskin Cloak")</f>
        <v>Thunderskin Cloak</v>
      </c>
      <c r="B129" s="22" t="s">
        <v>17</v>
      </c>
      <c r="C129" s="23" t="s">
        <v>1044</v>
      </c>
      <c r="D129" s="24" t="str">
        <f t="shared" si="4"/>
        <v>Osi.TemplateAddTo("c4c5150c-0931-4d9e-b7b2-36f40d56c290", GetHostCharacter(), 1, 1);</v>
      </c>
    </row>
    <row r="130">
      <c r="A130" s="21" t="str">
        <f>HYPERLINK("https://bg3.wiki/wiki/Vivacious_Cloak", "Vivacious Cloak")</f>
        <v>Vivacious Cloak</v>
      </c>
      <c r="B130" s="22" t="s">
        <v>17</v>
      </c>
      <c r="C130" s="23" t="s">
        <v>1045</v>
      </c>
      <c r="D130" s="24" t="str">
        <f t="shared" si="4"/>
        <v>Osi.TemplateAddTo("62a89e3a-ef88-457a-8219-0cefae6dec92", GetHostCharacter(), 1, 1);</v>
      </c>
    </row>
    <row r="131">
      <c r="A131" s="66" t="str">
        <f>HYPERLINK("https://bg3.wiki/wiki/Wavemother%27s_Cloak", "Wavemother's Cloak")</f>
        <v>Wavemother's Cloak</v>
      </c>
      <c r="B131" s="39" t="s">
        <v>24</v>
      </c>
      <c r="C131" s="40" t="s">
        <v>1046</v>
      </c>
      <c r="D131" s="41" t="str">
        <f t="shared" si="4"/>
        <v>Osi.TemplateAddTo("e36702e9-10e5-4964-b254-7ff0659f9bb5", GetHostCharacter(), 1, 1);</v>
      </c>
    </row>
    <row r="132">
      <c r="A132" s="27"/>
      <c r="B132" s="67"/>
      <c r="C132" s="68"/>
      <c r="D132" s="67"/>
    </row>
    <row r="133">
      <c r="A133" s="55" t="s">
        <v>1047</v>
      </c>
      <c r="B133" s="22"/>
      <c r="C133" s="23"/>
      <c r="D133" s="22"/>
    </row>
    <row r="134">
      <c r="A134" s="34" t="s">
        <v>7</v>
      </c>
      <c r="B134" s="35" t="s">
        <v>8</v>
      </c>
      <c r="C134" s="35" t="s">
        <v>9</v>
      </c>
      <c r="D134" s="36" t="s">
        <v>10</v>
      </c>
      <c r="E134" s="37"/>
      <c r="F134" s="37"/>
    </row>
    <row r="135">
      <c r="A135" s="21" t="str">
        <f>HYPERLINK("https://bg3.wiki/wiki/Armour_of_Uninhibited_Kushigo", "Armour of Uninhibited Kushigo")</f>
        <v>Armour of Uninhibited Kushigo</v>
      </c>
      <c r="B135" s="22" t="s">
        <v>17</v>
      </c>
      <c r="C135" s="23" t="s">
        <v>1048</v>
      </c>
      <c r="D135" s="24" t="str">
        <f t="shared" ref="D135:D176" si="5">"Osi.TemplateAddTo("""&amp; C135 &amp;""", GetHostCharacter(), 1, 1);"</f>
        <v>Osi.TemplateAddTo("ab7f13b8-3b3f-49be-8708-4d52b9690e45", GetHostCharacter(), 1, 1);</v>
      </c>
    </row>
    <row r="136">
      <c r="A136" s="21" t="str">
        <f>HYPERLINK("https://bg3.wiki/wiki/Barbarian_Clothes", "Barbarian Clothes")</f>
        <v>Barbarian Clothes</v>
      </c>
      <c r="B136" s="22" t="s">
        <v>11</v>
      </c>
      <c r="C136" s="23" t="s">
        <v>1049</v>
      </c>
      <c r="D136" s="24" t="str">
        <f t="shared" si="5"/>
        <v>Osi.TemplateAddTo("f6599c3f-cfcd-4721-9cc2-1df5d8ff0154", GetHostCharacter(), 1, 1);</v>
      </c>
    </row>
    <row r="137">
      <c r="A137" s="21" t="str">
        <f>HYPERLINK("https://bg3.wiki/wiki/Barbarian_Clothes", "Barbarian Clothes (Karlach)")</f>
        <v>Barbarian Clothes (Karlach)</v>
      </c>
      <c r="B137" s="22" t="s">
        <v>11</v>
      </c>
      <c r="C137" s="23" t="s">
        <v>1050</v>
      </c>
      <c r="D137" s="24" t="str">
        <f t="shared" si="5"/>
        <v>Osi.TemplateAddTo("2e3a2651-18ce-44b0-b7bd-3e2565bf666c", GetHostCharacter(), 1, 1);</v>
      </c>
    </row>
    <row r="138">
      <c r="A138" s="21" t="str">
        <f>HYPERLINK("https://bg3.wiki/wiki/Bided_Time", "Bided Time")</f>
        <v>Bided Time</v>
      </c>
      <c r="B138" s="22" t="s">
        <v>17</v>
      </c>
      <c r="C138" s="23" t="s">
        <v>1051</v>
      </c>
      <c r="D138" s="24" t="str">
        <f t="shared" si="5"/>
        <v>Osi.TemplateAddTo("9e8f0ce6-c344-47f9-bb99-202cdd2f7d73", GetHostCharacter(), 1, 1);</v>
      </c>
    </row>
    <row r="139">
      <c r="A139" s="21" t="str">
        <f>HYPERLINK("https://bg3.wiki/wiki/Bloodguzzler_Garb", "Bloodguzzler Garb")</f>
        <v>Bloodguzzler Garb</v>
      </c>
      <c r="B139" s="22" t="s">
        <v>17</v>
      </c>
      <c r="C139" s="23" t="s">
        <v>1052</v>
      </c>
      <c r="D139" s="24" t="str">
        <f t="shared" si="5"/>
        <v>Osi.TemplateAddTo("5fc2fcce-810d-47d2-824c-f6acf7b81a22", GetHostCharacter(), 1, 1);</v>
      </c>
    </row>
    <row r="140">
      <c r="A140" s="21" t="str">
        <f>HYPERLINK("https://bg3.wiki/wiki/Bonespike_Garb", "Bonespike Garb")</f>
        <v>Bonespike Garb</v>
      </c>
      <c r="B140" s="22" t="s">
        <v>19</v>
      </c>
      <c r="C140" s="23" t="s">
        <v>1053</v>
      </c>
      <c r="D140" s="24" t="str">
        <f t="shared" si="5"/>
        <v>Osi.TemplateAddTo("7cca51a5-bfa6-4c65-b2d9-ef0167762a19", GetHostCharacter(), 1, 1);</v>
      </c>
    </row>
    <row r="141">
      <c r="A141" s="21" t="str">
        <f>HYPERLINK("https://bg3.wiki/wiki/Cloth_Armour", "Cloth Armour")</f>
        <v>Cloth Armour</v>
      </c>
      <c r="B141" s="22" t="s">
        <v>17</v>
      </c>
      <c r="C141" s="23" t="s">
        <v>1054</v>
      </c>
      <c r="D141" s="24" t="str">
        <f t="shared" si="5"/>
        <v>Osi.TemplateAddTo("11efdb40-8246-4707-b40c-1e57635dfbc1", GetHostCharacter(), 1, 1);</v>
      </c>
    </row>
    <row r="142">
      <c r="A142" s="21" t="str">
        <f>HYPERLINK("https://bg3.wiki/wiki/Cloth_of_Authority", "Cloth of Authority")</f>
        <v>Cloth of Authority</v>
      </c>
      <c r="B142" s="22" t="s">
        <v>24</v>
      </c>
      <c r="C142" s="23" t="s">
        <v>1055</v>
      </c>
      <c r="D142" s="24" t="str">
        <f t="shared" si="5"/>
        <v>Osi.TemplateAddTo("8b868b78-320b-43d0-b5a8-5e52669fc11e", GetHostCharacter(), 1, 1);</v>
      </c>
    </row>
    <row r="143">
      <c r="A143" s="21" t="str">
        <f>HYPERLINK("https://bg3.wiki/wiki/Clothes", "Clothes")</f>
        <v>Clothes</v>
      </c>
      <c r="B143" s="22" t="s">
        <v>11</v>
      </c>
      <c r="C143" s="23" t="s">
        <v>1056</v>
      </c>
      <c r="D143" s="24" t="str">
        <f t="shared" si="5"/>
        <v>Osi.TemplateAddTo("686a3c43-b494-4fcd-bda7-acb399cdee5a", GetHostCharacter(), 1, 1);</v>
      </c>
    </row>
    <row r="144">
      <c r="A144" s="21" t="str">
        <f>HYPERLINK("https://bg3.wiki/wiki/Drunken_Cloth", "Drunken Cloth")</f>
        <v>Drunken Cloth</v>
      </c>
      <c r="B144" s="22" t="s">
        <v>24</v>
      </c>
      <c r="C144" s="23" t="s">
        <v>1057</v>
      </c>
      <c r="D144" s="24" t="str">
        <f t="shared" si="5"/>
        <v>Osi.TemplateAddTo("652c5cb5-b03b-4bd4-8993-3d4f07ed215c", GetHostCharacter(), 1, 1);</v>
      </c>
    </row>
    <row r="145">
      <c r="A145" s="21" t="str">
        <f>HYPERLINK("https://bg3.wiki/wiki/Enraging_Heart_Garb", "Enraging Heart Garb")</f>
        <v>Enraging Heart Garb</v>
      </c>
      <c r="B145" s="22" t="s">
        <v>24</v>
      </c>
      <c r="C145" s="23" t="s">
        <v>1058</v>
      </c>
      <c r="D145" s="24" t="str">
        <f t="shared" si="5"/>
        <v>Osi.TemplateAddTo("3a213e92-1714-4f11-9726-ca762943d2cc", GetHostCharacter(), 1, 1);</v>
      </c>
    </row>
    <row r="146">
      <c r="A146" s="21" t="str">
        <f>HYPERLINK("https://bg3.wiki/wiki/Garb_of_the_Land_and_Sky", "Garb of the Land and Sky")</f>
        <v>Garb of the Land and Sky</v>
      </c>
      <c r="B146" s="22" t="s">
        <v>24</v>
      </c>
      <c r="C146" s="23" t="s">
        <v>1059</v>
      </c>
      <c r="D146" s="24" t="str">
        <f t="shared" si="5"/>
        <v>Osi.TemplateAddTo("dbe75b4c-d23a-4a19-b630-34de519750c6", GetHostCharacter(), 1, 1);</v>
      </c>
    </row>
    <row r="147">
      <c r="A147" s="21" t="str">
        <f>HYPERLINK("https://bg3.wiki/wiki/Icebite_Robe", "Icebite Robe")</f>
        <v>Icebite Robe</v>
      </c>
      <c r="B147" s="22" t="s">
        <v>24</v>
      </c>
      <c r="C147" s="23" t="s">
        <v>1060</v>
      </c>
      <c r="D147" s="24" t="str">
        <f t="shared" si="5"/>
        <v>Osi.TemplateAddTo("50faa322-b43d-475a-91b7-25d390ac3ef6", GetHostCharacter(), 1, 1);</v>
      </c>
    </row>
    <row r="148">
      <c r="A148" s="21" t="str">
        <f>HYPERLINK("https://bg3.wiki/wiki/Infernal_Robe", "Infernal Robe")</f>
        <v>Infernal Robe</v>
      </c>
      <c r="B148" s="22" t="s">
        <v>19</v>
      </c>
      <c r="C148" s="23" t="s">
        <v>1061</v>
      </c>
      <c r="D148" s="24" t="str">
        <f t="shared" si="5"/>
        <v>Osi.TemplateAddTo("b2de6dee-50c1-45b9-b35d-7d5e8d53135f", GetHostCharacter(), 1, 1);</v>
      </c>
    </row>
    <row r="149">
      <c r="A149" s="21" t="str">
        <f>HYPERLINK("https://bg3.wiki/wiki/Monastic_Robes", "Monastic Robes")</f>
        <v>Monastic Robes</v>
      </c>
      <c r="B149" s="22" t="s">
        <v>11</v>
      </c>
      <c r="C149" s="23" t="s">
        <v>1062</v>
      </c>
      <c r="D149" s="24" t="str">
        <f t="shared" si="5"/>
        <v>Osi.TemplateAddTo("063ea449-a0ba-4749-b9b5-869b2c0ebf92", GetHostCharacter(), 1, 1);</v>
      </c>
    </row>
    <row r="150">
      <c r="A150" s="21" t="str">
        <f>HYPERLINK("https://bg3.wiki/wiki/Moon_Devotion_Robe", "Moon Devotion Robe")</f>
        <v>Moon Devotion Robe</v>
      </c>
      <c r="B150" s="22" t="s">
        <v>19</v>
      </c>
      <c r="C150" s="23" t="s">
        <v>1063</v>
      </c>
      <c r="D150" s="24" t="str">
        <f t="shared" si="5"/>
        <v>Osi.TemplateAddTo("3b498702-834f-4989-a9d1-c0f3b38fbcfc", GetHostCharacter(), 1, 1);</v>
      </c>
    </row>
    <row r="151">
      <c r="A151" s="21" t="str">
        <f>HYPERLINK("https://bg3.wiki/wiki/Mutilated_Carapace", "Mutilated Carapace")</f>
        <v>Mutilated Carapace</v>
      </c>
      <c r="B151" s="22" t="s">
        <v>24</v>
      </c>
      <c r="C151" s="23" t="s">
        <v>1064</v>
      </c>
      <c r="D151" s="24" t="str">
        <f t="shared" si="5"/>
        <v>Osi.TemplateAddTo("0629b687-0f66-4555-9612-0a787e14545c", GetHostCharacter(), 1, 1);</v>
      </c>
    </row>
    <row r="152">
      <c r="A152" s="21" t="str">
        <f>HYPERLINK("https://bg3.wiki/wiki/Obsidian_Laced_Robe", "Obsidian Laced Robe")</f>
        <v>Obsidian Laced Robe</v>
      </c>
      <c r="B152" s="22" t="s">
        <v>24</v>
      </c>
      <c r="C152" s="23" t="s">
        <v>1065</v>
      </c>
      <c r="D152" s="24" t="str">
        <f t="shared" si="5"/>
        <v>Osi.TemplateAddTo("63df7557-efe6-4e11-8a0d-10ab211ac1b8", GetHostCharacter(), 1, 1);</v>
      </c>
    </row>
    <row r="153">
      <c r="A153" s="21" t="str">
        <f>HYPERLINK("https://bg3.wiki/wiki/Poisoner%27s_Robe", "Poisoner's Robe")</f>
        <v>Poisoner's Robe</v>
      </c>
      <c r="B153" s="22" t="s">
        <v>17</v>
      </c>
      <c r="C153" s="23" t="s">
        <v>1066</v>
      </c>
      <c r="D153" s="24" t="str">
        <f t="shared" si="5"/>
        <v>Osi.TemplateAddTo("0db056b3-23d1-4873-883d-482b5d9337b5", GetHostCharacter(), 1, 1);</v>
      </c>
    </row>
    <row r="154">
      <c r="A154" s="21" t="str">
        <f>HYPERLINK("https://bg3.wiki/wiki/Potent_Robe", "Potent Robe")</f>
        <v>Potent Robe</v>
      </c>
      <c r="B154" s="22" t="s">
        <v>19</v>
      </c>
      <c r="C154" s="23" t="s">
        <v>1067</v>
      </c>
      <c r="D154" s="24" t="str">
        <f t="shared" si="5"/>
        <v>Osi.TemplateAddTo("1e64badf-4898-4169-9b02-3910518dc73d", GetHostCharacter(), 1, 1);</v>
      </c>
    </row>
    <row r="155">
      <c r="A155" s="21" t="str">
        <f>HYPERLINK("https://bg3.wiki/wiki/Robe", "Robe")</f>
        <v>Robe</v>
      </c>
      <c r="B155" s="22" t="s">
        <v>11</v>
      </c>
      <c r="C155" s="23" t="s">
        <v>1068</v>
      </c>
      <c r="D155" s="24" t="str">
        <f t="shared" si="5"/>
        <v>Osi.TemplateAddTo("69302808-57a0-4fbb-9938-137bce5421d1", GetHostCharacter(), 1, 1);</v>
      </c>
    </row>
    <row r="156">
      <c r="A156" s="21" t="str">
        <f>HYPERLINK("https://bg3.wiki/wiki/Robe_of_Exquisite_Focus", "Robe of Exquisite Focus")</f>
        <v>Robe of Exquisite Focus</v>
      </c>
      <c r="B156" s="22" t="s">
        <v>24</v>
      </c>
      <c r="C156" s="23" t="s">
        <v>1069</v>
      </c>
      <c r="D156" s="24" t="str">
        <f t="shared" si="5"/>
        <v>Osi.TemplateAddTo("1f038181-a534-434b-b447-7c4084636cc3", GetHostCharacter(), 1, 1);</v>
      </c>
    </row>
    <row r="157">
      <c r="A157" s="21" t="str">
        <f>HYPERLINK("https://bg3.wiki/wiki/Robe_of_Spell_Resistance", "Robe of Spell Resistance")</f>
        <v>Robe of Spell Resistance</v>
      </c>
      <c r="B157" s="22" t="s">
        <v>24</v>
      </c>
      <c r="C157" s="23" t="s">
        <v>1070</v>
      </c>
      <c r="D157" s="24" t="str">
        <f t="shared" si="5"/>
        <v>Osi.TemplateAddTo("c3309d8f-8cff-4418-b064-bca8bd77700c", GetHostCharacter(), 1, 1);</v>
      </c>
    </row>
    <row r="158">
      <c r="A158" s="21" t="str">
        <f>HYPERLINK("https://bg3.wiki/wiki/Robe_of_Summer", "Robe of Summer")</f>
        <v>Robe of Summer</v>
      </c>
      <c r="B158" s="22" t="s">
        <v>17</v>
      </c>
      <c r="C158" s="23" t="s">
        <v>1071</v>
      </c>
      <c r="D158" s="24" t="str">
        <f t="shared" si="5"/>
        <v>Osi.TemplateAddTo("ffed890a-69fe-4798-8c71-1bd3b72369bc", GetHostCharacter(), 1, 1);</v>
      </c>
    </row>
    <row r="159">
      <c r="A159" s="21" t="str">
        <f>HYPERLINK("https://bg3.wiki/wiki/Robe_of_Supreme_Defences", "Robe of Supreme Defences")</f>
        <v>Robe of Supreme Defences</v>
      </c>
      <c r="B159" s="22" t="s">
        <v>19</v>
      </c>
      <c r="C159" s="23" t="s">
        <v>1072</v>
      </c>
      <c r="D159" s="24" t="str">
        <f t="shared" si="5"/>
        <v>Osi.TemplateAddTo("f3e90ffd-1559-4915-8829-740f55741c92", GetHostCharacter(), 1, 1);</v>
      </c>
    </row>
    <row r="160">
      <c r="A160" s="21" t="str">
        <f>HYPERLINK("https://bg3.wiki/wiki/Robe_of_the_Weave", "Robe of the Weave")</f>
        <v>Robe of the Weave</v>
      </c>
      <c r="B160" s="22" t="s">
        <v>19</v>
      </c>
      <c r="C160" s="23" t="s">
        <v>1073</v>
      </c>
      <c r="D160" s="24" t="str">
        <f t="shared" si="5"/>
        <v>Osi.TemplateAddTo("56906f41-61a3-4c23-aa46-2295e08d9add", GetHostCharacter(), 1, 1);</v>
      </c>
    </row>
    <row r="161">
      <c r="A161" s="21" t="str">
        <f>HYPERLINK("https://bg3.wiki/wiki/Shelter_of_Athkatla", "Shelter of Athkatla")</f>
        <v>Shelter of Athkatla</v>
      </c>
      <c r="B161" s="22" t="s">
        <v>24</v>
      </c>
      <c r="C161" s="23" t="s">
        <v>1074</v>
      </c>
      <c r="D161" s="24" t="str">
        <f t="shared" si="5"/>
        <v>Osi.TemplateAddTo("09e5d397-bcf6-456a-be6e-e6b474721f1c", GetHostCharacter(), 1, 1);</v>
      </c>
    </row>
    <row r="162">
      <c r="A162" s="21" t="str">
        <f>HYPERLINK("https://bg3.wiki/wiki/Simple_Robe", "Simple Robe")</f>
        <v>Simple Robe</v>
      </c>
      <c r="B162" s="22" t="s">
        <v>11</v>
      </c>
      <c r="C162" s="23" t="s">
        <v>1075</v>
      </c>
      <c r="D162" s="24" t="str">
        <f t="shared" si="5"/>
        <v>Osi.TemplateAddTo("168b9099-19f5-44e4-b55c-e64ceb60b71f", GetHostCharacter(), 1, 1);</v>
      </c>
    </row>
    <row r="163">
      <c r="A163" s="21" t="str">
        <f>HYPERLINK("https://bg3.wiki/wiki/Simple_Robe", "Simple Robe (Gale)")</f>
        <v>Simple Robe (Gale)</v>
      </c>
      <c r="B163" s="22" t="s">
        <v>11</v>
      </c>
      <c r="C163" s="23" t="s">
        <v>1076</v>
      </c>
      <c r="D163" s="24" t="str">
        <f t="shared" si="5"/>
        <v>Osi.TemplateAddTo("9410a467-3e49-4b14-b067-ea8ad6a0d431", GetHostCharacter(), 1, 1);</v>
      </c>
    </row>
    <row r="164">
      <c r="A164" s="21" t="str">
        <f>HYPERLINK("https://bg3.wiki/wiki/Simple_Robe", "Simple Robe (Flaming Fist)")</f>
        <v>Simple Robe (Flaming Fist)</v>
      </c>
      <c r="B164" s="22" t="s">
        <v>11</v>
      </c>
      <c r="C164" s="23" t="s">
        <v>1077</v>
      </c>
      <c r="D164" s="24" t="str">
        <f t="shared" si="5"/>
        <v>Osi.TemplateAddTo("3ae83f97-63f4-4dab-848f-0b8ac5c26649", GetHostCharacter(), 1, 1);</v>
      </c>
    </row>
    <row r="165">
      <c r="A165" s="21" t="str">
        <f>HYPERLINK("https://bg3.wiki/wiki/Simple_Robe", "Simple Robe (Absolutist)")</f>
        <v>Simple Robe (Absolutist)</v>
      </c>
      <c r="B165" s="22" t="s">
        <v>11</v>
      </c>
      <c r="C165" s="23" t="s">
        <v>1078</v>
      </c>
      <c r="D165" s="24" t="str">
        <f t="shared" si="5"/>
        <v>Osi.TemplateAddTo("799fd23a-8e18-4642-8650-521dd7880c2b", GetHostCharacter(), 1, 1);</v>
      </c>
    </row>
    <row r="166">
      <c r="A166" s="21" t="str">
        <f>HYPERLINK("https://bg3.wiki/wiki/Simple_Robe", "Simple Robe (Sparkswall model)")</f>
        <v>Simple Robe (Sparkswall model)</v>
      </c>
      <c r="B166" s="22" t="s">
        <v>11</v>
      </c>
      <c r="C166" s="23" t="s">
        <v>1079</v>
      </c>
      <c r="D166" s="24" t="str">
        <f t="shared" si="5"/>
        <v>Osi.TemplateAddTo("7ec40cde-4d96-4352-b93e-cdcab6383337", GetHostCharacter(), 1, 1);</v>
      </c>
    </row>
    <row r="167">
      <c r="A167" s="21" t="str">
        <f>HYPERLINK("https://bg3.wiki/wiki/Sorcerer_Robe", "Sorcerer Robe (Wild Magic)")</f>
        <v>Sorcerer Robe (Wild Magic)</v>
      </c>
      <c r="B167" s="22" t="s">
        <v>11</v>
      </c>
      <c r="C167" s="23" t="s">
        <v>1080</v>
      </c>
      <c r="D167" s="24" t="str">
        <f t="shared" si="5"/>
        <v>Osi.TemplateAddTo("4ba55c6f-1302-4069-9e04-ff0bf2a7ede2", GetHostCharacter(), 1, 1);</v>
      </c>
    </row>
    <row r="168">
      <c r="A168" s="21" t="str">
        <f>HYPERLINK("https://bg3.wiki/wiki/Sorcerer_Robe", "Sorcerer Robe (Draconic)")</f>
        <v>Sorcerer Robe (Draconic)</v>
      </c>
      <c r="B168" s="22" t="s">
        <v>11</v>
      </c>
      <c r="C168" s="23" t="s">
        <v>1081</v>
      </c>
      <c r="D168" s="24" t="str">
        <f t="shared" si="5"/>
        <v>Osi.TemplateAddTo("5ebd4ed6-17e6-4787-86d6-bbcaad8c6565", GetHostCharacter(), 1, 1);</v>
      </c>
    </row>
    <row r="169">
      <c r="A169" s="21" t="str">
        <f>HYPERLINK("https://bg3.wiki/wiki/Sorcerer_Robe", "Sorcerer Robe (Stormy)")</f>
        <v>Sorcerer Robe (Stormy)</v>
      </c>
      <c r="B169" s="22" t="s">
        <v>11</v>
      </c>
      <c r="C169" s="23" t="s">
        <v>1082</v>
      </c>
      <c r="D169" s="24" t="str">
        <f t="shared" si="5"/>
        <v>Osi.TemplateAddTo("a81be340-0706-4201-bb4c-da52920574cf", GetHostCharacter(), 1, 1);</v>
      </c>
    </row>
    <row r="170">
      <c r="A170" s="21" t="str">
        <f>HYPERLINK("https://bg3.wiki/wiki/The_Graceful_Cloth", "The Graceful Cloth")</f>
        <v>The Graceful Cloth</v>
      </c>
      <c r="B170" s="22" t="s">
        <v>24</v>
      </c>
      <c r="C170" s="23" t="s">
        <v>1083</v>
      </c>
      <c r="D170" s="24" t="str">
        <f t="shared" si="5"/>
        <v>Osi.TemplateAddTo("b18ef236-44dc-43cd-8f6e-51ae785fae4d", GetHostCharacter(), 1, 1);</v>
      </c>
    </row>
    <row r="171">
      <c r="A171" s="21" t="str">
        <f>HYPERLINK("https://bg3.wiki/wiki/The_Mighty_Cloth", "The Mighty Cloth")</f>
        <v>The Mighty Cloth</v>
      </c>
      <c r="B171" s="22" t="s">
        <v>24</v>
      </c>
      <c r="C171" s="23" t="s">
        <v>1084</v>
      </c>
      <c r="D171" s="24" t="str">
        <f t="shared" si="5"/>
        <v>Osi.TemplateAddTo("48215bcb-b4a2-48cb-bfbe-8b601e678032", GetHostCharacter(), 1, 1);</v>
      </c>
    </row>
    <row r="172">
      <c r="A172" s="21" t="str">
        <f>HYPERLINK("https://bg3.wiki/wiki/The_Protecty_Sparkswall", "The Protecty Sparkswall")</f>
        <v>The Protecty Sparkswall</v>
      </c>
      <c r="B172" s="22" t="s">
        <v>24</v>
      </c>
      <c r="C172" s="23" t="s">
        <v>1085</v>
      </c>
      <c r="D172" s="24" t="str">
        <f t="shared" si="5"/>
        <v>Osi.TemplateAddTo("f28c3264-8cdb-46c1-800f-a47a01e49efc", GetHostCharacter(), 1, 1);</v>
      </c>
    </row>
    <row r="173">
      <c r="A173" s="21" t="str">
        <f>HYPERLINK("https://bg3.wiki/wiki/Veil_of_the_Morning", "Veil of the Morning")</f>
        <v>Veil of the Morning</v>
      </c>
      <c r="B173" s="22" t="s">
        <v>19</v>
      </c>
      <c r="C173" s="23" t="s">
        <v>1086</v>
      </c>
      <c r="D173" s="24" t="str">
        <f t="shared" si="5"/>
        <v>Osi.TemplateAddTo("fe48d485-1563-4172-952c-7eb53d9faca8", GetHostCharacter(), 1, 1);</v>
      </c>
    </row>
    <row r="174">
      <c r="A174" s="21" t="str">
        <f>HYPERLINK("https://bg3.wiki/wiki/Vest_of_Soul_Rejuvenation", "Vest of Soul Rejuvenation")</f>
        <v>Vest of Soul Rejuvenation</v>
      </c>
      <c r="B174" s="22" t="s">
        <v>19</v>
      </c>
      <c r="C174" s="23" t="s">
        <v>1087</v>
      </c>
      <c r="D174" s="24" t="str">
        <f t="shared" si="5"/>
        <v>Osi.TemplateAddTo("1c69a87e-9136-4e13-90af-c0f02d0fc81f", GetHostCharacter(), 1, 1);</v>
      </c>
    </row>
    <row r="175">
      <c r="A175" s="21" t="str">
        <f>HYPERLINK("https://bg3.wiki/wiki/Viconia%27s_Priestess_Robe", "Viconia's Priestess Robe")</f>
        <v>Viconia's Priestess Robe</v>
      </c>
      <c r="B175" s="22" t="s">
        <v>24</v>
      </c>
      <c r="C175" s="23" t="s">
        <v>1088</v>
      </c>
      <c r="D175" s="24" t="str">
        <f t="shared" si="5"/>
        <v>Osi.TemplateAddTo("bf59b289-5603-479f-8fd3-7cb258d31ba5", GetHostCharacter(), 1, 1);</v>
      </c>
    </row>
    <row r="176">
      <c r="A176" s="38" t="str">
        <f>HYPERLINK("https://bg3.wiki/wiki/Wavemother%27s_Robe", "Wavemother's Robe")</f>
        <v>Wavemother's Robe</v>
      </c>
      <c r="B176" s="39" t="s">
        <v>19</v>
      </c>
      <c r="C176" s="40" t="s">
        <v>1089</v>
      </c>
      <c r="D176" s="41" t="str">
        <f t="shared" si="5"/>
        <v>Osi.TemplateAddTo("56a26829-5103-49e7-8f5a-b88381a86903", GetHostCharacter(), 1, 1);</v>
      </c>
    </row>
    <row r="177">
      <c r="C177" s="42"/>
    </row>
    <row r="178">
      <c r="A178" s="55" t="s">
        <v>1090</v>
      </c>
      <c r="B178" s="22"/>
      <c r="C178" s="23"/>
      <c r="D178" s="22"/>
    </row>
    <row r="179">
      <c r="A179" s="34" t="s">
        <v>7</v>
      </c>
      <c r="B179" s="35" t="s">
        <v>8</v>
      </c>
      <c r="C179" s="35" t="s">
        <v>9</v>
      </c>
      <c r="D179" s="36" t="s">
        <v>10</v>
      </c>
      <c r="E179" s="43"/>
      <c r="F179" s="43"/>
    </row>
    <row r="180">
      <c r="A180" s="21" t="str">
        <f>HYPERLINK("https://bg3.wiki/wiki/Abyss_Beckoners", "Abyss Beckoners")</f>
        <v>Abyss Beckoners</v>
      </c>
      <c r="B180" s="22" t="s">
        <v>19</v>
      </c>
      <c r="C180" s="23" t="s">
        <v>1091</v>
      </c>
      <c r="D180" s="24" t="str">
        <f t="shared" ref="D180:D271" si="6">"Osi.TemplateAddTo("""&amp; C180 &amp;""", GetHostCharacter(), 1, 1);"</f>
        <v>Osi.TemplateAddTo("7ef359b6-79af-4414-99bc-f93bc5eeed77", GetHostCharacter(), 1, 1);</v>
      </c>
      <c r="E180" s="27" t="s">
        <v>1092</v>
      </c>
      <c r="F180" s="27"/>
    </row>
    <row r="181">
      <c r="A181" s="21" t="str">
        <f>HYPERLINK("https://bg3.wiki/wiki/Bhaalist_Gloves", "Bhaalist Gloves")</f>
        <v>Bhaalist Gloves</v>
      </c>
      <c r="B181" s="22" t="s">
        <v>19</v>
      </c>
      <c r="C181" s="23" t="s">
        <v>1093</v>
      </c>
      <c r="D181" s="24" t="str">
        <f t="shared" si="6"/>
        <v>Osi.TemplateAddTo("afd74d05-7c24-45ec-8033-84f365e6ea5f", GetHostCharacter(), 1, 1);</v>
      </c>
      <c r="E181" s="15"/>
      <c r="F181" s="15"/>
    </row>
    <row r="182">
      <c r="A182" s="21" t="str">
        <f>HYPERLINK("https://bg3.wiki/wiki/Blackguard%27s_Gauntlets", "Blackguard's Gauntlets")</f>
        <v>Blackguard's Gauntlets</v>
      </c>
      <c r="B182" s="22" t="s">
        <v>24</v>
      </c>
      <c r="C182" s="23" t="s">
        <v>1094</v>
      </c>
      <c r="D182" s="24" t="str">
        <f t="shared" si="6"/>
        <v>Osi.TemplateAddTo("65c65d78-1786-4a78-9a43-96c19849b6f3", GetHostCharacter(), 1, 1);</v>
      </c>
      <c r="E182" s="15"/>
      <c r="F182" s="15"/>
    </row>
    <row r="183">
      <c r="A183" s="21" t="str">
        <f>HYPERLINK("https://bg3.wiki/wiki/Bonespike_Gloves", "Bonespike Gloves")</f>
        <v>Bonespike Gloves</v>
      </c>
      <c r="B183" s="22" t="s">
        <v>19</v>
      </c>
      <c r="C183" s="23" t="s">
        <v>1095</v>
      </c>
      <c r="D183" s="24" t="str">
        <f t="shared" si="6"/>
        <v>Osi.TemplateAddTo("7e32e812-b79d-4bdb-a7c6-ee6778e893ec", GetHostCharacter(), 1, 1);</v>
      </c>
      <c r="E183" s="15"/>
      <c r="F183" s="15"/>
    </row>
    <row r="184">
      <c r="A184" s="21" t="str">
        <f>HYPERLINK("https://bg3.wiki/wiki/Bracers_of_Defence", "Bracers of Defence")</f>
        <v>Bracers of Defence</v>
      </c>
      <c r="B184" s="22" t="s">
        <v>24</v>
      </c>
      <c r="C184" s="23" t="s">
        <v>1096</v>
      </c>
      <c r="D184" s="24" t="str">
        <f t="shared" si="6"/>
        <v>Osi.TemplateAddTo("58315437-f06a-4797-a26a-6bbcff80c4fe", GetHostCharacter(), 1, 1);</v>
      </c>
      <c r="E184" s="15"/>
      <c r="F184" s="15"/>
    </row>
    <row r="185">
      <c r="A185" s="21" t="str">
        <f>HYPERLINK("https://bg3.wiki/wiki/Braindrain_Gloves", "Braindrain Gloves")</f>
        <v>Braindrain Gloves</v>
      </c>
      <c r="B185" s="22" t="s">
        <v>17</v>
      </c>
      <c r="C185" s="23" t="s">
        <v>1097</v>
      </c>
      <c r="D185" s="24" t="str">
        <f t="shared" si="6"/>
        <v>Osi.TemplateAddTo("0071fe71-ad1e-4be0-9ca3-cdfdc558b571", GetHostCharacter(), 1, 1);</v>
      </c>
      <c r="E185" s="15"/>
      <c r="F185" s="15"/>
    </row>
    <row r="186">
      <c r="A186" s="21" t="str">
        <f>HYPERLINK("https://bg3.wiki/wiki/Cerebral_Citadel_Gloves", "Cerebral Citadel Gloves")</f>
        <v>Cerebral Citadel Gloves</v>
      </c>
      <c r="B186" s="22" t="s">
        <v>24</v>
      </c>
      <c r="C186" s="23" t="s">
        <v>1098</v>
      </c>
      <c r="D186" s="24" t="str">
        <f t="shared" si="6"/>
        <v>Osi.TemplateAddTo("9e90efe2-200a-4923-a597-ddc044e704f2", GetHostCharacter(), 1, 1);</v>
      </c>
      <c r="E186" s="15"/>
      <c r="F186" s="15"/>
    </row>
    <row r="187">
      <c r="A187" s="21" t="str">
        <f>HYPERLINK("https://bg3.wiki/wiki/Cindersnap_Gloves", "Cindersnap Gloves")</f>
        <v>Cindersnap Gloves</v>
      </c>
      <c r="B187" s="22" t="s">
        <v>24</v>
      </c>
      <c r="C187" s="23" t="s">
        <v>1099</v>
      </c>
      <c r="D187" s="24" t="str">
        <f t="shared" si="6"/>
        <v>Osi.TemplateAddTo("761d719f-dade-4f61-9d23-cc378f9d2f0c", GetHostCharacter(), 1, 1);</v>
      </c>
      <c r="E187" s="15"/>
      <c r="F187" s="15"/>
    </row>
    <row r="188">
      <c r="A188" s="21" t="str">
        <f>HYPERLINK("https://bg3.wiki/wiki/Craterflesh_Gloves", "Craterflesh Gloves")</f>
        <v>Craterflesh Gloves</v>
      </c>
      <c r="B188" s="22" t="s">
        <v>24</v>
      </c>
      <c r="C188" s="23" t="s">
        <v>1100</v>
      </c>
      <c r="D188" s="24" t="str">
        <f t="shared" si="6"/>
        <v>Osi.TemplateAddTo("556c4071-7d59-4cb7-ad84-9fa0efcd535f", GetHostCharacter(), 1, 1);</v>
      </c>
      <c r="E188" s="15"/>
      <c r="F188" s="15"/>
    </row>
    <row r="189">
      <c r="A189" s="21" t="str">
        <f>HYPERLINK("https://bg3.wiki/wiki/Daredevil_Gloves", "Daredevil Gloves")</f>
        <v>Daredevil Gloves</v>
      </c>
      <c r="B189" s="22" t="s">
        <v>24</v>
      </c>
      <c r="C189" s="23" t="s">
        <v>1101</v>
      </c>
      <c r="D189" s="24" t="str">
        <f t="shared" si="6"/>
        <v>Osi.TemplateAddTo("c9f03464-488c-4f3f-aa2f-6d4c8e48a106", GetHostCharacter(), 1, 1);</v>
      </c>
      <c r="E189" s="15"/>
      <c r="F189" s="15"/>
    </row>
    <row r="190">
      <c r="A190" s="21" t="str">
        <f>HYPERLINK("https://bg3.wiki/wiki/Dark_Displacement_Gloves", "Dark Displacement Gloves")</f>
        <v>Dark Displacement Gloves</v>
      </c>
      <c r="B190" s="22" t="s">
        <v>24</v>
      </c>
      <c r="C190" s="23" t="s">
        <v>1102</v>
      </c>
      <c r="D190" s="24" t="str">
        <f t="shared" si="6"/>
        <v>Osi.TemplateAddTo("48c5fe1f-c058-4b47-9a36-024f89a5b0f7", GetHostCharacter(), 1, 1);</v>
      </c>
      <c r="E190" s="15"/>
      <c r="F190" s="15"/>
    </row>
    <row r="191">
      <c r="A191" s="21" t="str">
        <f>HYPERLINK("https://bg3.wiki/wiki/Dark_Justiciar_Gauntlets_(Rare)", "Dark Justiciar Gauntlets (Rare)")</f>
        <v>Dark Justiciar Gauntlets (Rare)</v>
      </c>
      <c r="B191" s="22" t="s">
        <v>24</v>
      </c>
      <c r="C191" s="23" t="s">
        <v>1103</v>
      </c>
      <c r="D191" s="24" t="str">
        <f t="shared" si="6"/>
        <v>Osi.TemplateAddTo("73a443e0-2056-4e4c-b8d2-d4283d8d3595", GetHostCharacter(), 1, 1);</v>
      </c>
      <c r="E191" s="15"/>
      <c r="F191" s="15"/>
    </row>
    <row r="192">
      <c r="A192" s="21" t="str">
        <f>HYPERLINK("https://bg3.wiki/wiki/Dark_Justiciar_Gauntlets_(Uncommon)", "Dark Justiciar Gauntlets (Uncommon)")</f>
        <v>Dark Justiciar Gauntlets (Uncommon)</v>
      </c>
      <c r="B192" s="22" t="s">
        <v>17</v>
      </c>
      <c r="C192" s="23" t="s">
        <v>1104</v>
      </c>
      <c r="D192" s="24" t="str">
        <f t="shared" si="6"/>
        <v>Osi.TemplateAddTo("518a925b-eb77-44e7-999d-e8c195b2261d", GetHostCharacter(), 1, 1);</v>
      </c>
      <c r="E192" s="15"/>
      <c r="F192" s="15"/>
    </row>
    <row r="193">
      <c r="A193" s="21" t="str">
        <f>HYPERLINK("https://bg3.wiki/wiki/Deadly_Channeller_Gloves", "Deadly Channeller Gloves")</f>
        <v>Deadly Channeller Gloves</v>
      </c>
      <c r="B193" s="22" t="s">
        <v>24</v>
      </c>
      <c r="C193" s="23" t="s">
        <v>1105</v>
      </c>
      <c r="D193" s="24" t="str">
        <f t="shared" si="6"/>
        <v>Osi.TemplateAddTo("e07fb5cb-4276-4ecd-8758-7bb9b172372b", GetHostCharacter(), 1, 1);</v>
      </c>
      <c r="E193" s="15"/>
      <c r="F193" s="15"/>
    </row>
    <row r="194">
      <c r="A194" s="21" t="str">
        <f>HYPERLINK("https://bg3.wiki/wiki/Drow_Leather_Gloves", "Drow Leather Gloves")</f>
        <v>Drow Leather Gloves</v>
      </c>
      <c r="B194" s="22" t="s">
        <v>11</v>
      </c>
      <c r="C194" s="23" t="s">
        <v>1106</v>
      </c>
      <c r="D194" s="24" t="str">
        <f t="shared" si="6"/>
        <v>Osi.TemplateAddTo("69e57d02-44a2-4e39-8b2a-502413761219", GetHostCharacter(), 1, 1);</v>
      </c>
      <c r="E194" s="15"/>
      <c r="F194" s="15"/>
    </row>
    <row r="195">
      <c r="A195" s="21" t="str">
        <f>HYPERLINK("https://bg3.wiki/wiki/Druidic_Bracers", "Druidic Bracers")</f>
        <v>Druidic Bracers</v>
      </c>
      <c r="B195" s="22" t="s">
        <v>11</v>
      </c>
      <c r="C195" s="23" t="s">
        <v>1107</v>
      </c>
      <c r="D195" s="24" t="str">
        <f t="shared" si="6"/>
        <v>Osi.TemplateAddTo("0d9cf507-148d-4dda-8477-fb0ea531d38b", GetHostCharacter(), 1, 1);</v>
      </c>
      <c r="E195" s="15"/>
      <c r="F195" s="15"/>
    </row>
    <row r="196">
      <c r="A196" s="21" t="str">
        <f>HYPERLINK("https://bg3.wiki/wiki/Flawed_Helldusk_Gloves", "Flawed Helldusk Gloves")</f>
        <v>Flawed Helldusk Gloves</v>
      </c>
      <c r="B196" s="22" t="s">
        <v>24</v>
      </c>
      <c r="C196" s="23" t="s">
        <v>1108</v>
      </c>
      <c r="D196" s="24" t="str">
        <f t="shared" si="6"/>
        <v>Osi.TemplateAddTo("cbc9b5dd-76e5-4e22-b0cf-26e957033a9d", GetHostCharacter(), 1, 1);</v>
      </c>
      <c r="E196" s="15"/>
      <c r="F196" s="15"/>
    </row>
    <row r="197">
      <c r="A197" s="21" t="str">
        <f>HYPERLINK("https://bg3.wiki/wiki/Fleetfingers", "Fleetfingers")</f>
        <v>Fleetfingers</v>
      </c>
      <c r="B197" s="22" t="s">
        <v>17</v>
      </c>
      <c r="C197" s="23" t="s">
        <v>1109</v>
      </c>
      <c r="D197" s="24" t="str">
        <f t="shared" si="6"/>
        <v>Osi.TemplateAddTo("df7093d7-efdd-4153-bfb6-b2a6350fb3c2", GetHostCharacter(), 1, 1);</v>
      </c>
      <c r="E197" s="15"/>
      <c r="F197" s="15"/>
    </row>
    <row r="198">
      <c r="A198" s="21" t="str">
        <f>HYPERLINK("https://bg3.wiki/wiki/Gauntlet_of_the_Tyrant", "Gauntlet of the Tyrant")</f>
        <v>Gauntlet of the Tyrant</v>
      </c>
      <c r="B198" s="22" t="s">
        <v>19</v>
      </c>
      <c r="C198" s="23" t="s">
        <v>1110</v>
      </c>
      <c r="D198" s="24" t="str">
        <f t="shared" si="6"/>
        <v>Osi.TemplateAddTo("6ea2650e-c12b-43d9-873e-f3d426d30d18", GetHostCharacter(), 1, 1);</v>
      </c>
      <c r="E198" s="15"/>
      <c r="F198" s="15"/>
    </row>
    <row r="199">
      <c r="A199" s="21" t="str">
        <f>HYPERLINK("https://bg3.wiki/wiki/Gauntlets_of_Hill_Giant_Strength", "Gauntlets of Hill Giant Strength")</f>
        <v>Gauntlets of Hill Giant Strength</v>
      </c>
      <c r="B199" s="22" t="s">
        <v>19</v>
      </c>
      <c r="C199" s="23" t="s">
        <v>1111</v>
      </c>
      <c r="D199" s="24" t="str">
        <f t="shared" si="6"/>
        <v>Osi.TemplateAddTo("9481aa27-ce9c-414c-84ff-5e974fd64d89", GetHostCharacter(), 1, 1);</v>
      </c>
      <c r="E199" s="15"/>
      <c r="F199" s="15"/>
    </row>
    <row r="200">
      <c r="A200" s="21" t="str">
        <f>HYPERLINK("https://bg3.wiki/wiki/Gauntlets_of_Surging_Accuracy", "Gauntlets of Surging Accuracy")</f>
        <v>Gauntlets of Surging Accuracy</v>
      </c>
      <c r="B200" s="22" t="s">
        <v>24</v>
      </c>
      <c r="C200" s="23" t="s">
        <v>1112</v>
      </c>
      <c r="D200" s="24" t="str">
        <f t="shared" si="6"/>
        <v>Osi.TemplateAddTo("7529f6ba-6fff-4224-bdd9-e10538a96528", GetHostCharacter(), 1, 1);</v>
      </c>
      <c r="E200" s="15"/>
      <c r="F200" s="15"/>
    </row>
    <row r="201">
      <c r="A201" s="21" t="str">
        <f>HYPERLINK("https://bg3.wiki/wiki/Gauntlets_of_the_Warmaster", "Gauntlets of the Warmaster")</f>
        <v>Gauntlets of the Warmaster</v>
      </c>
      <c r="B201" s="22" t="s">
        <v>19</v>
      </c>
      <c r="C201" s="23" t="s">
        <v>1113</v>
      </c>
      <c r="D201" s="24" t="str">
        <f t="shared" si="6"/>
        <v>Osi.TemplateAddTo("85865321-5feb-447f-92e7-5c04359fe3af", GetHostCharacter(), 1, 1);</v>
      </c>
      <c r="E201" s="15"/>
      <c r="F201" s="15"/>
    </row>
    <row r="202">
      <c r="A202" s="21" t="str">
        <f>HYPERLINK("https://bg3.wiki/wiki/Gemini_Gloves", "Gemini Gloves")</f>
        <v>Gemini Gloves</v>
      </c>
      <c r="B202" s="22" t="s">
        <v>19</v>
      </c>
      <c r="C202" s="23" t="s">
        <v>1114</v>
      </c>
      <c r="D202" s="24" t="str">
        <f t="shared" si="6"/>
        <v>Osi.TemplateAddTo("fc4fd633-bc45-4ff4-90e6-2e454f7ceaa0", GetHostCharacter(), 1, 1);</v>
      </c>
      <c r="E202" s="15"/>
      <c r="F202" s="15"/>
    </row>
    <row r="203">
      <c r="A203" s="21" t="str">
        <f>HYPERLINK("https://bg3.wiki/wiki/Gloves_(Equipment)", "Gloves (Basic Fingerless)")</f>
        <v>Gloves (Basic Fingerless)</v>
      </c>
      <c r="B203" s="22" t="s">
        <v>11</v>
      </c>
      <c r="C203" s="23" t="s">
        <v>1115</v>
      </c>
      <c r="D203" s="24" t="str">
        <f t="shared" si="6"/>
        <v>Osi.TemplateAddTo("49214667-75eb-4880-b210-97e9056d84ce", GetHostCharacter(), 1, 1);</v>
      </c>
      <c r="E203" s="15"/>
      <c r="F203" s="15"/>
    </row>
    <row r="204">
      <c r="A204" s="21" t="str">
        <f>HYPERLINK("https://bg3.wiki/wiki/Gloves_(Equipment)", "Gloves (Basic W/ Bones)")</f>
        <v>Gloves (Basic W/ Bones)</v>
      </c>
      <c r="B204" s="22" t="s">
        <v>11</v>
      </c>
      <c r="C204" s="23" t="s">
        <v>1116</v>
      </c>
      <c r="D204" s="24" t="str">
        <f t="shared" si="6"/>
        <v>Osi.TemplateAddTo("ff2db301-84a9-4449-a85e-babe48f10c02", GetHostCharacter(), 1, 1);</v>
      </c>
      <c r="E204" s="15"/>
      <c r="F204" s="15"/>
    </row>
    <row r="205">
      <c r="A205" s="21" t="str">
        <f>HYPERLINK("https://bg3.wiki/wiki/Gloves_of_Archery", "Gloves of Archery")</f>
        <v>Gloves of Archery</v>
      </c>
      <c r="B205" s="22" t="s">
        <v>17</v>
      </c>
      <c r="C205" s="23" t="s">
        <v>1117</v>
      </c>
      <c r="D205" s="24" t="str">
        <f t="shared" si="6"/>
        <v>Osi.TemplateAddTo("6d84b9e5-e9e4-477c-8d5b-a3f232a4415a", GetHostCharacter(), 1, 1);</v>
      </c>
      <c r="E205" s="15"/>
      <c r="F205" s="15"/>
    </row>
    <row r="206">
      <c r="A206" s="21" t="str">
        <f>HYPERLINK("https://bg3.wiki/wiki/Gloves_of_Baneful_Striking", "Gloves of Baneful Striking")</f>
        <v>Gloves of Baneful Striking</v>
      </c>
      <c r="B206" s="22" t="s">
        <v>17</v>
      </c>
      <c r="C206" s="23" t="s">
        <v>1118</v>
      </c>
      <c r="D206" s="24" t="str">
        <f t="shared" si="6"/>
        <v>Osi.TemplateAddTo("9e259ea7-291f-41bd-b275-cc49edba3bb6", GetHostCharacter(), 1, 1);</v>
      </c>
      <c r="E206" s="15"/>
      <c r="F206" s="15"/>
    </row>
    <row r="207">
      <c r="A207" s="21" t="str">
        <f>HYPERLINK("https://bg3.wiki/wiki/Gloves_of_Battlemage%27s_Power", "Gloves of Battlemage's Power")</f>
        <v>Gloves of Battlemage's Power</v>
      </c>
      <c r="B207" s="22" t="s">
        <v>24</v>
      </c>
      <c r="C207" s="23" t="s">
        <v>1119</v>
      </c>
      <c r="D207" s="24" t="str">
        <f t="shared" si="6"/>
        <v>Osi.TemplateAddTo("15381544-e616-46e6-a881-0af793971863", GetHostCharacter(), 1, 1);</v>
      </c>
      <c r="E207" s="15"/>
      <c r="F207" s="15"/>
    </row>
    <row r="208">
      <c r="A208" s="21" t="str">
        <f>HYPERLINK("https://bg3.wiki/wiki/Gloves_of_Belligerent_Skies", "Gloves of Belligerent Skies")</f>
        <v>Gloves of Belligerent Skies</v>
      </c>
      <c r="B208" s="22" t="s">
        <v>17</v>
      </c>
      <c r="C208" s="23" t="s">
        <v>1120</v>
      </c>
      <c r="D208" s="24" t="str">
        <f t="shared" si="6"/>
        <v>Osi.TemplateAddTo("c987b6e4-adcb-47d6-8dfd-6d4d2f15a381", GetHostCharacter(), 1, 1);</v>
      </c>
      <c r="E208" s="15"/>
      <c r="F208" s="15"/>
    </row>
    <row r="209">
      <c r="A209" s="21" t="str">
        <f>HYPERLINK("https://bg3.wiki/wiki/Gloves_of_Cinder_and_Sizzle", "Gloves of Cinder and Sizzle")</f>
        <v>Gloves of Cinder and Sizzle</v>
      </c>
      <c r="B209" s="22" t="s">
        <v>24</v>
      </c>
      <c r="C209" s="23" t="s">
        <v>1121</v>
      </c>
      <c r="D209" s="24" t="str">
        <f t="shared" si="6"/>
        <v>Osi.TemplateAddTo("663e4a1a-5f0d-4e2e-8dcf-0fb515fc2e0f", GetHostCharacter(), 1, 1);</v>
      </c>
      <c r="E209" s="15"/>
      <c r="F209" s="15"/>
    </row>
    <row r="210">
      <c r="A210" s="21" t="str">
        <f>HYPERLINK("https://bg3.wiki/wiki/Gloves_of_Crushing", "Gloves of Crushing")</f>
        <v>Gloves of Crushing</v>
      </c>
      <c r="B210" s="22" t="s">
        <v>24</v>
      </c>
      <c r="C210" s="23" t="s">
        <v>1122</v>
      </c>
      <c r="D210" s="24" t="str">
        <f t="shared" si="6"/>
        <v>Osi.TemplateAddTo("a8d15838-5721-4a3f-bfbd-f51c58c2fde3", GetHostCharacter(), 1, 1);</v>
      </c>
      <c r="E210" s="15"/>
      <c r="F210" s="15"/>
    </row>
    <row r="211">
      <c r="A211" s="21" t="str">
        <f>HYPERLINK("https://bg3.wiki/wiki/Gloves_of_Dexterity", "Gloves of Dexterity")</f>
        <v>Gloves of Dexterity</v>
      </c>
      <c r="B211" s="22" t="s">
        <v>19</v>
      </c>
      <c r="C211" s="23" t="s">
        <v>1123</v>
      </c>
      <c r="D211" s="24" t="str">
        <f t="shared" si="6"/>
        <v>Osi.TemplateAddTo("f3775096-0055-4d35-8cc0-f5765284bc7d", GetHostCharacter(), 1, 1);</v>
      </c>
      <c r="E211" s="15"/>
      <c r="F211" s="15"/>
    </row>
    <row r="212">
      <c r="A212" s="21" t="str">
        <f>HYPERLINK("https://bg3.wiki/wiki/Gloves_of_Fire_Resistance", "Gloves of Fire Resistance")</f>
        <v>Gloves of Fire Resistance</v>
      </c>
      <c r="B212" s="22" t="s">
        <v>17</v>
      </c>
      <c r="C212" s="23" t="s">
        <v>1124</v>
      </c>
      <c r="D212" s="24" t="str">
        <f t="shared" si="6"/>
        <v>Osi.TemplateAddTo("9c888908-04d0-4047-bf9d-02d3cecb08d6", GetHostCharacter(), 1, 1);</v>
      </c>
      <c r="E212" s="15"/>
      <c r="F212" s="15"/>
    </row>
    <row r="213">
      <c r="A213" s="21" t="str">
        <f>HYPERLINK("https://bg3.wiki/wiki/Gloves_of_Flint_and_Steel", "Gloves of Flint and Steel")</f>
        <v>Gloves of Flint and Steel</v>
      </c>
      <c r="B213" s="22" t="s">
        <v>17</v>
      </c>
      <c r="C213" s="23" t="s">
        <v>1125</v>
      </c>
      <c r="D213" s="24" t="str">
        <f t="shared" si="6"/>
        <v>Osi.TemplateAddTo("88225372-376e-42fb-a028-65ac3d0dd864", GetHostCharacter(), 1, 1);</v>
      </c>
      <c r="E213" s="15"/>
      <c r="F213" s="15"/>
    </row>
    <row r="214">
      <c r="A214" s="21" t="str">
        <f>HYPERLINK("https://bg3.wiki/wiki/Gloves_of_Hail_of_Thorns", "Gloves of Hail of Thorns")</f>
        <v>Gloves of Hail of Thorns</v>
      </c>
      <c r="B214" s="22" t="s">
        <v>17</v>
      </c>
      <c r="C214" s="23" t="s">
        <v>1126</v>
      </c>
      <c r="D214" s="24" t="str">
        <f t="shared" si="6"/>
        <v>Osi.TemplateAddTo("69271c04-ab3d-4efc-ab3c-4ca6c5ec7db3", GetHostCharacter(), 1, 1);</v>
      </c>
      <c r="E214" s="15"/>
      <c r="F214" s="15"/>
    </row>
    <row r="215">
      <c r="A215" s="21" t="str">
        <f>HYPERLINK("https://bg3.wiki/wiki/Gloves_of_Heroism", "Gloves of Heroism")</f>
        <v>Gloves of Heroism</v>
      </c>
      <c r="B215" s="22" t="s">
        <v>17</v>
      </c>
      <c r="C215" s="23" t="s">
        <v>1127</v>
      </c>
      <c r="D215" s="24" t="str">
        <f t="shared" si="6"/>
        <v>Osi.TemplateAddTo("110144ac-db1d-4db8-a907-92f642086d0d", GetHostCharacter(), 1, 1);</v>
      </c>
      <c r="E215" s="15"/>
      <c r="F215" s="15"/>
    </row>
    <row r="216">
      <c r="A216" s="21" t="str">
        <f>HYPERLINK("https://bg3.wiki/wiki/Gloves_of_Missile_Snaring", "Gloves of Missile Snaring")</f>
        <v>Gloves of Missile Snaring</v>
      </c>
      <c r="B216" s="22" t="s">
        <v>24</v>
      </c>
      <c r="C216" s="23" t="s">
        <v>1128</v>
      </c>
      <c r="D216" s="24" t="str">
        <f t="shared" si="6"/>
        <v>Osi.TemplateAddTo("687cc55b-77a3-4893-a7d7-cfbafdc2737c", GetHostCharacter(), 1, 1);</v>
      </c>
      <c r="E216" s="15"/>
      <c r="F216" s="15"/>
    </row>
    <row r="217">
      <c r="A217" s="21" t="str">
        <f>HYPERLINK("https://bg3.wiki/wiki/Gloves_of_Power", "Gloves of Power")</f>
        <v>Gloves of Power</v>
      </c>
      <c r="B217" s="22" t="s">
        <v>17</v>
      </c>
      <c r="C217" s="23" t="s">
        <v>1129</v>
      </c>
      <c r="D217" s="24" t="str">
        <f t="shared" si="6"/>
        <v>Osi.TemplateAddTo("d22e2679-aff0-4244-9ed2-7aac981b82cf", GetHostCharacter(), 1, 1);</v>
      </c>
      <c r="E217" s="15"/>
      <c r="F217" s="15"/>
    </row>
    <row r="218">
      <c r="A218" s="21" t="str">
        <f>HYPERLINK("https://bg3.wiki/wiki/Gloves_of_Soul_Catching", "Gloves of Soul Catching")</f>
        <v>Gloves of Soul Catching</v>
      </c>
      <c r="B218" s="22" t="s">
        <v>66</v>
      </c>
      <c r="C218" s="23" t="s">
        <v>1130</v>
      </c>
      <c r="D218" s="24" t="str">
        <f t="shared" si="6"/>
        <v>Osi.TemplateAddTo("c1342b19-c898-451c-b2e8-6eb6666fe1c2", GetHostCharacter(), 1, 1);</v>
      </c>
      <c r="E218" s="15"/>
      <c r="F218" s="15"/>
    </row>
    <row r="219">
      <c r="A219" s="21" t="str">
        <f>HYPERLINK("https://bg3.wiki/wiki/Gloves_of_The_Duellist", "Gloves of The Duellist")</f>
        <v>Gloves of The Duellist</v>
      </c>
      <c r="B219" s="22" t="s">
        <v>24</v>
      </c>
      <c r="C219" s="23" t="s">
        <v>1131</v>
      </c>
      <c r="D219" s="24" t="str">
        <f t="shared" si="6"/>
        <v>Osi.TemplateAddTo("97e362b2-e2aa-4703-9840-6824d7068334", GetHostCharacter(), 1, 1);</v>
      </c>
      <c r="E219" s="15"/>
      <c r="F219" s="15"/>
    </row>
    <row r="220">
      <c r="A220" s="21" t="str">
        <f>HYPERLINK("https://bg3.wiki/wiki/Gloves_of_Thievery", "Gloves of Thievery")</f>
        <v>Gloves of Thievery</v>
      </c>
      <c r="B220" s="22" t="s">
        <v>17</v>
      </c>
      <c r="C220" s="23" t="s">
        <v>1132</v>
      </c>
      <c r="D220" s="24" t="str">
        <f t="shared" si="6"/>
        <v>Osi.TemplateAddTo("5a2d9181-8179-46cc-a5f8-d5bae909d8e0", GetHostCharacter(), 1, 1);</v>
      </c>
      <c r="E220" s="15"/>
      <c r="F220" s="15"/>
    </row>
    <row r="221">
      <c r="A221" s="21" t="str">
        <f>HYPERLINK("https://bg3.wiki/wiki/Gloves_of_Uninhibited_Kushigo", "Gloves of Uninhibited Kushigo")</f>
        <v>Gloves of Uninhibited Kushigo</v>
      </c>
      <c r="B221" s="22" t="s">
        <v>24</v>
      </c>
      <c r="C221" s="23" t="s">
        <v>1133</v>
      </c>
      <c r="D221" s="24" t="str">
        <f t="shared" si="6"/>
        <v>Osi.TemplateAddTo("3e088120-9a4f-4e94-9d1e-23fae8616cd4", GetHostCharacter(), 1, 1);</v>
      </c>
      <c r="E221" s="15"/>
      <c r="F221" s="15"/>
    </row>
    <row r="222">
      <c r="A222" s="21" t="str">
        <f>HYPERLINK("https://bg3.wiki/wiki/Gloves_of_the_Automaton", "Gloves of the Automaton")</f>
        <v>Gloves of the Automaton</v>
      </c>
      <c r="B222" s="22" t="s">
        <v>24</v>
      </c>
      <c r="C222" s="23" t="s">
        <v>1134</v>
      </c>
      <c r="D222" s="24" t="str">
        <f t="shared" si="6"/>
        <v>Osi.TemplateAddTo("d10ec0b7-5868-4563-9a34-e1ab72d50269", GetHostCharacter(), 1, 1);</v>
      </c>
      <c r="E222" s="15"/>
      <c r="F222" s="15"/>
    </row>
    <row r="223">
      <c r="A223" s="21" t="str">
        <f>HYPERLINK("https://bg3.wiki/wiki/Gloves_of_the_Balanced_Hands", "Gloves of the Balanced Hands")</f>
        <v>Gloves of the Balanced Hands</v>
      </c>
      <c r="B223" s="22" t="s">
        <v>24</v>
      </c>
      <c r="C223" s="23" t="s">
        <v>1135</v>
      </c>
      <c r="D223" s="24" t="str">
        <f t="shared" si="6"/>
        <v>Osi.TemplateAddTo("7ffce863-d530-4492-a455-a8f11c53d6c3", GetHostCharacter(), 1, 1);</v>
      </c>
      <c r="E223" s="15"/>
      <c r="F223" s="15"/>
    </row>
    <row r="224">
      <c r="A224" s="21" t="str">
        <f>HYPERLINK("https://bg3.wiki/wiki/Gloves_of_the_Growling_Underdog", "Gloves of the Growling Underdog")</f>
        <v>Gloves of the Growling Underdog</v>
      </c>
      <c r="B224" s="22" t="s">
        <v>17</v>
      </c>
      <c r="C224" s="23" t="s">
        <v>1136</v>
      </c>
      <c r="D224" s="24" t="str">
        <f t="shared" si="6"/>
        <v>Osi.TemplateAddTo("1001f28b-5ea3-4257-864c-f60c812aecf0", GetHostCharacter(), 1, 1);</v>
      </c>
      <c r="E224" s="15"/>
      <c r="F224" s="15"/>
    </row>
    <row r="225">
      <c r="A225" s="21" t="str">
        <f>HYPERLINK("https://bg3.wiki/wiki/Helldusk_Gloves", "Helldusk Gloves")</f>
        <v>Helldusk Gloves</v>
      </c>
      <c r="B225" s="22" t="s">
        <v>19</v>
      </c>
      <c r="C225" s="23" t="s">
        <v>1137</v>
      </c>
      <c r="D225" s="24" t="str">
        <f t="shared" si="6"/>
        <v>Osi.TemplateAddTo("ad219a90-ab3d-4821-8206-011293f5837b", GetHostCharacter(), 1, 1);</v>
      </c>
      <c r="E225" s="15"/>
      <c r="F225" s="15"/>
    </row>
    <row r="226">
      <c r="A226" s="21" t="str">
        <f>HYPERLINK("https://bg3.wiki/wiki/Hellrider%27s_Pride", "Hellrider's Pride")</f>
        <v>Hellrider's Pride</v>
      </c>
      <c r="B226" s="22" t="s">
        <v>17</v>
      </c>
      <c r="C226" s="23" t="s">
        <v>1138</v>
      </c>
      <c r="D226" s="24" t="str">
        <f t="shared" si="6"/>
        <v>Osi.TemplateAddTo("db4d4560-dc72-4d64-b552-5caf442c0927", GetHostCharacter(), 1, 1);</v>
      </c>
      <c r="E226" s="15"/>
      <c r="F226" s="15"/>
    </row>
    <row r="227">
      <c r="A227" s="21" t="str">
        <f>HYPERLINK("https://bg3.wiki/wiki/Herbalist%27s_Gloves", "Herbalist's Gloves")</f>
        <v>Herbalist's Gloves</v>
      </c>
      <c r="B227" s="22" t="s">
        <v>17</v>
      </c>
      <c r="C227" s="23" t="s">
        <v>1139</v>
      </c>
      <c r="D227" s="24" t="str">
        <f t="shared" si="6"/>
        <v>Osi.TemplateAddTo("f3ff7066-f407-41c7-b936-0aff066c08e4", GetHostCharacter(), 1, 1);</v>
      </c>
      <c r="E227" s="15"/>
      <c r="F227" s="15"/>
    </row>
    <row r="228">
      <c r="A228" s="21" t="str">
        <f>HYPERLINK("https://bg3.wiki/wiki/Hr%27a%27cknir_Bracers", "Hr'a'cknir Bracers")</f>
        <v>Hr'a'cknir Bracers</v>
      </c>
      <c r="B228" s="22" t="s">
        <v>19</v>
      </c>
      <c r="C228" s="23" t="s">
        <v>1140</v>
      </c>
      <c r="D228" s="24" t="str">
        <f t="shared" si="6"/>
        <v>Osi.TemplateAddTo("4be77d67-2310-44fc-bdaf-81cffb411467", GetHostCharacter(), 1, 1);</v>
      </c>
      <c r="E228" s="15"/>
      <c r="F228" s="15"/>
    </row>
    <row r="229">
      <c r="A229" s="21" t="str">
        <f>HYPERLINK("https://bg3.wiki/wiki/Ichorous_Gloves", "Ichorous Gloves")</f>
        <v>Ichorous Gloves</v>
      </c>
      <c r="B229" s="22" t="s">
        <v>17</v>
      </c>
      <c r="C229" s="23" t="s">
        <v>1141</v>
      </c>
      <c r="D229" s="24" t="str">
        <f t="shared" si="6"/>
        <v>Osi.TemplateAddTo("ca7a96f9-594c-4ed3-afd3-aed0094c383c", GetHostCharacter(), 1, 1);</v>
      </c>
      <c r="E229" s="15"/>
      <c r="F229" s="15"/>
    </row>
    <row r="230">
      <c r="A230" s="21" t="str">
        <f>HYPERLINK("https://bg3.wiki/wiki/Jhannyl%27s_Gloves", "Jhannyl's Gloves")</f>
        <v>Jhannyl's Gloves</v>
      </c>
      <c r="B230" s="22" t="s">
        <v>24</v>
      </c>
      <c r="C230" s="23" t="s">
        <v>1142</v>
      </c>
      <c r="D230" s="24" t="str">
        <f t="shared" si="6"/>
        <v>Osi.TemplateAddTo("79741a3c-730a-4e9d-a3fe-ec39df64af0f", GetHostCharacter(), 1, 1);</v>
      </c>
      <c r="E230" s="15"/>
      <c r="F230" s="15"/>
    </row>
    <row r="231">
      <c r="A231" s="21" t="str">
        <f>HYPERLINK("https://bg3.wiki/wiki/Knock_Knuckle_Gloves", "Knock Knuckle Gloves")</f>
        <v>Knock Knuckle Gloves</v>
      </c>
      <c r="B231" s="22" t="s">
        <v>17</v>
      </c>
      <c r="C231" s="23" t="s">
        <v>1143</v>
      </c>
      <c r="D231" s="24" t="str">
        <f t="shared" si="6"/>
        <v>Osi.TemplateAddTo("31809893-c293-4c89-b6b6-437a3c49b604", GetHostCharacter(), 1, 1);</v>
      </c>
      <c r="E231" s="15"/>
      <c r="F231" s="15"/>
    </row>
    <row r="232">
      <c r="A232" s="21" t="str">
        <f>HYPERLINK("https://bg3.wiki/wiki/Leather_Bracers", "Leather Bracers")</f>
        <v>Leather Bracers</v>
      </c>
      <c r="B232" s="22" t="s">
        <v>11</v>
      </c>
      <c r="C232" s="23" t="s">
        <v>1144</v>
      </c>
      <c r="D232" s="24" t="str">
        <f t="shared" si="6"/>
        <v>Osi.TemplateAddTo("49bc2435-0566-4244-9e47-b025cb338e31", GetHostCharacter(), 1, 1);</v>
      </c>
      <c r="E232" s="15"/>
      <c r="F232" s="15"/>
    </row>
    <row r="233">
      <c r="A233" s="21" t="str">
        <f>HYPERLINK("https://bg3.wiki/wiki/Leather_Gloves", "Leather Gloves (Default)")</f>
        <v>Leather Gloves (Default)</v>
      </c>
      <c r="B233" s="22" t="s">
        <v>11</v>
      </c>
      <c r="C233" s="23" t="s">
        <v>1145</v>
      </c>
      <c r="D233" s="24" t="str">
        <f t="shared" si="6"/>
        <v>Osi.TemplateAddTo("8e34fd76-8b6d-48a5-89e3-942289bec31e", GetHostCharacter(), 1, 1);</v>
      </c>
      <c r="E233" s="15"/>
      <c r="F233" s="15"/>
    </row>
    <row r="234">
      <c r="A234" s="21" t="str">
        <f>HYPERLINK("https://bg3.wiki/wiki/Leather_Gloves", "Leather Gloves (Jaheira)")</f>
        <v>Leather Gloves (Jaheira)</v>
      </c>
      <c r="B234" s="22" t="s">
        <v>11</v>
      </c>
      <c r="C234" s="23" t="s">
        <v>1146</v>
      </c>
      <c r="D234" s="24" t="str">
        <f t="shared" si="6"/>
        <v>Osi.TemplateAddTo("5d3b434b-4448-47c3-8dc3-92e1ca946e29", GetHostCharacter(), 1, 1);</v>
      </c>
      <c r="E234" s="15"/>
      <c r="F234" s="15"/>
    </row>
    <row r="235">
      <c r="A235" s="21" t="str">
        <f>HYPERLINK("https://bg3.wiki/wiki/Leather_Gloves", "Leather Gloves (Karlach)")</f>
        <v>Leather Gloves (Karlach)</v>
      </c>
      <c r="B235" s="22" t="s">
        <v>11</v>
      </c>
      <c r="C235" s="23" t="s">
        <v>1147</v>
      </c>
      <c r="D235" s="24" t="str">
        <f t="shared" si="6"/>
        <v>Osi.TemplateAddTo("8ee5bdde-c22f-452f-add9-2d82ec3dc390", GetHostCharacter(), 1, 1);</v>
      </c>
      <c r="E235" s="15"/>
      <c r="F235" s="15"/>
    </row>
    <row r="236">
      <c r="A236" s="21" t="str">
        <f>HYPERLINK("https://bg3.wiki/wiki/Leather_Gloves", "Leather Gloves (Smooth)")</f>
        <v>Leather Gloves (Smooth)</v>
      </c>
      <c r="B236" s="22" t="s">
        <v>11</v>
      </c>
      <c r="C236" s="23" t="s">
        <v>1148</v>
      </c>
      <c r="D236" s="24" t="str">
        <f t="shared" si="6"/>
        <v>Osi.TemplateAddTo("1dc6610c-0dbf-4b5a-b671-2af3a7c80a8e", GetHostCharacter(), 1, 1);</v>
      </c>
      <c r="E236" s="15"/>
      <c r="F236" s="15"/>
    </row>
    <row r="237">
      <c r="A237" s="21" t="str">
        <f>HYPERLINK("https://bg3.wiki/wiki/Leather_Gloves", "Leather Gloves (Riveted)")</f>
        <v>Leather Gloves (Riveted)</v>
      </c>
      <c r="B237" s="22" t="s">
        <v>11</v>
      </c>
      <c r="C237" s="23" t="s">
        <v>1149</v>
      </c>
      <c r="D237" s="24" t="str">
        <f t="shared" si="6"/>
        <v>Osi.TemplateAddTo("992d9eb6-0dda-46b8-95cc-f71c4bced905", GetHostCharacter(), 1, 1);</v>
      </c>
      <c r="E237" s="15"/>
      <c r="F237" s="15"/>
    </row>
    <row r="238">
      <c r="A238" s="21" t="str">
        <f>HYPERLINK("https://bg3.wiki/wiki/Leather_Gloves", "Leather Gloves (Some insignia)")</f>
        <v>Leather Gloves (Some insignia)</v>
      </c>
      <c r="B238" s="22" t="s">
        <v>11</v>
      </c>
      <c r="C238" s="23" t="s">
        <v>1150</v>
      </c>
      <c r="D238" s="24" t="str">
        <f t="shared" si="6"/>
        <v>Osi.TemplateAddTo("abdcc7a4-db92-4eca-8afc-6b180ce861aa", GetHostCharacter(), 1, 1);</v>
      </c>
      <c r="E238" s="15"/>
      <c r="F238" s="15"/>
    </row>
    <row r="239">
      <c r="A239" s="21" t="str">
        <f>HYPERLINK("https://bg3.wiki/wiki/Leather_Gloves", "Leather Gloves (Overly decorated)")</f>
        <v>Leather Gloves (Overly decorated)</v>
      </c>
      <c r="B239" s="22" t="s">
        <v>11</v>
      </c>
      <c r="C239" s="23" t="s">
        <v>1151</v>
      </c>
      <c r="D239" s="24" t="str">
        <f t="shared" si="6"/>
        <v>Osi.TemplateAddTo("615092b5-91d5-4144-8e0f-d0fdd4d3c862", GetHostCharacter(), 1, 1);</v>
      </c>
      <c r="E239" s="15"/>
      <c r="F239" s="15"/>
    </row>
    <row r="240">
      <c r="A240" s="21" t="str">
        <f>HYPERLINK("https://bg3.wiki/wiki/Legacy_of_the_Masters", "Legacy of the Masters")</f>
        <v>Legacy of the Masters</v>
      </c>
      <c r="B240" s="22" t="s">
        <v>19</v>
      </c>
      <c r="C240" s="23" t="s">
        <v>1152</v>
      </c>
      <c r="D240" s="24" t="str">
        <f t="shared" si="6"/>
        <v>Osi.TemplateAddTo("c9ea7679-d30a-481f-b45b-c0427d569ec7", GetHostCharacter(), 1, 1);</v>
      </c>
      <c r="E240" s="15"/>
      <c r="F240" s="15"/>
    </row>
    <row r="241">
      <c r="A241" s="21" t="str">
        <f>HYPERLINK("https://bg3.wiki/wiki/Luminous_Gloves", "Luminous Gloves")</f>
        <v>Luminous Gloves</v>
      </c>
      <c r="B241" s="22" t="s">
        <v>17</v>
      </c>
      <c r="C241" s="23" t="s">
        <v>1153</v>
      </c>
      <c r="D241" s="24" t="str">
        <f t="shared" si="6"/>
        <v>Osi.TemplateAddTo("e8a72355-b81f-484e-bc7d-945ec81c04a3", GetHostCharacter(), 1, 1);</v>
      </c>
      <c r="E241" s="15"/>
      <c r="F241" s="15"/>
    </row>
    <row r="242">
      <c r="A242" s="21" t="str">
        <f>HYPERLINK("https://bg3.wiki/wiki/Martial_Exertion_Gloves", "Martial Exertion Gloves")</f>
        <v>Martial Exertion Gloves</v>
      </c>
      <c r="B242" s="22" t="s">
        <v>1154</v>
      </c>
      <c r="C242" s="23" t="s">
        <v>1155</v>
      </c>
      <c r="D242" s="24" t="str">
        <f t="shared" si="6"/>
        <v>Osi.TemplateAddTo("2c6da257-8ca8-4e7c-847d-3e03bb32f260", GetHostCharacter(), 1, 1);</v>
      </c>
      <c r="E242" s="15"/>
      <c r="F242" s="15"/>
    </row>
    <row r="243">
      <c r="A243" s="21" t="str">
        <f>HYPERLINK("https://bg3.wiki/wiki/Metallic_Gloves", "Metallic Gloves")</f>
        <v>Metallic Gloves</v>
      </c>
      <c r="B243" s="22" t="s">
        <v>11</v>
      </c>
      <c r="C243" s="23" t="s">
        <v>1156</v>
      </c>
      <c r="D243" s="24" t="str">
        <f t="shared" si="6"/>
        <v>Osi.TemplateAddTo("1dcdf52e-b596-4e3a-8d1c-8fff17ed8c2c", GetHostCharacter(), 1, 1);</v>
      </c>
      <c r="E243" s="15"/>
      <c r="F243" s="15"/>
    </row>
    <row r="244">
      <c r="A244" s="21" t="str">
        <f>HYPERLINK("https://bg3.wiki/wiki/Netherstone-Studded_Gauntlet", "Netherstone-Studded Gauntlet")</f>
        <v>Netherstone-Studded Gauntlet</v>
      </c>
      <c r="B244" s="22" t="s">
        <v>19</v>
      </c>
      <c r="C244" s="23" t="s">
        <v>1157</v>
      </c>
      <c r="D244" s="24" t="str">
        <f t="shared" si="6"/>
        <v>Osi.TemplateAddTo("f7d87a7a-e5aa-4bc9-ba51-4e2df3e0bae0", GetHostCharacter(), 1, 1);</v>
      </c>
      <c r="E244" s="15"/>
      <c r="F244" s="15"/>
    </row>
    <row r="245">
      <c r="A245" s="21" t="str">
        <f>HYPERLINK("https://bg3.wiki/wiki/Nettie%27s_Gloves", "Nettie's Gloves")</f>
        <v>Nettie's Gloves</v>
      </c>
      <c r="B245" s="22" t="s">
        <v>11</v>
      </c>
      <c r="C245" s="23" t="s">
        <v>1158</v>
      </c>
      <c r="D245" s="24" t="str">
        <f t="shared" si="6"/>
        <v>Osi.TemplateAddTo("2e887881-1c52-45cd-aa81-c01c86bfaa67", GetHostCharacter(), 1, 1);</v>
      </c>
      <c r="E245" s="15"/>
      <c r="F245" s="15"/>
    </row>
    <row r="246">
      <c r="A246" s="21" t="str">
        <f>HYPERLINK("https://bg3.wiki/wiki/Nightsong_Gloves", "Nightsong Gloves")</f>
        <v>Nightsong Gloves</v>
      </c>
      <c r="B246" s="22" t="s">
        <v>11</v>
      </c>
      <c r="C246" s="23" t="s">
        <v>1159</v>
      </c>
      <c r="D246" s="24" t="str">
        <f t="shared" si="6"/>
        <v>Osi.TemplateAddTo("a46fd5d8-57d8-4f47-ae21-aa15d6ffb90b", GetHostCharacter(), 1, 1);</v>
      </c>
      <c r="E246" s="15"/>
      <c r="F246" s="15"/>
    </row>
    <row r="247">
      <c r="A247" s="21" t="str">
        <f>HYPERLINK("https://bg3.wiki/wiki/Nimblefinger_Gloves", "Nimblefinger Gloves")</f>
        <v>Nimblefinger Gloves</v>
      </c>
      <c r="B247" s="22" t="s">
        <v>24</v>
      </c>
      <c r="C247" s="23" t="s">
        <v>1160</v>
      </c>
      <c r="D247" s="24" t="str">
        <f t="shared" si="6"/>
        <v>Osi.TemplateAddTo("fbc9b0ad-f31e-4cdc-a1cc-1e2204cb46c5", GetHostCharacter(), 1, 1);</v>
      </c>
      <c r="E247" s="15"/>
      <c r="F247" s="15"/>
    </row>
    <row r="248">
      <c r="A248" s="62" t="s">
        <v>1161</v>
      </c>
      <c r="B248" s="63" t="s">
        <v>991</v>
      </c>
      <c r="C248" s="64" t="s">
        <v>1162</v>
      </c>
      <c r="D248" s="69" t="str">
        <f t="shared" si="6"/>
        <v>Osi.TemplateAddTo("f66431d0-08a6-4b15-b8a4-7154fc1e5f47", GetHostCharacter(), 1, 1);</v>
      </c>
      <c r="E248" s="27" t="s">
        <v>993</v>
      </c>
      <c r="F248" s="20"/>
    </row>
    <row r="249">
      <c r="A249" s="21" t="str">
        <f>HYPERLINK("https://bg3.wiki/wiki/Pale_Widow_Gloves", "Pale Widow Gloves")</f>
        <v>Pale Widow Gloves</v>
      </c>
      <c r="B249" s="22" t="s">
        <v>19</v>
      </c>
      <c r="C249" s="23" t="s">
        <v>1163</v>
      </c>
      <c r="D249" s="24" t="str">
        <f t="shared" si="6"/>
        <v>Osi.TemplateAddTo("69d30b5a-1fcc-4d66-88a2-6f021ae8f010", GetHostCharacter(), 1, 1);</v>
      </c>
      <c r="E249" s="15"/>
      <c r="F249" s="15"/>
    </row>
    <row r="250">
      <c r="A250" s="21" t="str">
        <f>HYPERLINK("https://bg3.wiki/wiki/Poisoner%27s_Gloves", "Poisoner's Gloves")</f>
        <v>Poisoner's Gloves</v>
      </c>
      <c r="B250" s="22" t="s">
        <v>24</v>
      </c>
      <c r="C250" s="23" t="s">
        <v>1164</v>
      </c>
      <c r="D250" s="24" t="str">
        <f t="shared" si="6"/>
        <v>Osi.TemplateAddTo("49c8234e-3134-40f0-8001-e221114b1d2a", GetHostCharacter(), 1, 1);</v>
      </c>
      <c r="E250" s="15"/>
      <c r="F250" s="15"/>
    </row>
    <row r="251">
      <c r="A251" s="21" t="str">
        <f>HYPERLINK("https://bg3.wiki/wiki/Quickspell_Gloves", "Quickspell Gloves")</f>
        <v>Quickspell Gloves</v>
      </c>
      <c r="B251" s="22" t="s">
        <v>19</v>
      </c>
      <c r="C251" s="23" t="s">
        <v>1165</v>
      </c>
      <c r="D251" s="24" t="str">
        <f t="shared" si="6"/>
        <v>Osi.TemplateAddTo("4b1b3dcd-dcbc-4a93-a848-f16510d76d82", GetHostCharacter(), 1, 1);</v>
      </c>
      <c r="E251" s="15"/>
      <c r="F251" s="15"/>
    </row>
    <row r="252">
      <c r="A252" s="21" t="str">
        <f>HYPERLINK("https://bg3.wiki/wiki/Raven_Gloves", "Raven Gloves")</f>
        <v>Raven Gloves</v>
      </c>
      <c r="B252" s="22" t="s">
        <v>24</v>
      </c>
      <c r="C252" s="23" t="s">
        <v>1166</v>
      </c>
      <c r="D252" s="24" t="str">
        <f t="shared" si="6"/>
        <v>Osi.TemplateAddTo("ce92a056-0754-4e8a-b3b7-5d6cbb844c65", GetHostCharacter(), 1, 1);</v>
      </c>
      <c r="E252" s="15"/>
      <c r="F252" s="15"/>
    </row>
    <row r="253">
      <c r="A253" s="21" t="str">
        <f>HYPERLINK("https://bg3.wiki/wiki/Reason%27s_Grasp", "Reason's Grasp")</f>
        <v>Reason's Grasp</v>
      </c>
      <c r="B253" s="22" t="s">
        <v>17</v>
      </c>
      <c r="C253" s="23" t="s">
        <v>1167</v>
      </c>
      <c r="D253" s="24" t="str">
        <f t="shared" si="6"/>
        <v>Osi.TemplateAddTo("b51863cc-f8de-4945-a062-6bda2a35cdbc", GetHostCharacter(), 1, 1);</v>
      </c>
      <c r="E253" s="15"/>
      <c r="F253" s="15"/>
    </row>
    <row r="254">
      <c r="A254" s="21" t="str">
        <f>HYPERLINK("https://bg3.wiki/wiki/Seraphic_Pugilist_Gloves", "Seraphic Pugilist Gloves")</f>
        <v>Seraphic Pugilist Gloves</v>
      </c>
      <c r="B254" s="22" t="s">
        <v>24</v>
      </c>
      <c r="C254" s="23" t="s">
        <v>1168</v>
      </c>
      <c r="D254" s="24" t="str">
        <f t="shared" si="6"/>
        <v>Osi.TemplateAddTo("59fcc2e4-5897-4e0d-a9ca-4d9234f85af8", GetHostCharacter(), 1, 1);</v>
      </c>
      <c r="E254" s="15"/>
      <c r="F254" s="15"/>
    </row>
    <row r="255">
      <c r="A255" s="21" t="str">
        <f>HYPERLINK("https://bg3.wiki/wiki/Servitor_of_the_Black_Hand_Gloves", "Servitor of the Black Hand Gloves")</f>
        <v>Servitor of the Black Hand Gloves</v>
      </c>
      <c r="B255" s="22" t="s">
        <v>24</v>
      </c>
      <c r="C255" s="23" t="s">
        <v>1169</v>
      </c>
      <c r="D255" s="24" t="str">
        <f t="shared" si="6"/>
        <v>Osi.TemplateAddTo("106d74f9-5341-478e-a8d5-feaef5624675", GetHostCharacter(), 1, 1);</v>
      </c>
      <c r="E255" s="15"/>
      <c r="F255" s="15"/>
    </row>
    <row r="256">
      <c r="A256" s="21" t="str">
        <f>HYPERLINK("https://bg3.wiki/wiki/Snow-Dusted_Monastery_Gloves", "Snow-Dusted Monastery Gloves")</f>
        <v>Snow-Dusted Monastery Gloves</v>
      </c>
      <c r="B256" s="22" t="s">
        <v>24</v>
      </c>
      <c r="C256" s="23" t="s">
        <v>1170</v>
      </c>
      <c r="D256" s="24" t="str">
        <f t="shared" si="6"/>
        <v>Osi.TemplateAddTo("6ba63a43-5322-4a03-b82f-46eb6bf9cf4f", GetHostCharacter(), 1, 1);</v>
      </c>
      <c r="E256" s="15"/>
      <c r="F256" s="15"/>
    </row>
    <row r="257">
      <c r="A257" s="21" t="str">
        <f>HYPERLINK("https://bg3.wiki/wiki/Spellmight_Gloves", "Spellmight Gloves")</f>
        <v>Spellmight Gloves</v>
      </c>
      <c r="B257" s="22" t="s">
        <v>19</v>
      </c>
      <c r="C257" s="23" t="s">
        <v>1171</v>
      </c>
      <c r="D257" s="24" t="str">
        <f t="shared" si="6"/>
        <v>Osi.TemplateAddTo("c187103e-7f51-49f7-b3b7-72ec78e4a44f", GetHostCharacter(), 1, 1);</v>
      </c>
      <c r="E257" s="15"/>
      <c r="F257" s="15"/>
    </row>
    <row r="258">
      <c r="A258" s="21" t="str">
        <f>HYPERLINK("https://bg3.wiki/wiki/Spellseeking_Gloves", "Spellseeking Gloves")</f>
        <v>Spellseeking Gloves</v>
      </c>
      <c r="B258" s="22" t="s">
        <v>24</v>
      </c>
      <c r="C258" s="23" t="s">
        <v>1172</v>
      </c>
      <c r="D258" s="24" t="str">
        <f t="shared" si="6"/>
        <v>Osi.TemplateAddTo("98c60a0f-a58b-4dc1-99ca-06b9db0cd42f", GetHostCharacter(), 1, 1);</v>
      </c>
      <c r="E258" s="15"/>
      <c r="F258" s="15"/>
    </row>
    <row r="259">
      <c r="A259" s="21" t="str">
        <f>HYPERLINK("https://bg3.wiki/wiki/Stalker_Gloves", "Stalker Gloves")</f>
        <v>Stalker Gloves</v>
      </c>
      <c r="B259" s="22" t="s">
        <v>24</v>
      </c>
      <c r="C259" s="23" t="s">
        <v>1173</v>
      </c>
      <c r="D259" s="24" t="str">
        <f t="shared" si="6"/>
        <v>Osi.TemplateAddTo("dd99248c-fe42-4d07-9861-853e9291ea51", GetHostCharacter(), 1, 1);</v>
      </c>
      <c r="E259" s="15"/>
      <c r="F259" s="15"/>
    </row>
    <row r="260">
      <c r="A260" s="21" t="str">
        <f>HYPERLINK("https://bg3.wiki/wiki/Swordmaster_Gloves", "Swordmaster Gloves")</f>
        <v>Swordmaster Gloves</v>
      </c>
      <c r="B260" s="22" t="s">
        <v>24</v>
      </c>
      <c r="C260" s="23" t="s">
        <v>1174</v>
      </c>
      <c r="D260" s="24" t="str">
        <f t="shared" si="6"/>
        <v>Osi.TemplateAddTo("66e20a58-4bc3-4e17-a13e-510a19b23c33", GetHostCharacter(), 1, 1);</v>
      </c>
      <c r="E260" s="15"/>
      <c r="F260" s="15"/>
    </row>
    <row r="261">
      <c r="A261" s="21" t="str">
        <f>HYPERLINK("https://bg3.wiki/wiki/The_Fork-Lightning_Fingers", "The Fork-Lightning Fingers")</f>
        <v>The Fork-Lightning Fingers</v>
      </c>
      <c r="B261" s="22" t="s">
        <v>24</v>
      </c>
      <c r="C261" s="23" t="s">
        <v>1175</v>
      </c>
      <c r="D261" s="24" t="str">
        <f t="shared" si="6"/>
        <v>Osi.TemplateAddTo("e050d6c6-a228-4bc2-9794-9ae5c69345c7", GetHostCharacter(), 1, 1);</v>
      </c>
      <c r="E261" s="15"/>
      <c r="F261" s="15"/>
    </row>
    <row r="262">
      <c r="A262" s="21" t="str">
        <f>HYPERLINK("https://bg3.wiki/wiki/The_Reviving_Hands", "The Reviving Hands")</f>
        <v>The Reviving Hands</v>
      </c>
      <c r="B262" s="22" t="s">
        <v>19</v>
      </c>
      <c r="C262" s="23" t="s">
        <v>1176</v>
      </c>
      <c r="D262" s="24" t="str">
        <f t="shared" si="6"/>
        <v>Osi.TemplateAddTo("0e94335a-bf4d-47b9-bde7-85ee2f01102f", GetHostCharacter(), 1, 1);</v>
      </c>
      <c r="E262" s="15"/>
      <c r="F262" s="15"/>
    </row>
    <row r="263">
      <c r="A263" s="21" t="str">
        <f>HYPERLINK("https://bg3.wiki/wiki/The_Sparkle_Hands", "The Sparkle Hands")</f>
        <v>The Sparkle Hands</v>
      </c>
      <c r="B263" s="22" t="s">
        <v>24</v>
      </c>
      <c r="C263" s="23" t="s">
        <v>1177</v>
      </c>
      <c r="D263" s="24" t="str">
        <f t="shared" si="6"/>
        <v>Osi.TemplateAddTo("a0bbe602-ffc1-45f1-9a09-de7d11575465", GetHostCharacter(), 1, 1);</v>
      </c>
      <c r="E263" s="15"/>
      <c r="F263" s="15"/>
    </row>
    <row r="264">
      <c r="A264" s="21" t="str">
        <f>HYPERLINK("https://bg3.wiki/wiki/Thermoarcanic_Gloves", "Thermoarcanic Gloves")</f>
        <v>Thermoarcanic Gloves</v>
      </c>
      <c r="B264" s="22" t="s">
        <v>17</v>
      </c>
      <c r="C264" s="23" t="s">
        <v>1178</v>
      </c>
      <c r="D264" s="24" t="str">
        <f t="shared" si="6"/>
        <v>Osi.TemplateAddTo("aaf703d3-77d2-4259-9369-f98416be0e2e", GetHostCharacter(), 1, 1);</v>
      </c>
      <c r="E264" s="15"/>
      <c r="F264" s="15"/>
    </row>
    <row r="265">
      <c r="A265" s="21" t="str">
        <f>HYPERLINK("https://bg3.wiki/wiki/Thunderpalm_Strikers", "Thunderpalm Strikers")</f>
        <v>Thunderpalm Strikers</v>
      </c>
      <c r="B265" s="22" t="s">
        <v>24</v>
      </c>
      <c r="C265" s="23" t="s">
        <v>1179</v>
      </c>
      <c r="D265" s="24" t="str">
        <f t="shared" si="6"/>
        <v>Osi.TemplateAddTo("6906d0c8-d99d-439c-8a4c-c00f081770ba", GetHostCharacter(), 1, 1);</v>
      </c>
      <c r="E265" s="15"/>
      <c r="F265" s="15"/>
    </row>
    <row r="266">
      <c r="A266" s="21" t="str">
        <f>HYPERLINK("https://bg3.wiki/wiki/Unlucky_Thief%27s_Gloves", "Unlucky Thief's Gloves")</f>
        <v>Unlucky Thief's Gloves</v>
      </c>
      <c r="B266" s="22" t="s">
        <v>17</v>
      </c>
      <c r="C266" s="23" t="s">
        <v>1180</v>
      </c>
      <c r="D266" s="24" t="str">
        <f t="shared" si="6"/>
        <v>Osi.TemplateAddTo("39e420ae-ceae-441c-ab6b-251e97c3c26d", GetHostCharacter(), 1, 1);</v>
      </c>
      <c r="E266" s="15"/>
      <c r="F266" s="15"/>
    </row>
    <row r="267">
      <c r="A267" s="21" t="str">
        <f>HYPERLINK("https://bg3.wiki/wiki/Unwanted_Masterwork_Gauntlets", "Unwanted Masterwork Gauntlets")</f>
        <v>Unwanted Masterwork Gauntlets</v>
      </c>
      <c r="B267" s="22" t="s">
        <v>24</v>
      </c>
      <c r="C267" s="23" t="s">
        <v>1181</v>
      </c>
      <c r="D267" s="24" t="str">
        <f t="shared" si="6"/>
        <v>Osi.TemplateAddTo("b337cd63-d206-4229-84fd-4b77809f7eb3", GetHostCharacter(), 1, 1);</v>
      </c>
      <c r="E267" s="15"/>
      <c r="F267" s="15"/>
    </row>
    <row r="268">
      <c r="A268" s="21" t="str">
        <f>HYPERLINK("https://bg3.wiki/wiki/Vampiric_Gloves", "Vampiric Gloves")</f>
        <v>Vampiric Gloves</v>
      </c>
      <c r="B268" s="22" t="s">
        <v>19</v>
      </c>
      <c r="C268" s="23" t="s">
        <v>1182</v>
      </c>
      <c r="D268" s="24" t="str">
        <f t="shared" si="6"/>
        <v>Osi.TemplateAddTo("51ce5b9a-e56a-40d6-9383-ad4ec7042acc", GetHostCharacter(), 1, 1);</v>
      </c>
      <c r="E268" s="15"/>
      <c r="F268" s="15"/>
    </row>
    <row r="269">
      <c r="A269" s="21" t="str">
        <f>HYPERLINK("https://bg3.wiki/wiki/Winkling_Gloves", "Winkling Gloves")</f>
        <v>Winkling Gloves</v>
      </c>
      <c r="B269" s="22" t="s">
        <v>24</v>
      </c>
      <c r="C269" s="23" t="s">
        <v>1183</v>
      </c>
      <c r="D269" s="24" t="str">
        <f t="shared" si="6"/>
        <v>Osi.TemplateAddTo("dbcab01a-0654-4365-836b-c0f8ccc94558", GetHostCharacter(), 1, 1);</v>
      </c>
      <c r="E269" s="15"/>
      <c r="F269" s="15"/>
    </row>
    <row r="270">
      <c r="A270" s="21" t="str">
        <f>HYPERLINK("https://bg3.wiki/wiki/Winter%27s_Clutches", "Winter's Clutches")</f>
        <v>Winter's Clutches</v>
      </c>
      <c r="B270" s="22" t="s">
        <v>17</v>
      </c>
      <c r="C270" s="23" t="s">
        <v>1184</v>
      </c>
      <c r="D270" s="24" t="str">
        <f t="shared" si="6"/>
        <v>Osi.TemplateAddTo("e6bb26ab-2987-4061-9c5c-764b377f91b8", GetHostCharacter(), 1, 1);</v>
      </c>
      <c r="E270" s="15"/>
      <c r="F270" s="15"/>
    </row>
    <row r="271">
      <c r="A271" s="38" t="str">
        <f>HYPERLINK("https://bg3.wiki/wiki/Wondrous_Gloves", "Wondrous Gloves")</f>
        <v>Wondrous Gloves</v>
      </c>
      <c r="B271" s="39" t="s">
        <v>24</v>
      </c>
      <c r="C271" s="40" t="s">
        <v>1185</v>
      </c>
      <c r="D271" s="41" t="str">
        <f t="shared" si="6"/>
        <v>Osi.TemplateAddTo("afe6c7a2-fdd7-4cca-9441-e0b3a2237f5f", GetHostCharacter(), 1, 1);</v>
      </c>
      <c r="E271" s="15"/>
      <c r="F271" s="15"/>
    </row>
    <row r="272">
      <c r="C272" s="42"/>
    </row>
    <row r="273">
      <c r="A273" s="55" t="s">
        <v>1186</v>
      </c>
      <c r="B273" s="22"/>
      <c r="C273" s="23"/>
      <c r="D273" s="22"/>
    </row>
    <row r="274">
      <c r="A274" s="34" t="s">
        <v>7</v>
      </c>
      <c r="B274" s="35" t="s">
        <v>8</v>
      </c>
      <c r="C274" s="35" t="s">
        <v>9</v>
      </c>
      <c r="D274" s="36" t="s">
        <v>10</v>
      </c>
      <c r="E274" s="43"/>
      <c r="F274" s="43"/>
    </row>
    <row r="275">
      <c r="A275" s="21" t="str">
        <f>HYPERLINK("https://bg3.wiki/wiki/Armour_of_Landfall", "Armour of Landfall")</f>
        <v>Armour of Landfall</v>
      </c>
      <c r="B275" s="22" t="s">
        <v>19</v>
      </c>
      <c r="C275" s="23" t="s">
        <v>1187</v>
      </c>
      <c r="D275" s="24" t="str">
        <f t="shared" ref="D275:D314" si="7">"Osi.TemplateAddTo("""&amp; C275 &amp;""", GetHostCharacter(), 1, 1);"</f>
        <v>Osi.TemplateAddTo("baa33dbe-6f95-4569-87bf-9582b4b58bd2", GetHostCharacter(), 1, 1);</v>
      </c>
      <c r="E275" s="15"/>
      <c r="F275" s="15"/>
    </row>
    <row r="276">
      <c r="A276" s="21" t="str">
        <f>HYPERLINK("https://bg3.wiki/wiki/Armour_of_Moonbasking", "Armour of Moonbasking")</f>
        <v>Armour of Moonbasking</v>
      </c>
      <c r="B276" s="22" t="s">
        <v>19</v>
      </c>
      <c r="C276" s="23" t="s">
        <v>1188</v>
      </c>
      <c r="D276" s="24" t="str">
        <f t="shared" si="7"/>
        <v>Osi.TemplateAddTo("d33d71f8-f7b9-4c19-9b39-03d0b9ba8829", GetHostCharacter(), 1, 1);</v>
      </c>
      <c r="E276" s="15"/>
      <c r="F276" s="15"/>
    </row>
    <row r="277">
      <c r="A277" s="21" t="str">
        <f>HYPERLINK("https://bg3.wiki/wiki/Armour_of_the_Sporekeeper", "Armour of the Sporekeeper")</f>
        <v>Armour of the Sporekeeper</v>
      </c>
      <c r="B277" s="22" t="s">
        <v>19</v>
      </c>
      <c r="C277" s="23" t="s">
        <v>1189</v>
      </c>
      <c r="D277" s="24" t="str">
        <f t="shared" si="7"/>
        <v>Osi.TemplateAddTo("eb3a4744-26e4-404a-be65-c72bb17f5cfc", GetHostCharacter(), 1, 1);</v>
      </c>
      <c r="E277" s="15"/>
      <c r="F277" s="15"/>
    </row>
    <row r="278">
      <c r="A278" s="21" t="str">
        <f>HYPERLINK("https://bg3.wiki/wiki/Bandit%27s_Armour", "Bandit's Armour")</f>
        <v>Bandit's Armour</v>
      </c>
      <c r="B278" s="22" t="s">
        <v>11</v>
      </c>
      <c r="C278" s="23" t="s">
        <v>1190</v>
      </c>
      <c r="D278" s="24" t="str">
        <f t="shared" si="7"/>
        <v>Osi.TemplateAddTo("2f63906e-259e-49af-a8a8-7d3f7c7587a8", GetHostCharacter(), 1, 1);</v>
      </c>
      <c r="E278" s="15"/>
      <c r="F278" s="15"/>
    </row>
    <row r="279">
      <c r="A279" s="21" t="str">
        <f>HYPERLINK("https://bg3.wiki/wiki/Bhaalist_Armour", "Bhaalist Armour")</f>
        <v>Bhaalist Armour</v>
      </c>
      <c r="B279" s="22" t="s">
        <v>19</v>
      </c>
      <c r="C279" s="23" t="s">
        <v>1191</v>
      </c>
      <c r="D279" s="24" t="str">
        <f t="shared" si="7"/>
        <v>Osi.TemplateAddTo("443b2caf-8d36-42cf-b389-d774229ed18c", GetHostCharacter(), 1, 1);</v>
      </c>
      <c r="E279" s="15"/>
      <c r="F279" s="15"/>
    </row>
    <row r="280">
      <c r="A280" s="21" t="str">
        <f>HYPERLINK("https://bg3.wiki/wiki/Blazer_of_Benevolence", "Blazer of Benevolence")</f>
        <v>Blazer of Benevolence</v>
      </c>
      <c r="B280" s="22" t="s">
        <v>17</v>
      </c>
      <c r="C280" s="23" t="s">
        <v>1192</v>
      </c>
      <c r="D280" s="24" t="str">
        <f t="shared" si="7"/>
        <v>Osi.TemplateAddTo("947dbbe3-19e3-4b96-ba5a-14750f0acc29", GetHostCharacter(), 1, 1);</v>
      </c>
      <c r="E280" s="15"/>
      <c r="F280" s="15"/>
    </row>
    <row r="281">
      <c r="A281" s="21" t="str">
        <f>HYPERLINK("https://bg3.wiki/wiki/Broken_Padded_Armour", "Broken Padded Armour")</f>
        <v>Broken Padded Armour</v>
      </c>
      <c r="B281" s="22" t="s">
        <v>11</v>
      </c>
      <c r="C281" s="23" t="s">
        <v>1193</v>
      </c>
      <c r="D281" s="24" t="str">
        <f t="shared" si="7"/>
        <v>Osi.TemplateAddTo("357db089-630f-437d-9a04-88c0d5d3c0ff", GetHostCharacter(), 1, 1);</v>
      </c>
      <c r="E281" s="15"/>
      <c r="F281" s="15"/>
    </row>
    <row r="282">
      <c r="A282" s="21" t="str">
        <f>HYPERLINK("https://bg3.wiki/wiki/Drow_Studded_Leather_Armour", "Drow Studded Leather Armour")</f>
        <v>Drow Studded Leather Armour</v>
      </c>
      <c r="B282" s="22" t="s">
        <v>24</v>
      </c>
      <c r="C282" s="23" t="s">
        <v>1194</v>
      </c>
      <c r="D282" s="24" t="str">
        <f t="shared" si="7"/>
        <v>Osi.TemplateAddTo("cab3455f-59fe-42be-8dcd-7cd61149389a", GetHostCharacter(), 1, 1);</v>
      </c>
      <c r="E282" s="15"/>
      <c r="F282" s="15"/>
    </row>
    <row r="283">
      <c r="A283" s="70" t="s">
        <v>1195</v>
      </c>
      <c r="B283" s="22" t="s">
        <v>24</v>
      </c>
      <c r="C283" s="23" t="s">
        <v>1196</v>
      </c>
      <c r="D283" s="24" t="str">
        <f t="shared" si="7"/>
        <v>Osi.TemplateAddTo("431f019e-3706-4a23-af48-e29acbc0e43b", GetHostCharacter(), 1, 1);</v>
      </c>
      <c r="E283" s="15"/>
      <c r="F283" s="15"/>
    </row>
    <row r="284">
      <c r="A284" s="21" t="str">
        <f>HYPERLINK("https://bg3.wiki/wiki/Druid_Leather_Armour", "Druid Leather Armour")</f>
        <v>Druid Leather Armour</v>
      </c>
      <c r="B284" s="22" t="s">
        <v>11</v>
      </c>
      <c r="C284" s="23" t="s">
        <v>1197</v>
      </c>
      <c r="D284" s="24" t="str">
        <f t="shared" si="7"/>
        <v>Osi.TemplateAddTo("b8468a39-a5ff-4de0-85be-a8883a479628", GetHostCharacter(), 1, 1);</v>
      </c>
      <c r="E284" s="15"/>
      <c r="F284" s="15"/>
    </row>
    <row r="285">
      <c r="A285" s="21" t="str">
        <f>HYPERLINK("https://bg3.wiki/wiki/Druid_Leather_Armour", "Druid Leather Armour (Halsin)")</f>
        <v>Druid Leather Armour (Halsin)</v>
      </c>
      <c r="B285" s="22" t="s">
        <v>11</v>
      </c>
      <c r="C285" s="23" t="s">
        <v>1198</v>
      </c>
      <c r="D285" s="24" t="str">
        <f t="shared" si="7"/>
        <v>Osi.TemplateAddTo("26b77cf7-8722-4e61-a820-555de653e8ab", GetHostCharacter(), 1, 1);</v>
      </c>
      <c r="E285" s="15"/>
      <c r="F285" s="15"/>
    </row>
    <row r="286">
      <c r="A286" s="21" t="str">
        <f>HYPERLINK("https://bg3.wiki/wiki/Druidic_Armour", "Druidic Armour (V1)")</f>
        <v>Druidic Armour (V1)</v>
      </c>
      <c r="B286" s="22" t="s">
        <v>11</v>
      </c>
      <c r="C286" s="23" t="s">
        <v>1199</v>
      </c>
      <c r="D286" s="24" t="str">
        <f t="shared" si="7"/>
        <v>Osi.TemplateAddTo("90c2224f-94c6-4177-82f4-10b37f1e3b48", GetHostCharacter(), 1, 1);</v>
      </c>
      <c r="E286" s="27" t="s">
        <v>1200</v>
      </c>
      <c r="F286" s="27"/>
    </row>
    <row r="287">
      <c r="A287" s="21" t="str">
        <f>HYPERLINK("https://bg3.wiki/wiki/Druidic_Armour", "Druidic Armour (V2)")</f>
        <v>Druidic Armour (V2)</v>
      </c>
      <c r="B287" s="22" t="s">
        <v>11</v>
      </c>
      <c r="C287" s="23" t="s">
        <v>1201</v>
      </c>
      <c r="D287" s="24" t="str">
        <f t="shared" si="7"/>
        <v>Osi.TemplateAddTo("c4a7b335-f6d3-4041-ab64-a5ce55816fe9", GetHostCharacter(), 1, 1);</v>
      </c>
      <c r="E287" s="27" t="s">
        <v>1200</v>
      </c>
      <c r="F287" s="27"/>
    </row>
    <row r="288">
      <c r="A288" s="21" t="str">
        <f>HYPERLINK("https://bg3.wiki/wiki/Druidic_Armour", "Druidic Armour (V3)")</f>
        <v>Druidic Armour (V3)</v>
      </c>
      <c r="B288" s="22" t="s">
        <v>11</v>
      </c>
      <c r="C288" s="23" t="s">
        <v>1202</v>
      </c>
      <c r="D288" s="24" t="str">
        <f t="shared" si="7"/>
        <v>Osi.TemplateAddTo("f021f81d-7540-4e83-aa88-638892cb45a4", GetHostCharacter(), 1, 1);</v>
      </c>
      <c r="E288" s="27" t="s">
        <v>1200</v>
      </c>
      <c r="F288" s="27"/>
    </row>
    <row r="289">
      <c r="A289" s="21" t="str">
        <f>HYPERLINK("https://bg3.wiki/wiki/Druidic_Armour", "Druidic Armour (V4)")</f>
        <v>Druidic Armour (V4)</v>
      </c>
      <c r="B289" s="22" t="s">
        <v>11</v>
      </c>
      <c r="C289" s="23" t="s">
        <v>1203</v>
      </c>
      <c r="D289" s="24" t="str">
        <f t="shared" si="7"/>
        <v>Osi.TemplateAddTo("d0a3d13a-5ce4-4732-87b1-31654747277f", GetHostCharacter(), 1, 1);</v>
      </c>
      <c r="E289" s="27" t="s">
        <v>1200</v>
      </c>
      <c r="F289" s="27"/>
    </row>
    <row r="290">
      <c r="A290" s="21" t="str">
        <f>HYPERLINK("https://bg3.wiki/wiki/Elegant_Studded_Leather", "Elegant Studded Leather")</f>
        <v>Elegant Studded Leather</v>
      </c>
      <c r="B290" s="22" t="s">
        <v>19</v>
      </c>
      <c r="C290" s="23" t="s">
        <v>1204</v>
      </c>
      <c r="D290" s="24" t="str">
        <f t="shared" si="7"/>
        <v>Osi.TemplateAddTo("8472235c-8ced-4db3-825f-322eace0f34d", GetHostCharacter(), 1, 1);</v>
      </c>
      <c r="E290" s="15"/>
      <c r="F290" s="15"/>
    </row>
    <row r="291">
      <c r="A291" s="21" t="str">
        <f>HYPERLINK("https://bg3.wiki/wiki/Faded_Drow_Leather_Armour", "Faded Drow Leather Armour")</f>
        <v>Faded Drow Leather Armour</v>
      </c>
      <c r="B291" s="22" t="s">
        <v>11</v>
      </c>
      <c r="C291" s="23" t="s">
        <v>1205</v>
      </c>
      <c r="D291" s="24" t="str">
        <f t="shared" si="7"/>
        <v>Osi.TemplateAddTo("cf6237a2-7f37-4796-b239-0685505510d4", GetHostCharacter(), 1, 1);</v>
      </c>
      <c r="E291" s="15"/>
      <c r="F291" s="15"/>
    </row>
    <row r="292">
      <c r="A292" s="21" t="str">
        <f>HYPERLINK("https://bg3.wiki/wiki/Leather_Armour", "Leather Armour (v1 - Ranger)")</f>
        <v>Leather Armour (v1 - Ranger)</v>
      </c>
      <c r="B292" s="22" t="s">
        <v>11</v>
      </c>
      <c r="C292" s="23" t="s">
        <v>1206</v>
      </c>
      <c r="D292" s="24" t="str">
        <f t="shared" si="7"/>
        <v>Osi.TemplateAddTo("02ae5d88-8044-43df-8363-02a2900776db", GetHostCharacter(), 1, 1);</v>
      </c>
      <c r="E292" s="15"/>
      <c r="F292" s="15"/>
    </row>
    <row r="293">
      <c r="A293" s="21" t="str">
        <f>HYPERLINK("https://bg3.wiki/wiki/Leather_Armour", "Leather Armour (v2 - Rogue)")</f>
        <v>Leather Armour (v2 - Rogue)</v>
      </c>
      <c r="B293" s="22" t="s">
        <v>11</v>
      </c>
      <c r="C293" s="23" t="s">
        <v>1207</v>
      </c>
      <c r="D293" s="24" t="str">
        <f t="shared" si="7"/>
        <v>Osi.TemplateAddTo("4c4396db-fa4a-4541-9b2a-23e43211dde7", GetHostCharacter(), 1, 1);</v>
      </c>
      <c r="E293" s="15"/>
      <c r="F293" s="15"/>
    </row>
    <row r="294">
      <c r="A294" s="21" t="str">
        <f>HYPERLINK("https://bg3.wiki/wiki/Leather_Armour", "Leather Armour (v3 - Jaheira)")</f>
        <v>Leather Armour (v3 - Jaheira)</v>
      </c>
      <c r="B294" s="22" t="s">
        <v>11</v>
      </c>
      <c r="C294" s="23" t="s">
        <v>1208</v>
      </c>
      <c r="D294" s="24" t="str">
        <f t="shared" si="7"/>
        <v>Osi.TemplateAddTo("f91623dd-7dcd-4d05-b353-6a15f5caa921", GetHostCharacter(), 1, 1);</v>
      </c>
      <c r="E294" s="15"/>
      <c r="F294" s="15"/>
    </row>
    <row r="295">
      <c r="A295" s="21" t="str">
        <f>HYPERLINK("https://bg3.wiki/wiki/Leather_Armour", "Leather Armour (v4 - Minsc)")</f>
        <v>Leather Armour (v4 - Minsc)</v>
      </c>
      <c r="B295" s="22" t="s">
        <v>11</v>
      </c>
      <c r="C295" s="23" t="s">
        <v>1209</v>
      </c>
      <c r="D295" s="24" t="str">
        <f t="shared" si="7"/>
        <v>Osi.TemplateAddTo("be29b42a-e3ab-4a41-b4c2-7443cf65162f", GetHostCharacter(), 1, 1);</v>
      </c>
      <c r="E295" s="15"/>
      <c r="F295" s="15"/>
    </row>
    <row r="296">
      <c r="A296" s="21" t="str">
        <f>HYPERLINK("https://bg3.wiki/wiki/Leather_Armour", "Leather Armour (v5 - Flaming Fist)")</f>
        <v>Leather Armour (v5 - Flaming Fist)</v>
      </c>
      <c r="B296" s="22" t="s">
        <v>11</v>
      </c>
      <c r="C296" s="23" t="s">
        <v>1210</v>
      </c>
      <c r="D296" s="24" t="str">
        <f t="shared" si="7"/>
        <v>Osi.TemplateAddTo("738b0d75-74ce-466b-864d-c5f0f764842b", GetHostCharacter(), 1, 1);</v>
      </c>
      <c r="E296" s="27" t="s">
        <v>1211</v>
      </c>
      <c r="F296" s="27"/>
    </row>
    <row r="297">
      <c r="A297" s="21" t="str">
        <f>HYPERLINK("https://bg3.wiki/wiki/Leather_Armour_%2B1", "Leather Armour +1")</f>
        <v>Leather Armour +1</v>
      </c>
      <c r="B297" s="22" t="s">
        <v>17</v>
      </c>
      <c r="C297" s="23" t="s">
        <v>1212</v>
      </c>
      <c r="D297" s="24" t="str">
        <f t="shared" si="7"/>
        <v>Osi.TemplateAddTo("90a79e46-e327-41f4-a349-8e4dd70b1892", GetHostCharacter(), 1, 1);</v>
      </c>
      <c r="E297" s="15"/>
      <c r="F297" s="15"/>
    </row>
    <row r="298">
      <c r="A298" s="21" t="str">
        <f>HYPERLINK("https://bg3.wiki/wiki/Leather_Armour_%2B2", "Leather Armour +2")</f>
        <v>Leather Armour +2</v>
      </c>
      <c r="B298" s="22" t="s">
        <v>24</v>
      </c>
      <c r="C298" s="23" t="s">
        <v>1213</v>
      </c>
      <c r="D298" s="24" t="str">
        <f t="shared" si="7"/>
        <v>Osi.TemplateAddTo("ac71c753-c207-465c-b28b-c10f95ed0745", GetHostCharacter(), 1, 1);</v>
      </c>
      <c r="E298" s="15"/>
      <c r="F298" s="15"/>
    </row>
    <row r="299">
      <c r="A299" s="21" t="str">
        <f>HYPERLINK("https://bg3.wiki/wiki/Padded_Armour", "Padded Armour")</f>
        <v>Padded Armour</v>
      </c>
      <c r="B299" s="22" t="s">
        <v>11</v>
      </c>
      <c r="C299" s="23" t="s">
        <v>1214</v>
      </c>
      <c r="D299" s="24" t="str">
        <f t="shared" si="7"/>
        <v>Osi.TemplateAddTo("63cc7723-245d-4b62-b9e6-5a47283cf777", GetHostCharacter(), 1, 1);</v>
      </c>
      <c r="E299" s="15"/>
      <c r="F299" s="15"/>
    </row>
    <row r="300">
      <c r="A300" s="21" t="str">
        <f>HYPERLINK("https://bg3.wiki/wiki/Padded_Armour", "Padded Armour (Astarion)")</f>
        <v>Padded Armour (Astarion)</v>
      </c>
      <c r="B300" s="22" t="s">
        <v>11</v>
      </c>
      <c r="C300" s="23" t="s">
        <v>1215</v>
      </c>
      <c r="D300" s="24" t="str">
        <f t="shared" si="7"/>
        <v>Osi.TemplateAddTo("397dbd19-efed-4507-85f9-66daebad5258", GetHostCharacter(), 1, 1);</v>
      </c>
      <c r="E300" s="15"/>
      <c r="F300" s="15"/>
    </row>
    <row r="301">
      <c r="A301" s="21" t="str">
        <f>HYPERLINK("https://bg3.wiki/wiki/Padded_Armour", "Padded Armour (Blade's style)")</f>
        <v>Padded Armour (Blade's style)</v>
      </c>
      <c r="B301" s="22" t="s">
        <v>11</v>
      </c>
      <c r="C301" s="23" t="s">
        <v>1216</v>
      </c>
      <c r="D301" s="24" t="str">
        <f t="shared" si="7"/>
        <v>Osi.TemplateAddTo("9a487731-93df-45bd-bfcb-9bc82140c719", GetHostCharacter(), 1, 1);</v>
      </c>
      <c r="E301" s="15"/>
      <c r="F301" s="15"/>
    </row>
    <row r="302">
      <c r="A302" s="21" t="str">
        <f>HYPERLINK("https://bg3.wiki/wiki/Padded_Armour_%2B1", "Padded Armour +1")</f>
        <v>Padded Armour +1</v>
      </c>
      <c r="B302" s="22" t="s">
        <v>17</v>
      </c>
      <c r="C302" s="23" t="s">
        <v>1217</v>
      </c>
      <c r="D302" s="24" t="str">
        <f t="shared" si="7"/>
        <v>Osi.TemplateAddTo("f5faa6c5-a43c-4edd-a77f-6e7536a7e683", GetHostCharacter(), 1, 1);</v>
      </c>
      <c r="E302" s="15"/>
      <c r="F302" s="15"/>
    </row>
    <row r="303">
      <c r="A303" s="21" t="str">
        <f>HYPERLINK("https://bg3.wiki/wiki/Padded_Armour_%2B2", "Padded Armour +2")</f>
        <v>Padded Armour +2</v>
      </c>
      <c r="B303" s="22" t="s">
        <v>24</v>
      </c>
      <c r="C303" s="23" t="s">
        <v>1218</v>
      </c>
      <c r="D303" s="24" t="str">
        <f t="shared" si="7"/>
        <v>Osi.TemplateAddTo("96613037-cbac-4f43-a39b-584e6f2629c7", GetHostCharacter(), 1, 1);</v>
      </c>
      <c r="E303" s="15"/>
      <c r="F303" s="15"/>
    </row>
    <row r="304">
      <c r="A304" s="21" t="str">
        <f>HYPERLINK("https://bg3.wiki/wiki/Padded_Armour_%2B2", "Padded Armour +2 (Cut)")</f>
        <v>Padded Armour +2 (Cut)</v>
      </c>
      <c r="B304" s="22" t="s">
        <v>24</v>
      </c>
      <c r="C304" s="23" t="s">
        <v>1219</v>
      </c>
      <c r="D304" s="24" t="str">
        <f t="shared" si="7"/>
        <v>Osi.TemplateAddTo("fc721f60-be51-4903-b5cf-79e43bf0343c", GetHostCharacter(), 1, 1);</v>
      </c>
      <c r="E304" s="15"/>
      <c r="F304" s="15"/>
    </row>
    <row r="305">
      <c r="A305" s="21" t="str">
        <f>HYPERLINK("https://bg3.wiki/wiki/Penumbral_Armour", "Penumbral Armour")</f>
        <v>Penumbral Armour</v>
      </c>
      <c r="B305" s="22" t="s">
        <v>24</v>
      </c>
      <c r="C305" s="23" t="s">
        <v>1220</v>
      </c>
      <c r="D305" s="24" t="str">
        <f t="shared" si="7"/>
        <v>Osi.TemplateAddTo("3ce4d5d2-3ed0-470e-8cea-bdac81a60583", GetHostCharacter(), 1, 1);</v>
      </c>
      <c r="E305" s="15"/>
      <c r="F305" s="15"/>
    </row>
    <row r="306">
      <c r="A306" s="21" t="str">
        <f>HYPERLINK("https://bg3.wiki/wiki/Scarlet_Leather_Armour", "Scarlet Leather Armour")</f>
        <v>Scarlet Leather Armour</v>
      </c>
      <c r="B306" s="22" t="s">
        <v>17</v>
      </c>
      <c r="C306" s="23" t="s">
        <v>1221</v>
      </c>
      <c r="D306" s="24" t="str">
        <f t="shared" si="7"/>
        <v>Osi.TemplateAddTo("2cbf1f6b-2607-4789-972f-f51e8c892a68", GetHostCharacter(), 1, 1);</v>
      </c>
      <c r="E306" s="15"/>
      <c r="F306" s="15"/>
    </row>
    <row r="307">
      <c r="A307" s="21" t="str">
        <f>HYPERLINK("https://bg3.wiki/wiki/Sel%C3%BBnite_Robe", "Selûnite Robe")</f>
        <v>Selûnite Robe</v>
      </c>
      <c r="B307" s="22" t="s">
        <v>11</v>
      </c>
      <c r="C307" s="23" t="s">
        <v>1222</v>
      </c>
      <c r="D307" s="24" t="str">
        <f t="shared" si="7"/>
        <v>Osi.TemplateAddTo("204de787-46de-4d39-8fe0-2e080bf44a61", GetHostCharacter(), 1, 1);</v>
      </c>
      <c r="E307" s="15"/>
      <c r="F307" s="15"/>
    </row>
    <row r="308">
      <c r="A308" s="21" t="str">
        <f>HYPERLINK("https://bg3.wiki/wiki/Shadeclinger_Armour", "Shadeclinger Armour")</f>
        <v>Shadeclinger Armour</v>
      </c>
      <c r="B308" s="22" t="s">
        <v>24</v>
      </c>
      <c r="C308" s="23" t="s">
        <v>1223</v>
      </c>
      <c r="D308" s="24" t="str">
        <f t="shared" si="7"/>
        <v>Osi.TemplateAddTo("2077fe9a-991d-4763-9b1a-fff843efd705", GetHostCharacter(), 1, 1);</v>
      </c>
      <c r="E308" s="15"/>
      <c r="F308" s="15"/>
    </row>
    <row r="309">
      <c r="A309" s="21" t="str">
        <f>HYPERLINK("https://bg3.wiki/wiki/Simple_Jerkin", "Simple Jerkin")</f>
        <v>Simple Jerkin</v>
      </c>
      <c r="B309" s="22" t="s">
        <v>11</v>
      </c>
      <c r="C309" s="23" t="s">
        <v>1224</v>
      </c>
      <c r="D309" s="24" t="str">
        <f t="shared" si="7"/>
        <v>Osi.TemplateAddTo("da345d08-2186-4e4a-857c-3fd6a104cec6", GetHostCharacter(), 1, 1);</v>
      </c>
      <c r="E309" s="15"/>
      <c r="F309" s="15"/>
    </row>
    <row r="310">
      <c r="A310" s="21" t="str">
        <f>HYPERLINK("https://bg3.wiki/wiki/Spidersilk_Armour", "Spidersilk Armour")</f>
        <v>Spidersilk Armour</v>
      </c>
      <c r="B310" s="22" t="s">
        <v>24</v>
      </c>
      <c r="C310" s="23" t="s">
        <v>1225</v>
      </c>
      <c r="D310" s="24" t="str">
        <f t="shared" si="7"/>
        <v>Osi.TemplateAddTo("c0c0534c-b7fc-4d0b-a335-b8f4c548852d ", GetHostCharacter(), 1, 1);</v>
      </c>
      <c r="E310" s="27" t="s">
        <v>844</v>
      </c>
      <c r="F310" s="27"/>
    </row>
    <row r="311">
      <c r="A311" s="21" t="str">
        <f>HYPERLINK("https://bg3.wiki/wiki/Studded_Leather_Armour", "Studded Leather Armour")</f>
        <v>Studded Leather Armour</v>
      </c>
      <c r="B311" s="22" t="s">
        <v>11</v>
      </c>
      <c r="C311" s="23" t="s">
        <v>1226</v>
      </c>
      <c r="D311" s="24" t="str">
        <f t="shared" si="7"/>
        <v>Osi.TemplateAddTo("19451420-13f6-444c-a15b-7abb6dde3f91", GetHostCharacter(), 1, 1);</v>
      </c>
      <c r="E311" s="15"/>
      <c r="F311" s="15"/>
    </row>
    <row r="312">
      <c r="A312" s="21" t="str">
        <f>HYPERLINK("https://bg3.wiki/wiki/Studded_Leather_Armour_%2B1", "Studded Leather Armour +1")</f>
        <v>Studded Leather Armour +1</v>
      </c>
      <c r="B312" s="22" t="s">
        <v>17</v>
      </c>
      <c r="C312" s="23" t="s">
        <v>1227</v>
      </c>
      <c r="D312" s="24" t="str">
        <f t="shared" si="7"/>
        <v>Osi.TemplateAddTo("58d7927f-c6eb-4635-85b6-70265c621b3d", GetHostCharacter(), 1, 1);</v>
      </c>
      <c r="E312" s="15"/>
      <c r="F312" s="15"/>
    </row>
    <row r="313">
      <c r="A313" s="21" t="str">
        <f>HYPERLINK("https://bg3.wiki/wiki/Studded_Leather_Armour_%2B2", "Studded Leather Armour +2")</f>
        <v>Studded Leather Armour +2</v>
      </c>
      <c r="B313" s="22" t="s">
        <v>24</v>
      </c>
      <c r="C313" s="23" t="s">
        <v>1228</v>
      </c>
      <c r="D313" s="24" t="str">
        <f t="shared" si="7"/>
        <v>Osi.TemplateAddTo("83603f36-d158-4a0e-b9c9-358413ba3a92", GetHostCharacter(), 1, 1);</v>
      </c>
      <c r="E313" s="15"/>
      <c r="F313" s="15"/>
    </row>
    <row r="314">
      <c r="A314" s="38" t="str">
        <f>HYPERLINK("https://bg3.wiki/wiki/Torment_Drinker_Armour", "Torment Drinker Armour")</f>
        <v>Torment Drinker Armour</v>
      </c>
      <c r="B314" s="39" t="s">
        <v>24</v>
      </c>
      <c r="C314" s="40" t="s">
        <v>1229</v>
      </c>
      <c r="D314" s="41" t="str">
        <f t="shared" si="7"/>
        <v>Osi.TemplateAddTo("a0dfac7c-c6ea-44f1-a12d-b5e67887ae8e", GetHostCharacter(), 1, 1);</v>
      </c>
      <c r="E314" s="15"/>
      <c r="F314" s="15"/>
    </row>
    <row r="315">
      <c r="B315" s="22"/>
      <c r="C315" s="23"/>
      <c r="D315" s="22"/>
    </row>
    <row r="316">
      <c r="A316" s="55" t="s">
        <v>1230</v>
      </c>
      <c r="B316" s="22"/>
      <c r="C316" s="23"/>
      <c r="D316" s="22"/>
    </row>
    <row r="317">
      <c r="A317" s="34" t="s">
        <v>7</v>
      </c>
      <c r="B317" s="35" t="s">
        <v>8</v>
      </c>
      <c r="C317" s="35" t="s">
        <v>9</v>
      </c>
      <c r="D317" s="36" t="s">
        <v>10</v>
      </c>
      <c r="E317" s="43"/>
      <c r="F317" s="43"/>
    </row>
    <row r="318">
      <c r="A318" s="21" t="str">
        <f>HYPERLINK("https://bg3.wiki/wiki/%2B1_Breastplate", "+1 Breastplate")</f>
        <v>+1 Breastplate</v>
      </c>
      <c r="B318" s="22" t="s">
        <v>11</v>
      </c>
      <c r="C318" s="23" t="s">
        <v>1231</v>
      </c>
      <c r="D318" s="24" t="str">
        <f t="shared" ref="D318:D370" si="8">"Osi.TemplateAddTo("""&amp; C318 &amp;""", GetHostCharacter(), 1, 1);"</f>
        <v>Osi.TemplateAddTo("69402299-1401-42e9-8d3d-5f080644bcd7", GetHostCharacter(), 1, 1);</v>
      </c>
      <c r="E318" s="15"/>
      <c r="F318" s="15"/>
    </row>
    <row r="319">
      <c r="A319" s="21" t="str">
        <f>HYPERLINK("https://bg3.wiki/wiki/Adamantine_Scale_Mail", "Adamantine Scale Mail")</f>
        <v>Adamantine Scale Mail</v>
      </c>
      <c r="B319" s="22" t="s">
        <v>19</v>
      </c>
      <c r="C319" s="23" t="s">
        <v>1232</v>
      </c>
      <c r="D319" s="24" t="str">
        <f t="shared" si="8"/>
        <v>Osi.TemplateAddTo("5427c806-5565-421f-a00f-a8282a9f504f", GetHostCharacter(), 1, 1);</v>
      </c>
      <c r="E319" s="15"/>
      <c r="F319" s="15"/>
    </row>
    <row r="320">
      <c r="A320" s="21" t="str">
        <f>HYPERLINK("https://bg3.wiki/wiki/Armour_of_Agility", "Armour of Agility")</f>
        <v>Armour of Agility</v>
      </c>
      <c r="B320" s="22" t="s">
        <v>19</v>
      </c>
      <c r="C320" s="23" t="s">
        <v>1233</v>
      </c>
      <c r="D320" s="24" t="str">
        <f t="shared" si="8"/>
        <v>Osi.TemplateAddTo("42e6357a-4c05-4eda-9415-6b6b4c7d44c5", GetHostCharacter(), 1, 1);</v>
      </c>
      <c r="E320" s="15"/>
      <c r="F320" s="15"/>
    </row>
    <row r="321">
      <c r="A321" s="21" t="str">
        <f>HYPERLINK("https://bg3.wiki/wiki/Barkskin_Armour", "Barkskin Armour")</f>
        <v>Barkskin Armour</v>
      </c>
      <c r="B321" s="22" t="s">
        <v>24</v>
      </c>
      <c r="C321" s="23" t="s">
        <v>1234</v>
      </c>
      <c r="D321" s="24" t="str">
        <f t="shared" si="8"/>
        <v>Osi.TemplateAddTo("a1d321be-ff4c-423a-bc50-bcad85a3a83a", GetHostCharacter(), 1, 1);</v>
      </c>
      <c r="E321" s="15"/>
      <c r="F321" s="15"/>
    </row>
    <row r="322">
      <c r="A322" s="21" t="str">
        <f>HYPERLINK("https://bg3.wiki/wiki/Breastplate", "Breastplate")</f>
        <v>Breastplate</v>
      </c>
      <c r="B322" s="22" t="s">
        <v>11</v>
      </c>
      <c r="C322" s="23" t="s">
        <v>1235</v>
      </c>
      <c r="D322" s="24" t="str">
        <f t="shared" si="8"/>
        <v>Osi.TemplateAddTo("4814825e-23ee-41ed-9784-d9963434150d", GetHostCharacter(), 1, 1);</v>
      </c>
      <c r="E322" s="15"/>
      <c r="F322" s="15"/>
    </row>
    <row r="323">
      <c r="A323" s="21" t="str">
        <f>HYPERLINK("https://bg3.wiki/wiki/Breastplate_%2B1", "Breastplate +1")</f>
        <v>Breastplate +1</v>
      </c>
      <c r="B323" s="22" t="s">
        <v>17</v>
      </c>
      <c r="C323" s="23" t="s">
        <v>1236</v>
      </c>
      <c r="D323" s="24" t="str">
        <f t="shared" si="8"/>
        <v>Osi.TemplateAddTo("ad912cef-8bfb-4bf3-98f0-f2c5e3b45915", GetHostCharacter(), 1, 1);</v>
      </c>
      <c r="E323" s="15"/>
      <c r="F323" s="15"/>
    </row>
    <row r="324">
      <c r="A324" s="21" t="str">
        <f>HYPERLINK("https://bg3.wiki/wiki/Breastplate_%2B2", "Breastplate +2")</f>
        <v>Breastplate +2</v>
      </c>
      <c r="B324" s="22" t="s">
        <v>24</v>
      </c>
      <c r="C324" s="23" t="s">
        <v>1237</v>
      </c>
      <c r="D324" s="24" t="str">
        <f t="shared" si="8"/>
        <v>Osi.TemplateAddTo("4842e9ec-95ba-4168-81a9-f184b08d6c2c", GetHostCharacter(), 1, 1);</v>
      </c>
      <c r="E324" s="15"/>
      <c r="F324" s="15"/>
    </row>
    <row r="325">
      <c r="A325" s="21" t="str">
        <f>HYPERLINK("https://bg3.wiki/wiki/Chain_Shirt", "Chain Shirt")</f>
        <v>Chain Shirt</v>
      </c>
      <c r="B325" s="22" t="s">
        <v>11</v>
      </c>
      <c r="C325" s="23" t="s">
        <v>1238</v>
      </c>
      <c r="D325" s="24" t="str">
        <f t="shared" si="8"/>
        <v>Osi.TemplateAddTo("921cd1e1-c39c-44c3-a090-b667322af7f8", GetHostCharacter(), 1, 1);</v>
      </c>
      <c r="E325" s="15"/>
      <c r="F325" s="15"/>
    </row>
    <row r="326">
      <c r="A326" s="21" t="str">
        <f>HYPERLINK("https://bg3.wiki/wiki/Chain_Shirt", "Chain Shirt (Shadowheart)")</f>
        <v>Chain Shirt (Shadowheart)</v>
      </c>
      <c r="B326" s="22" t="s">
        <v>11</v>
      </c>
      <c r="C326" s="23" t="s">
        <v>1239</v>
      </c>
      <c r="D326" s="24" t="str">
        <f t="shared" si="8"/>
        <v>Osi.TemplateAddTo("0c0c1031-4a04-4e8f-ba8a-8aafa2a396e8", GetHostCharacter(), 1, 1);</v>
      </c>
      <c r="E326" s="15"/>
      <c r="F326" s="15"/>
    </row>
    <row r="327">
      <c r="A327" s="21" t="str">
        <f>HYPERLINK("https://bg3.wiki/wiki/Chain_Shirt_%2B1", "Chain Shirt +1")</f>
        <v>Chain Shirt +1</v>
      </c>
      <c r="B327" s="22" t="s">
        <v>17</v>
      </c>
      <c r="C327" s="23" t="s">
        <v>1240</v>
      </c>
      <c r="D327" s="24" t="str">
        <f t="shared" si="8"/>
        <v>Osi.TemplateAddTo("eac652ed-ecf7-4505-bf64-0fec29e7d677", GetHostCharacter(), 1, 1);</v>
      </c>
      <c r="E327" s="15"/>
      <c r="F327" s="15"/>
    </row>
    <row r="328">
      <c r="A328" s="21" t="str">
        <f>HYPERLINK("https://bg3.wiki/wiki/Chain_Shirt_%2B2", "Chain Shirt +2")</f>
        <v>Chain Shirt +2</v>
      </c>
      <c r="B328" s="22" t="s">
        <v>24</v>
      </c>
      <c r="C328" s="23" t="s">
        <v>1241</v>
      </c>
      <c r="D328" s="24" t="str">
        <f t="shared" si="8"/>
        <v>Osi.TemplateAddTo("461f1cbe-6d0d-40ee-8bf6-8a68e0570d6f", GetHostCharacter(), 1, 1);</v>
      </c>
      <c r="E328" s="15"/>
      <c r="F328" s="15"/>
    </row>
    <row r="329">
      <c r="A329" s="21" t="str">
        <f>HYPERLINK("https://bg3.wiki/wiki/Chain_of_Liberation", "Chain of Liberation")</f>
        <v>Chain of Liberation</v>
      </c>
      <c r="B329" s="22" t="s">
        <v>17</v>
      </c>
      <c r="C329" s="23" t="s">
        <v>1242</v>
      </c>
      <c r="D329" s="24" t="str">
        <f t="shared" si="8"/>
        <v>Osi.TemplateAddTo("88107048-2ec3-4e48-9670-4d4dd2ca0ff9", GetHostCharacter(), 1, 1);</v>
      </c>
      <c r="E329" s="15"/>
      <c r="F329" s="15"/>
    </row>
    <row r="330">
      <c r="A330" s="21" t="str">
        <f>HYPERLINK("https://bg3.wiki/wiki/Damaged_Dark_Justiciar_Armour", "Damaged Dark Justiciar Armour")</f>
        <v>Damaged Dark Justiciar Armour</v>
      </c>
      <c r="B330" s="22" t="s">
        <v>11</v>
      </c>
      <c r="C330" s="23" t="s">
        <v>1243</v>
      </c>
      <c r="D330" s="24" t="str">
        <f t="shared" si="8"/>
        <v>Osi.TemplateAddTo("51c2ee09-25e3-4872-ab84-e4d6e4af1246", GetHostCharacter(), 1, 1);</v>
      </c>
      <c r="E330" s="15"/>
      <c r="F330" s="15"/>
    </row>
    <row r="331">
      <c r="A331" s="21" t="str">
        <f>HYPERLINK("https://bg3.wiki/wiki/Damaged_Scale_Mail", "Damaged Scale Mail")</f>
        <v>Damaged Scale Mail</v>
      </c>
      <c r="B331" s="22" t="s">
        <v>11</v>
      </c>
      <c r="C331" s="23" t="s">
        <v>1244</v>
      </c>
      <c r="D331" s="24" t="str">
        <f t="shared" si="8"/>
        <v>Osi.TemplateAddTo("ddf6982a-72d4-44db-a152-4dd2b816e836", GetHostCharacter(), 1, 1);</v>
      </c>
      <c r="E331" s="15"/>
      <c r="F331" s="15"/>
    </row>
    <row r="332">
      <c r="A332" s="21" t="str">
        <f>HYPERLINK("https://bg3.wiki/wiki/Dark_Justiciar_Half-Plate_(Rare)", "Dark Justiciar Half-Plate (Rare)")</f>
        <v>Dark Justiciar Half-Plate (Rare)</v>
      </c>
      <c r="B332" s="22" t="s">
        <v>24</v>
      </c>
      <c r="C332" s="23" t="s">
        <v>1245</v>
      </c>
      <c r="D332" s="24" t="str">
        <f t="shared" si="8"/>
        <v>Osi.TemplateAddTo("20318684-a35f-4830-b566-41ecd379893a", GetHostCharacter(), 1, 1);</v>
      </c>
      <c r="E332" s="15"/>
      <c r="F332" s="15"/>
    </row>
    <row r="333">
      <c r="A333" s="21" t="str">
        <f>HYPERLINK("https://bg3.wiki/wiki/Dark_Justiciar_Half-Plate_(Very_Rare)", "Dark Justiciar Half-Plate (Very Rare)")</f>
        <v>Dark Justiciar Half-Plate (Very Rare)</v>
      </c>
      <c r="B333" s="22" t="s">
        <v>19</v>
      </c>
      <c r="C333" s="23" t="s">
        <v>1246</v>
      </c>
      <c r="D333" s="24" t="str">
        <f t="shared" si="8"/>
        <v>Osi.TemplateAddTo("742d43ff-b74d-4cbe-9554-51773bbccdc2", GetHostCharacter(), 1, 1);</v>
      </c>
      <c r="E333" s="15"/>
      <c r="F333" s="15"/>
    </row>
    <row r="334">
      <c r="A334" s="21" t="str">
        <f>HYPERLINK("https://bg3.wiki/wiki/Dark_Justiciar_Mail", "Dark Justiciar Mail")</f>
        <v>Dark Justiciar Mail</v>
      </c>
      <c r="B334" s="22" t="s">
        <v>17</v>
      </c>
      <c r="C334" s="23" t="s">
        <v>1247</v>
      </c>
      <c r="D334" s="24" t="str">
        <f t="shared" si="8"/>
        <v>Osi.TemplateAddTo("14c4c9a8-9d2b-4b15-a6b6-a24852092c5a", GetHostCharacter(), 1, 1);</v>
      </c>
      <c r="E334" s="15"/>
      <c r="F334" s="15"/>
    </row>
    <row r="335">
      <c r="A335" s="21" t="str">
        <f>HYPERLINK("https://bg3.wiki/wiki/Dreamwalker_Plate", "Dreamwalker Plate")</f>
        <v>Dreamwalker Plate</v>
      </c>
      <c r="B335" s="22" t="s">
        <v>11</v>
      </c>
      <c r="C335" s="23" t="s">
        <v>1248</v>
      </c>
      <c r="D335" s="24" t="str">
        <f t="shared" si="8"/>
        <v>Osi.TemplateAddTo("aa0917ea-5f66-4a22-97de-654228484128", GetHostCharacter(), 1, 1);</v>
      </c>
      <c r="E335" s="15"/>
      <c r="F335" s="15"/>
    </row>
    <row r="336">
      <c r="A336" s="21" t="str">
        <f>HYPERLINK("https://bg3.wiki/wiki/Elven_Chain", "Elven Chain")</f>
        <v>Elven Chain</v>
      </c>
      <c r="B336" s="22" t="s">
        <v>24</v>
      </c>
      <c r="C336" s="23" t="s">
        <v>1249</v>
      </c>
      <c r="D336" s="24" t="str">
        <f t="shared" si="8"/>
        <v>Osi.TemplateAddTo("391bccb7-8199-41e3-9aa3-261def2ebf26", GetHostCharacter(), 1, 1);</v>
      </c>
      <c r="E336" s="15"/>
      <c r="F336" s="15"/>
    </row>
    <row r="337">
      <c r="A337" s="21" t="str">
        <f>HYPERLINK("https://bg3.wiki/wiki/Flame_Enamelled_Armour", "Flame Enamelled Armour")</f>
        <v>Flame Enamelled Armour</v>
      </c>
      <c r="B337" s="22" t="s">
        <v>19</v>
      </c>
      <c r="C337" s="23" t="s">
        <v>1250</v>
      </c>
      <c r="D337" s="24" t="str">
        <f t="shared" si="8"/>
        <v>Osi.TemplateAddTo("12a8f326-cc3a-4d21-92c2-f3a6d0fcaee3", GetHostCharacter(), 1, 1);</v>
      </c>
      <c r="E337" s="15"/>
      <c r="F337" s="15"/>
    </row>
    <row r="338">
      <c r="A338" s="21" t="str">
        <f>HYPERLINK("https://bg3.wiki/wiki/Githyanki_Breastplate", "Githyanki Breastplate")</f>
        <v>Githyanki Breastplate</v>
      </c>
      <c r="B338" s="22" t="s">
        <v>24</v>
      </c>
      <c r="C338" s="23" t="s">
        <v>1251</v>
      </c>
      <c r="D338" s="24" t="str">
        <f t="shared" si="8"/>
        <v>Osi.TemplateAddTo("203f10e9-10d7-4252-ba73-4e726d552ae6", GetHostCharacter(), 1, 1);</v>
      </c>
      <c r="E338" s="15"/>
      <c r="F338" s="15"/>
    </row>
    <row r="339">
      <c r="A339" s="21" t="str">
        <f>HYPERLINK("https://bg3.wiki/wiki/Githyanki_Half_Plate", "Githyanki Half Plate")</f>
        <v>Githyanki Half Plate</v>
      </c>
      <c r="B339" s="22" t="s">
        <v>11</v>
      </c>
      <c r="C339" s="23" t="s">
        <v>1252</v>
      </c>
      <c r="D339" s="24" t="str">
        <f t="shared" si="8"/>
        <v>Osi.TemplateAddTo("38c63f49-3c50-46d0-90d3-68b247542c36", GetHostCharacter(), 1, 1);</v>
      </c>
    </row>
    <row r="340">
      <c r="A340" s="21" t="str">
        <f>HYPERLINK("https://bg3.wiki/wiki/Githyanki_Half_Plate", "Githyanki Half Plate (Cut V1)")</f>
        <v>Githyanki Half Plate (Cut V1)</v>
      </c>
      <c r="B340" s="22" t="s">
        <v>11</v>
      </c>
      <c r="C340" s="23" t="s">
        <v>1253</v>
      </c>
      <c r="D340" s="24" t="str">
        <f t="shared" si="8"/>
        <v>Osi.TemplateAddTo("85ed2fdb-c676-4e14-9641-ffda788078e8", GetHostCharacter(), 1, 1);</v>
      </c>
      <c r="E340" s="27" t="s">
        <v>1254</v>
      </c>
      <c r="F340" s="27"/>
    </row>
    <row r="341">
      <c r="A341" s="21" t="str">
        <f t="shared" ref="A341:A342" si="9">HYPERLINK("https://bg3.wiki/wiki/Githyanki_Half_Plate", "Githyanki Half Plate (Cut V2)")</f>
        <v>Githyanki Half Plate (Cut V2)</v>
      </c>
      <c r="B341" s="22" t="s">
        <v>11</v>
      </c>
      <c r="C341" s="23" t="s">
        <v>1255</v>
      </c>
      <c r="D341" s="24" t="str">
        <f t="shared" si="8"/>
        <v>Osi.TemplateAddTo("d1ec23df-f3d6-4378-ab07-dea2ff1ad556", GetHostCharacter(), 1, 1);</v>
      </c>
      <c r="E341" s="27" t="s">
        <v>1254</v>
      </c>
      <c r="F341" s="27"/>
    </row>
    <row r="342">
      <c r="A342" s="21" t="str">
        <f t="shared" si="9"/>
        <v>Githyanki Half Plate (Cut V2)</v>
      </c>
      <c r="B342" s="22" t="s">
        <v>11</v>
      </c>
      <c r="C342" s="23" t="s">
        <v>1256</v>
      </c>
      <c r="D342" s="24" t="str">
        <f t="shared" si="8"/>
        <v>Osi.TemplateAddTo("1306c1bf-7db6-4036-9799-a5d1a1745694", GetHostCharacter(), 1, 1);</v>
      </c>
      <c r="E342" s="27" t="s">
        <v>1254</v>
      </c>
      <c r="F342" s="27"/>
    </row>
    <row r="343">
      <c r="A343" s="21" t="str">
        <f>HYPERLINK("https://bg3.wiki/wiki/Half_Plate_Armour", "Half Plate Armour")</f>
        <v>Half Plate Armour</v>
      </c>
      <c r="B343" s="22" t="s">
        <v>11</v>
      </c>
      <c r="C343" s="23" t="s">
        <v>1257</v>
      </c>
      <c r="D343" s="24" t="str">
        <f t="shared" si="8"/>
        <v>Osi.TemplateAddTo("34a71679-0ab5-4fd4-bba8-d6ad341ee490", GetHostCharacter(), 1, 1);</v>
      </c>
      <c r="E343" s="15"/>
      <c r="F343" s="15"/>
    </row>
    <row r="344">
      <c r="A344" s="21" t="str">
        <f>HYPERLINK("https://bg3.wiki/wiki/Half_Plate_Armour", "Half Plate Armour (Fists Grey)")</f>
        <v>Half Plate Armour (Fists Grey)</v>
      </c>
      <c r="B344" s="22" t="s">
        <v>11</v>
      </c>
      <c r="C344" s="23" t="s">
        <v>1258</v>
      </c>
      <c r="D344" s="24" t="str">
        <f t="shared" si="8"/>
        <v>Osi.TemplateAddTo("4aa373b2-0cb7-4b69-af38-0d1352236a1f", GetHostCharacter(), 1, 1);</v>
      </c>
      <c r="E344" s="15"/>
      <c r="F344" s="15"/>
    </row>
    <row r="345">
      <c r="A345" s="21" t="str">
        <f>HYPERLINK("https://bg3.wiki/wiki/Half_Plate_Armour", "Half Plate Armour (Fists Yellow)")</f>
        <v>Half Plate Armour (Fists Yellow)</v>
      </c>
      <c r="B345" s="22" t="s">
        <v>11</v>
      </c>
      <c r="C345" s="23" t="s">
        <v>1259</v>
      </c>
      <c r="D345" s="24" t="str">
        <f t="shared" si="8"/>
        <v>Osi.TemplateAddTo("6fbbe358-8915-4781-b738-098c3e5a3bff", GetHostCharacter(), 1, 1);</v>
      </c>
      <c r="E345" s="15"/>
      <c r="F345" s="15"/>
    </row>
    <row r="346">
      <c r="A346" s="21" t="str">
        <f>HYPERLINK("https://bg3.wiki/wiki/Half_Plate_Armour_%2B1", "Half Plate Armour +1")</f>
        <v>Half Plate Armour +1</v>
      </c>
      <c r="B346" s="22" t="s">
        <v>17</v>
      </c>
      <c r="C346" s="23" t="s">
        <v>1260</v>
      </c>
      <c r="D346" s="24" t="str">
        <f t="shared" si="8"/>
        <v>Osi.TemplateAddTo("c3407c8d-0180-4f5a-9530-e1167e7290b3", GetHostCharacter(), 1, 1);</v>
      </c>
      <c r="E346" s="15"/>
      <c r="F346" s="15"/>
    </row>
    <row r="347">
      <c r="A347" s="21" t="str">
        <f>HYPERLINK("https://bg3.wiki/wiki/Half_Plate_Armour_%2B2", "Half Plate Armour +2")</f>
        <v>Half Plate Armour +2</v>
      </c>
      <c r="B347" s="22" t="s">
        <v>24</v>
      </c>
      <c r="C347" s="23" t="s">
        <v>1261</v>
      </c>
      <c r="D347" s="24" t="str">
        <f t="shared" si="8"/>
        <v>Osi.TemplateAddTo("15338da1-c4f8-4b43-912c-c14e7d9a8579", GetHostCharacter(), 1, 1);</v>
      </c>
      <c r="E347" s="15"/>
      <c r="F347" s="15"/>
    </row>
    <row r="348">
      <c r="A348" s="21" t="str">
        <f>HYPERLINK("https://bg3.wiki/wiki/Hedge_Wanderer_Armour", "Hedge Wanderer Armour")</f>
        <v>Hedge Wanderer Armour</v>
      </c>
      <c r="B348" s="22" t="s">
        <v>17</v>
      </c>
      <c r="C348" s="23" t="s">
        <v>1262</v>
      </c>
      <c r="D348" s="24" t="str">
        <f t="shared" si="8"/>
        <v>Osi.TemplateAddTo("9cf8e8a9-16ee-4186-88b7-bdfcaa734e61", GetHostCharacter(), 1, 1);</v>
      </c>
      <c r="E348" s="15"/>
      <c r="F348" s="15"/>
    </row>
    <row r="349">
      <c r="A349" s="21" t="str">
        <f>HYPERLINK("https://bg3.wiki/wiki/Hide_Armour", "Hide Armour")</f>
        <v>Hide Armour</v>
      </c>
      <c r="B349" s="22" t="s">
        <v>11</v>
      </c>
      <c r="C349" s="23" t="s">
        <v>1263</v>
      </c>
      <c r="D349" s="24" t="str">
        <f t="shared" si="8"/>
        <v>Osi.TemplateAddTo("b78fabcc-d2df-4c74-b5d4-1eda6dc4c071", GetHostCharacter(), 1, 1);</v>
      </c>
      <c r="E349" s="15"/>
      <c r="F349" s="15"/>
    </row>
    <row r="350">
      <c r="A350" s="21" t="str">
        <f>HYPERLINK("https://bg3.wiki/wiki/Hide_Armour_%2B1", "Hide Armour +1")</f>
        <v>Hide Armour +1</v>
      </c>
      <c r="B350" s="22" t="s">
        <v>17</v>
      </c>
      <c r="C350" s="23" t="s">
        <v>1264</v>
      </c>
      <c r="D350" s="24" t="str">
        <f t="shared" si="8"/>
        <v>Osi.TemplateAddTo("94ed8ec8-93a4-4a8c-bc47-55cb3faae7c0", GetHostCharacter(), 1, 1);</v>
      </c>
      <c r="E350" s="15"/>
      <c r="F350" s="15"/>
    </row>
    <row r="351">
      <c r="A351" s="21" t="str">
        <f>HYPERLINK("https://bg3.wiki/wiki/Hide_Armour_%2B2", "Hide Armour +2")</f>
        <v>Hide Armour +2</v>
      </c>
      <c r="B351" s="22" t="s">
        <v>24</v>
      </c>
      <c r="C351" s="23" t="s">
        <v>1265</v>
      </c>
      <c r="D351" s="24" t="str">
        <f t="shared" si="8"/>
        <v>Osi.TemplateAddTo("fd4ab5b0-67e6-4a8b-8745-2003f2f5ada3", GetHostCharacter(), 1, 1);</v>
      </c>
      <c r="E351" s="15"/>
      <c r="F351" s="15"/>
    </row>
    <row r="352">
      <c r="A352" s="21" t="str">
        <f>HYPERLINK("https://bg3.wiki/wiki/Ironwood_Breastplate", "Ironwood Breastplate")</f>
        <v>Ironwood Breastplate</v>
      </c>
      <c r="B352" s="22" t="s">
        <v>17</v>
      </c>
      <c r="C352" s="23" t="s">
        <v>1266</v>
      </c>
      <c r="D352" s="24" t="str">
        <f t="shared" si="8"/>
        <v>Osi.TemplateAddTo("e17c0a45-e064-4a9f-8bcb-ba273440008d", GetHostCharacter(), 1, 1);</v>
      </c>
      <c r="E352" s="15"/>
      <c r="F352" s="15"/>
    </row>
    <row r="353">
      <c r="A353" s="21" t="str">
        <f>HYPERLINK("https://bg3.wiki/wiki/Luminous_Armour", "Luminous Armour")</f>
        <v>Luminous Armour</v>
      </c>
      <c r="B353" s="22" t="s">
        <v>17</v>
      </c>
      <c r="C353" s="23" t="s">
        <v>1267</v>
      </c>
      <c r="D353" s="24" t="str">
        <f t="shared" si="8"/>
        <v>Osi.TemplateAddTo("a2cbaf4f-3eb8-4362-9f2e-d325a0d47a36", GetHostCharacter(), 1, 1);</v>
      </c>
      <c r="E353" s="15"/>
      <c r="F353" s="15"/>
    </row>
    <row r="354">
      <c r="A354" s="21" t="str">
        <f>HYPERLINK("https://bg3.wiki/wiki/Nightsinger%27s_Half-Plate", "Nightsinger's Half-Plate")</f>
        <v>Nightsinger's Half-Plate</v>
      </c>
      <c r="B354" s="22" t="s">
        <v>24</v>
      </c>
      <c r="C354" s="23" t="s">
        <v>1268</v>
      </c>
      <c r="D354" s="24" t="str">
        <f t="shared" si="8"/>
        <v>Osi.TemplateAddTo("dd3f1c98-cdf7-46f3-bb8b-5489dc3433ca", GetHostCharacter(), 1, 1);</v>
      </c>
      <c r="E354" s="15"/>
      <c r="F354" s="15"/>
    </row>
    <row r="355">
      <c r="A355" s="21" t="str">
        <f>HYPERLINK("https://bg3.wiki/wiki/Psionic_Ward_Armour", "Psionic Ward Armour")</f>
        <v>Psionic Ward Armour</v>
      </c>
      <c r="B355" s="22" t="s">
        <v>24</v>
      </c>
      <c r="C355" s="23" t="s">
        <v>1269</v>
      </c>
      <c r="D355" s="24" t="str">
        <f t="shared" si="8"/>
        <v>Osi.TemplateAddTo("f601bac2-16a7-4da0-854a-ae4132ca448f", GetHostCharacter(), 1, 1);</v>
      </c>
      <c r="E355" s="15"/>
      <c r="F355" s="15"/>
    </row>
    <row r="356">
      <c r="A356" s="21" t="str">
        <f>HYPERLINK("https://bg3.wiki/wiki/Robust_Chain_Shirt", "Robust Chain Shirt")</f>
        <v>Robust Chain Shirt</v>
      </c>
      <c r="B356" s="22" t="s">
        <v>17</v>
      </c>
      <c r="C356" s="23" t="s">
        <v>1270</v>
      </c>
      <c r="D356" s="24" t="str">
        <f t="shared" si="8"/>
        <v>Osi.TemplateAddTo("81cdbea7-3cd5-44a5-baa7-852c930bdf7b", GetHostCharacter(), 1, 1);</v>
      </c>
      <c r="E356" s="15"/>
      <c r="F356" s="15"/>
    </row>
    <row r="357">
      <c r="A357" s="21" t="str">
        <f>HYPERLINK("https://bg3.wiki/wiki/Scale_Mail", "Scale Mail")</f>
        <v>Scale Mail</v>
      </c>
      <c r="B357" s="22" t="s">
        <v>11</v>
      </c>
      <c r="C357" s="23" t="s">
        <v>1271</v>
      </c>
      <c r="D357" s="24" t="str">
        <f t="shared" si="8"/>
        <v>Osi.TemplateAddTo("ca0aafad-0f1e-4d76-8e3b-925397bb436b", GetHostCharacter(), 1, 1);</v>
      </c>
      <c r="E357" s="15"/>
      <c r="F357" s="15"/>
    </row>
    <row r="358">
      <c r="A358" s="21" t="str">
        <f>HYPERLINK("https://bg3.wiki/wiki/Scale_Mail", "Scale Mail (Flaming fist)")</f>
        <v>Scale Mail (Flaming fist)</v>
      </c>
      <c r="B358" s="22" t="s">
        <v>11</v>
      </c>
      <c r="C358" s="23" t="s">
        <v>1272</v>
      </c>
      <c r="D358" s="24" t="str">
        <f t="shared" si="8"/>
        <v>Osi.TemplateAddTo("0db0d565-db86-4213-befa-096c3bd09330", GetHostCharacter(), 1, 1);</v>
      </c>
      <c r="E358" s="15"/>
      <c r="F358" s="15"/>
    </row>
    <row r="359">
      <c r="A359" s="21" t="str">
        <f>HYPERLINK("https://bg3.wiki/wiki/Scale_Mail_%2B1", "Scale Mail +1")</f>
        <v>Scale Mail +1</v>
      </c>
      <c r="B359" s="22" t="s">
        <v>17</v>
      </c>
      <c r="C359" s="23" t="s">
        <v>1273</v>
      </c>
      <c r="D359" s="24" t="str">
        <f t="shared" si="8"/>
        <v>Osi.TemplateAddTo("dc748177-8590-4a99-a446-feccbd8d8eb4", GetHostCharacter(), 1, 1);</v>
      </c>
      <c r="E359" s="15"/>
      <c r="F359" s="15"/>
    </row>
    <row r="360">
      <c r="A360" s="21" t="str">
        <f>HYPERLINK("https://bg3.wiki/wiki/Scale_Mail_%2B2", "Scale Mail +2")</f>
        <v>Scale Mail +2</v>
      </c>
      <c r="B360" s="22" t="s">
        <v>24</v>
      </c>
      <c r="C360" s="23" t="s">
        <v>1274</v>
      </c>
      <c r="D360" s="24" t="str">
        <f t="shared" si="8"/>
        <v>Osi.TemplateAddTo("21f0dd84-6f02-4be9-8654-4cebd00dcbaf", GetHostCharacter(), 1, 1);</v>
      </c>
      <c r="E360" s="15"/>
      <c r="F360" s="15"/>
    </row>
    <row r="361">
      <c r="A361" s="21" t="str">
        <f>HYPERLINK("https://bg3.wiki/wiki/Scale_Mail_of_Devotion", "Scale Mail of Devotion")</f>
        <v>Scale Mail of Devotion</v>
      </c>
      <c r="B361" s="22" t="s">
        <v>11</v>
      </c>
      <c r="C361" s="23" t="s">
        <v>1275</v>
      </c>
      <c r="D361" s="24" t="str">
        <f t="shared" si="8"/>
        <v>Osi.TemplateAddTo("a455f1a1-acc6-4fce-a09e-111aceced98a", GetHostCharacter(), 1, 1);</v>
      </c>
      <c r="E361" s="15"/>
      <c r="F361" s="15"/>
    </row>
    <row r="362">
      <c r="A362" s="21" t="str">
        <f>HYPERLINK("https://bg3.wiki/wiki/Scale_Mail_of_Vengeance", "Scale Mail of Vengeance")</f>
        <v>Scale Mail of Vengeance</v>
      </c>
      <c r="B362" s="22" t="s">
        <v>11</v>
      </c>
      <c r="C362" s="23" t="s">
        <v>1276</v>
      </c>
      <c r="D362" s="24" t="str">
        <f t="shared" si="8"/>
        <v>Osi.TemplateAddTo("bed301f2-cbb8-492f-b94a-597dfc119b3c", GetHostCharacter(), 1, 1);</v>
      </c>
      <c r="E362" s="15"/>
      <c r="F362" s="15"/>
    </row>
    <row r="363">
      <c r="A363" s="21" t="str">
        <f>HYPERLINK("https://bg3.wiki/wiki/Scale_Mail_of_the_Ancients", "Scale Mail of the Ancients")</f>
        <v>Scale Mail of the Ancients</v>
      </c>
      <c r="B363" s="22" t="s">
        <v>11</v>
      </c>
      <c r="C363" s="23" t="s">
        <v>1277</v>
      </c>
      <c r="D363" s="24" t="str">
        <f t="shared" si="8"/>
        <v>Osi.TemplateAddTo("e4daf34d-053c-471a-9171-92fa9b4db4af", GetHostCharacter(), 1, 1);</v>
      </c>
      <c r="E363" s="15"/>
      <c r="F363" s="15"/>
    </row>
    <row r="364">
      <c r="A364" s="21" t="str">
        <f>HYPERLINK("https://bg3.wiki/wiki/Scale_Mail_of_the_Crown", "Scale Mail of the Crown")</f>
        <v>Scale Mail of the Crown</v>
      </c>
      <c r="B364" s="22" t="s">
        <v>11</v>
      </c>
      <c r="C364" s="23" t="s">
        <v>1278</v>
      </c>
      <c r="D364" s="24" t="str">
        <f t="shared" si="8"/>
        <v>Osi.TemplateAddTo("247bfb1b-2902-4852-b92e-eba0ceaa8249", GetHostCharacter(), 1, 1);</v>
      </c>
      <c r="E364" s="15"/>
      <c r="F364" s="15"/>
    </row>
    <row r="365">
      <c r="A365" s="21" t="str">
        <f>HYPERLINK("https://bg3.wiki/wiki/Sharpened_Snare_Cuirass", "Sharpened Snare Cuirass")</f>
        <v>Sharpened Snare Cuirass</v>
      </c>
      <c r="B365" s="22" t="s">
        <v>19</v>
      </c>
      <c r="C365" s="23" t="s">
        <v>1279</v>
      </c>
      <c r="D365" s="24" t="str">
        <f t="shared" si="8"/>
        <v>Osi.TemplateAddTo("dee3077c-f9ef-4b28-8878-9b61a92ae601", GetHostCharacter(), 1, 1);</v>
      </c>
      <c r="E365" s="15"/>
      <c r="F365" s="15"/>
    </row>
    <row r="366">
      <c r="A366" s="21" t="str">
        <f>HYPERLINK("https://bg3.wiki/wiki/Slippery_Chain_Shirt", "Slippery Chain Shirt")</f>
        <v>Slippery Chain Shirt</v>
      </c>
      <c r="B366" s="22" t="s">
        <v>17</v>
      </c>
      <c r="C366" s="23" t="s">
        <v>1280</v>
      </c>
      <c r="D366" s="24" t="str">
        <f t="shared" si="8"/>
        <v>Osi.TemplateAddTo("e6e74ef9-1916-4c6b-a7bb-98fc83e71b62", GetHostCharacter(), 1, 1);</v>
      </c>
      <c r="E366" s="15"/>
      <c r="F366" s="15"/>
    </row>
    <row r="367">
      <c r="A367" s="21" t="str">
        <f>HYPERLINK("https://bg3.wiki/wiki/The_Jolty_Vest", "The Jolty Vest")</f>
        <v>The Jolty Vest</v>
      </c>
      <c r="B367" s="22" t="s">
        <v>24</v>
      </c>
      <c r="C367" s="23" t="s">
        <v>1281</v>
      </c>
      <c r="D367" s="24" t="str">
        <f t="shared" si="8"/>
        <v>Osi.TemplateAddTo("1fda52bd-6983-49a3-ba52-6756327a5182", GetHostCharacter(), 1, 1);</v>
      </c>
      <c r="E367" s="15"/>
      <c r="F367" s="15"/>
    </row>
    <row r="368">
      <c r="A368" s="21" t="str">
        <f>HYPERLINK("https://bg3.wiki/wiki/The_Oak_Father%27s_Embrace", "The Oak Father's Embrace")</f>
        <v>The Oak Father's Embrace</v>
      </c>
      <c r="B368" s="22" t="s">
        <v>17</v>
      </c>
      <c r="C368" s="23" t="s">
        <v>1282</v>
      </c>
      <c r="D368" s="24" t="str">
        <f t="shared" si="8"/>
        <v>Osi.TemplateAddTo("9ab8b5fa-ba00-44d4-8c4a-50acd5fa62e3", GetHostCharacter(), 1, 1);</v>
      </c>
      <c r="E368" s="15"/>
      <c r="F368" s="15"/>
    </row>
    <row r="369">
      <c r="A369" s="21" t="str">
        <f>HYPERLINK("https://bg3.wiki/wiki/Unwanted_Masterwork_Scalemail", "Unwanted Masterwork Scalemail")</f>
        <v>Unwanted Masterwork Scalemail</v>
      </c>
      <c r="B369" s="22" t="s">
        <v>24</v>
      </c>
      <c r="C369" s="23" t="s">
        <v>1283</v>
      </c>
      <c r="D369" s="24" t="str">
        <f t="shared" si="8"/>
        <v>Osi.TemplateAddTo("5ff8df3a-6924-4eb4-9d1a-9e87bd644bf7", GetHostCharacter(), 1, 1);</v>
      </c>
      <c r="E369" s="15"/>
      <c r="F369" s="15"/>
    </row>
    <row r="370">
      <c r="A370" s="38" t="str">
        <f>HYPERLINK("https://bg3.wiki/wiki/Yuan-Ti_Scale_Mail", "Yuan-Ti Scale Mail")</f>
        <v>Yuan-Ti Scale Mail</v>
      </c>
      <c r="B370" s="39" t="s">
        <v>24</v>
      </c>
      <c r="C370" s="40" t="s">
        <v>1284</v>
      </c>
      <c r="D370" s="41" t="str">
        <f t="shared" si="8"/>
        <v>Osi.TemplateAddTo("14ebeea8-7d0a-47a9-ba79-b1168c21f8d4", GetHostCharacter(), 1, 1);</v>
      </c>
      <c r="E370" s="15"/>
      <c r="F370" s="15"/>
    </row>
    <row r="371">
      <c r="C371" s="42"/>
    </row>
    <row r="372">
      <c r="A372" s="55" t="s">
        <v>1285</v>
      </c>
      <c r="B372" s="22"/>
      <c r="C372" s="23"/>
      <c r="D372" s="22"/>
    </row>
    <row r="373">
      <c r="A373" s="34" t="s">
        <v>7</v>
      </c>
      <c r="B373" s="35" t="s">
        <v>8</v>
      </c>
      <c r="C373" s="35" t="s">
        <v>9</v>
      </c>
      <c r="D373" s="36" t="s">
        <v>10</v>
      </c>
      <c r="E373" s="43"/>
      <c r="F373" s="43"/>
    </row>
    <row r="374">
      <c r="A374" s="21" t="str">
        <f>HYPERLINK("https://bg3.wiki/wiki/Adamantine_Splint_Armour", "Adamantine Splint Armour")</f>
        <v>Adamantine Splint Armour</v>
      </c>
      <c r="B374" s="22" t="s">
        <v>19</v>
      </c>
      <c r="C374" s="23" t="s">
        <v>1286</v>
      </c>
      <c r="D374" s="24" t="str">
        <f t="shared" ref="D374:D400" si="10">"Osi.TemplateAddTo("""&amp; C374 &amp;""", GetHostCharacter(), 1, 1);"</f>
        <v>Osi.TemplateAddTo("ea3cf349-19ab-4104-9253-8e182bdbf538", GetHostCharacter(), 1, 1);</v>
      </c>
      <c r="E374" s="15"/>
      <c r="F374" s="15"/>
    </row>
    <row r="375">
      <c r="A375" s="21" t="str">
        <f>HYPERLINK("https://bg3.wiki/wiki/Armour_of_Devotion", "Armour of Devotion")</f>
        <v>Armour of Devotion</v>
      </c>
      <c r="B375" s="22" t="s">
        <v>24</v>
      </c>
      <c r="C375" s="23" t="s">
        <v>1287</v>
      </c>
      <c r="D375" s="24" t="str">
        <f t="shared" si="10"/>
        <v>Osi.TemplateAddTo("c4af39d8-628d-4791-9dc4-4446ee31e160", GetHostCharacter(), 1, 1);</v>
      </c>
      <c r="E375" s="15"/>
      <c r="F375" s="15"/>
    </row>
    <row r="376">
      <c r="A376" s="21" t="str">
        <f>HYPERLINK("https://bg3.wiki/wiki/Armour_of_Persistence", "Armour of Persistence")</f>
        <v>Armour of Persistence</v>
      </c>
      <c r="B376" s="22" t="s">
        <v>19</v>
      </c>
      <c r="C376" s="23" t="s">
        <v>1288</v>
      </c>
      <c r="D376" s="24" t="str">
        <f t="shared" si="10"/>
        <v>Osi.TemplateAddTo("fb2ff6d1-3096-4904-813c-a448e3fbec4d", GetHostCharacter(), 1, 1);</v>
      </c>
      <c r="E376" s="15"/>
      <c r="F376" s="15"/>
    </row>
    <row r="377">
      <c r="A377" s="21" t="str">
        <f>HYPERLINK("https://bg3.wiki/wiki/Blackguard%27s_Plate", "Blackguard's Plate")</f>
        <v>Blackguard's Plate</v>
      </c>
      <c r="B377" s="22" t="s">
        <v>19</v>
      </c>
      <c r="C377" s="23" t="s">
        <v>1289</v>
      </c>
      <c r="D377" s="24" t="str">
        <f t="shared" si="10"/>
        <v>Osi.TemplateAddTo("1109da0a-2d12-4ed3-a93a-fe369023ead3", GetHostCharacter(), 1, 1);</v>
      </c>
      <c r="E377" s="15"/>
      <c r="F377" s="15"/>
    </row>
    <row r="378">
      <c r="A378" s="21" t="str">
        <f>HYPERLINK("https://bg3.wiki/wiki/Cerebral_Citadel_Armour", "Cerebral Citadel Armour")</f>
        <v>Cerebral Citadel Armour</v>
      </c>
      <c r="B378" s="22" t="s">
        <v>24</v>
      </c>
      <c r="C378" s="23" t="s">
        <v>1290</v>
      </c>
      <c r="D378" s="24" t="str">
        <f t="shared" si="10"/>
        <v>Osi.TemplateAddTo("ee3c78be-d33b-4d1b-b433-2634a39f50aa", GetHostCharacter(), 1, 1);</v>
      </c>
      <c r="E378" s="15"/>
      <c r="F378" s="15"/>
    </row>
    <row r="379">
      <c r="A379" s="21" t="str">
        <f>HYPERLINK("https://bg3.wiki/wiki/Chain_Mail", "Chain Mail")</f>
        <v>Chain Mail</v>
      </c>
      <c r="B379" s="22" t="s">
        <v>11</v>
      </c>
      <c r="C379" s="23" t="s">
        <v>1291</v>
      </c>
      <c r="D379" s="24" t="str">
        <f t="shared" si="10"/>
        <v>Osi.TemplateAddTo("b973e3cb-c18d-4514-ba01-ebcabbf26968", GetHostCharacter(), 1, 1);</v>
      </c>
      <c r="E379" s="15"/>
      <c r="F379" s="15"/>
    </row>
    <row r="380">
      <c r="A380" s="21" t="str">
        <f>HYPERLINK("https://bg3.wiki/wiki/Chain_Mail_%2B1", "Chain Mail +1")</f>
        <v>Chain Mail +1</v>
      </c>
      <c r="B380" s="22" t="s">
        <v>17</v>
      </c>
      <c r="C380" s="23" t="s">
        <v>1292</v>
      </c>
      <c r="D380" s="24" t="str">
        <f t="shared" si="10"/>
        <v>Osi.TemplateAddTo("ed7a8055-cf36-42c8-ad77-15a80d19744f", GetHostCharacter(), 1, 1);</v>
      </c>
      <c r="E380" s="15"/>
      <c r="F380" s="15"/>
    </row>
    <row r="381">
      <c r="A381" s="21" t="str">
        <f>HYPERLINK("https://bg3.wiki/wiki/Chain_Mail_%2B2", "Chain Mail +2")</f>
        <v>Chain Mail +2</v>
      </c>
      <c r="B381" s="22" t="s">
        <v>24</v>
      </c>
      <c r="C381" s="23" t="s">
        <v>1293</v>
      </c>
      <c r="D381" s="24" t="str">
        <f t="shared" si="10"/>
        <v>Osi.TemplateAddTo("d8120501-e5bb-4eb1-b5cf-120b8bfd2ab2", GetHostCharacter(), 1, 1);</v>
      </c>
      <c r="E381" s="15"/>
      <c r="F381" s="15"/>
    </row>
    <row r="382">
      <c r="A382" s="21" t="str">
        <f>HYPERLINK("https://bg3.wiki/wiki/Dwarven_Splintmail", "Dwarven Splintmail")</f>
        <v>Dwarven Splintmail</v>
      </c>
      <c r="B382" s="22" t="s">
        <v>24</v>
      </c>
      <c r="C382" s="23" t="s">
        <v>1294</v>
      </c>
      <c r="D382" s="24" t="str">
        <f t="shared" si="10"/>
        <v>Osi.TemplateAddTo("ed0e4aee-affe-4d80-bf09-086d4515fc2f", GetHostCharacter(), 1, 1);</v>
      </c>
      <c r="E382" s="15"/>
      <c r="F382" s="15"/>
    </row>
    <row r="383">
      <c r="A383" s="21" t="str">
        <f>HYPERLINK("https://bg3.wiki/wiki/Emblazoned_Plate_of_the_Marshal", "Emblazoned Plate of the Marshal")</f>
        <v>Emblazoned Plate of the Marshal</v>
      </c>
      <c r="B383" s="22" t="s">
        <v>19</v>
      </c>
      <c r="C383" s="23" t="s">
        <v>1295</v>
      </c>
      <c r="D383" s="24" t="str">
        <f t="shared" si="10"/>
        <v>Osi.TemplateAddTo("637f2b2f-9947-406e-b942-8b3b884172c0", GetHostCharacter(), 1, 1);</v>
      </c>
      <c r="E383" s="15"/>
      <c r="F383" s="15"/>
    </row>
    <row r="384">
      <c r="A384" s="21" t="str">
        <f>HYPERLINK("https://bg3.wiki/wiki/Flawed_Helldusk_Armour", "Flawed Helldusk Armour")</f>
        <v>Flawed Helldusk Armour</v>
      </c>
      <c r="B384" s="22" t="s">
        <v>24</v>
      </c>
      <c r="C384" s="23" t="s">
        <v>1296</v>
      </c>
      <c r="D384" s="24" t="str">
        <f t="shared" si="10"/>
        <v>Osi.TemplateAddTo("d9863839-e955-47a2-8a06-070f5c3c9541", GetHostCharacter(), 1, 1);</v>
      </c>
      <c r="E384" s="15"/>
      <c r="F384" s="15"/>
    </row>
    <row r="385">
      <c r="A385" s="21" t="str">
        <f>HYPERLINK("https://bg3.wiki/wiki/Helldusk_Armour", "Helldusk Armour")</f>
        <v>Helldusk Armour</v>
      </c>
      <c r="B385" s="22" t="s">
        <v>66</v>
      </c>
      <c r="C385" s="23" t="s">
        <v>1297</v>
      </c>
      <c r="D385" s="24" t="str">
        <f t="shared" si="10"/>
        <v>Osi.TemplateAddTo("7ae705fd-1cfd-4482-a584-d2e68f9c1262", GetHostCharacter(), 1, 1);</v>
      </c>
      <c r="E385" s="15"/>
      <c r="F385" s="15"/>
    </row>
    <row r="386">
      <c r="A386" s="21" t="str">
        <f>HYPERLINK("https://bg3.wiki/wiki/Nightsong%27s_Armour", "Nightsong's Armour")</f>
        <v>Nightsong's Armour</v>
      </c>
      <c r="B386" s="22" t="s">
        <v>17</v>
      </c>
      <c r="C386" s="23" t="s">
        <v>1298</v>
      </c>
      <c r="D386" s="24" t="str">
        <f t="shared" si="10"/>
        <v>Osi.TemplateAddTo("bc4d3f9d-714c-4c40-a54c-b974c8e9d0c6", GetHostCharacter(), 1, 1);</v>
      </c>
      <c r="E386" s="15"/>
      <c r="F386" s="15"/>
    </row>
    <row r="387">
      <c r="A387" s="71" t="s">
        <v>1299</v>
      </c>
      <c r="B387" s="72" t="s">
        <v>991</v>
      </c>
      <c r="C387" s="73" t="s">
        <v>1300</v>
      </c>
      <c r="D387" s="74" t="str">
        <f t="shared" si="10"/>
        <v>Osi.TemplateAddTo("c67137ac-4ece-4652-aaab-14615aa25b20", GetHostCharacter(), 1, 1);</v>
      </c>
      <c r="E387" s="27" t="s">
        <v>993</v>
      </c>
      <c r="F387" s="20"/>
    </row>
    <row r="388">
      <c r="A388" s="21" t="str">
        <f>HYPERLINK("https://bg3.wiki/wiki/Plate_Armour", "Plate Armour")</f>
        <v>Plate Armour</v>
      </c>
      <c r="B388" s="22" t="s">
        <v>11</v>
      </c>
      <c r="C388" s="23" t="s">
        <v>1301</v>
      </c>
      <c r="D388" s="24" t="str">
        <f t="shared" si="10"/>
        <v>Osi.TemplateAddTo("95b4e2c4-759a-4d33-a2d1-4e0ee6ed4f29", GetHostCharacter(), 1, 1);</v>
      </c>
      <c r="E388" s="15"/>
      <c r="F388" s="15"/>
    </row>
    <row r="389">
      <c r="A389" s="21" t="str">
        <f>HYPERLINK("https://bg3.wiki/wiki/Plate_Armour_%2B1", "Plate Armour +1")</f>
        <v>Plate Armour +1</v>
      </c>
      <c r="B389" s="22" t="s">
        <v>17</v>
      </c>
      <c r="C389" s="23" t="s">
        <v>1302</v>
      </c>
      <c r="D389" s="24" t="str">
        <f t="shared" si="10"/>
        <v>Osi.TemplateAddTo("dd905194-9a67-4c61-b26d-5b4da4725cde", GetHostCharacter(), 1, 1);</v>
      </c>
      <c r="E389" s="15"/>
      <c r="F389" s="15"/>
    </row>
    <row r="390">
      <c r="A390" s="21" t="str">
        <f>HYPERLINK("https://bg3.wiki/wiki/Plate_Armour_%2B2", "Plate Armour +2")</f>
        <v>Plate Armour +2</v>
      </c>
      <c r="B390" s="22" t="s">
        <v>24</v>
      </c>
      <c r="C390" s="23" t="s">
        <v>1303</v>
      </c>
      <c r="D390" s="24" t="str">
        <f t="shared" si="10"/>
        <v>Osi.TemplateAddTo("fdb8ce53-51dc-4ccb-9e29-d1d99040e60b", GetHostCharacter(), 1, 1);</v>
      </c>
      <c r="E390" s="15"/>
      <c r="F390" s="15"/>
    </row>
    <row r="391">
      <c r="A391" s="21" t="str">
        <f>HYPERLINK("https://bg3.wiki/wiki/Protective_Plate", "Protective Plate")</f>
        <v>Protective Plate</v>
      </c>
      <c r="B391" s="22" t="s">
        <v>17</v>
      </c>
      <c r="C391" s="23" t="s">
        <v>1304</v>
      </c>
      <c r="D391" s="24" t="str">
        <f t="shared" si="10"/>
        <v>Osi.TemplateAddTo("26c0bb98-7d24-4807-91f0-cf075ea568a9 ", GetHostCharacter(), 1, 1);</v>
      </c>
      <c r="E391" s="27" t="s">
        <v>1092</v>
      </c>
      <c r="F391" s="27"/>
    </row>
    <row r="392">
      <c r="A392" s="21" t="str">
        <f>HYPERLINK("https://bg3.wiki/wiki/Reaper%27s_Embrace", "Reaper's Embrace")</f>
        <v>Reaper's Embrace</v>
      </c>
      <c r="B392" s="22" t="s">
        <v>19</v>
      </c>
      <c r="C392" s="23" t="s">
        <v>1305</v>
      </c>
      <c r="D392" s="24" t="str">
        <f t="shared" si="10"/>
        <v>Osi.TemplateAddTo("adae74e9-c103-4ddc-b7d2-1fa24b527f83", GetHostCharacter(), 1, 1);</v>
      </c>
      <c r="E392" s="15"/>
      <c r="F392" s="15"/>
    </row>
    <row r="393">
      <c r="A393" s="21" t="str">
        <f>HYPERLINK("https://bg3.wiki/wiki/Ring_Mail_Armour", "Ring Mail Armour")</f>
        <v>Ring Mail Armour</v>
      </c>
      <c r="B393" s="22" t="s">
        <v>11</v>
      </c>
      <c r="C393" s="23" t="s">
        <v>1306</v>
      </c>
      <c r="D393" s="24" t="str">
        <f t="shared" si="10"/>
        <v>Osi.TemplateAddTo("e3a5099a-397a-4bbc-932c-cd0a00043b79", GetHostCharacter(), 1, 1);</v>
      </c>
      <c r="E393" s="15"/>
      <c r="F393" s="15"/>
    </row>
    <row r="394">
      <c r="A394" s="21" t="str">
        <f>HYPERLINK("https://bg3.wiki/wiki/Ring_Mail_Armour_%2B1", "Ring Mail Armour +1")</f>
        <v>Ring Mail Armour +1</v>
      </c>
      <c r="B394" s="22" t="s">
        <v>17</v>
      </c>
      <c r="C394" s="23" t="s">
        <v>1307</v>
      </c>
      <c r="D394" s="24" t="str">
        <f t="shared" si="10"/>
        <v>Osi.TemplateAddTo("4837915c-080b-491f-813e-be5a71571a17", GetHostCharacter(), 1, 1);</v>
      </c>
      <c r="E394" s="15"/>
      <c r="F394" s="15"/>
    </row>
    <row r="395">
      <c r="A395" s="21" t="str">
        <f>HYPERLINK("https://bg3.wiki/wiki/Ring_Mail_Armour_%2B2", "Ring Mail Armour +2")</f>
        <v>Ring Mail Armour +2</v>
      </c>
      <c r="B395" s="22" t="s">
        <v>24</v>
      </c>
      <c r="C395" s="23" t="s">
        <v>1308</v>
      </c>
      <c r="D395" s="24" t="str">
        <f t="shared" si="10"/>
        <v>Osi.TemplateAddTo("339c2d50-af1b-45d4-af96-cf2d27e1e11d", GetHostCharacter(), 1, 1);</v>
      </c>
      <c r="E395" s="15"/>
      <c r="F395" s="15"/>
    </row>
    <row r="396">
      <c r="A396" s="21" t="str">
        <f>HYPERLINK("https://bg3.wiki/wiki/Rippling_Force_Mail", "Rippling Force Mail")</f>
        <v>Rippling Force Mail</v>
      </c>
      <c r="B396" s="22" t="s">
        <v>24</v>
      </c>
      <c r="C396" s="23" t="s">
        <v>1309</v>
      </c>
      <c r="D396" s="24" t="str">
        <f t="shared" si="10"/>
        <v>Osi.TemplateAddTo("b2530a6b-1235-4f5f-b61c-d174a980bc0b", GetHostCharacter(), 1, 1);</v>
      </c>
      <c r="E396" s="15"/>
      <c r="F396" s="15"/>
    </row>
    <row r="397">
      <c r="A397" s="21" t="str">
        <f>HYPERLINK("https://bg3.wiki/wiki/Sarevok%27s_Wretched_Armour", "Sarevok's Wretched Armour")</f>
        <v>Sarevok's Wretched Armour</v>
      </c>
      <c r="B397" s="22" t="s">
        <v>19</v>
      </c>
      <c r="C397" s="23" t="s">
        <v>1310</v>
      </c>
      <c r="D397" s="24" t="str">
        <f t="shared" si="10"/>
        <v>Osi.TemplateAddTo("935f9927-2df0-4a8d-a831-b7cb5bbbcae3", GetHostCharacter(), 1, 1);</v>
      </c>
      <c r="E397" s="15"/>
      <c r="F397" s="15"/>
    </row>
    <row r="398">
      <c r="A398" s="21" t="str">
        <f>HYPERLINK("https://bg3.wiki/wiki/Splint_Armour", "Splint Armour")</f>
        <v>Splint Armour</v>
      </c>
      <c r="B398" s="22" t="s">
        <v>11</v>
      </c>
      <c r="C398" s="23" t="s">
        <v>1311</v>
      </c>
      <c r="D398" s="24" t="str">
        <f t="shared" si="10"/>
        <v>Osi.TemplateAddTo("8ed82f7e-fdd4-4a9f-94b6-f256c599bfdd", GetHostCharacter(), 1, 1);</v>
      </c>
      <c r="E398" s="15"/>
      <c r="F398" s="15"/>
    </row>
    <row r="399">
      <c r="A399" s="21" t="str">
        <f>HYPERLINK("https://bg3.wiki/wiki/Splint_Armour_%2B1", "Splint Armour +1")</f>
        <v>Splint Armour +1</v>
      </c>
      <c r="B399" s="22" t="s">
        <v>17</v>
      </c>
      <c r="C399" s="23" t="s">
        <v>1312</v>
      </c>
      <c r="D399" s="24" t="str">
        <f t="shared" si="10"/>
        <v>Osi.TemplateAddTo("ecfb1364-b1a0-4d0e-b82a-0becd8c291fd", GetHostCharacter(), 1, 1);</v>
      </c>
      <c r="E399" s="15"/>
      <c r="F399" s="15"/>
    </row>
    <row r="400">
      <c r="A400" s="38" t="str">
        <f>HYPERLINK("https://bg3.wiki/wiki/Splint_Armour_%2B2", "Splint Armour +2")</f>
        <v>Splint Armour +2</v>
      </c>
      <c r="B400" s="39" t="s">
        <v>24</v>
      </c>
      <c r="C400" s="40" t="s">
        <v>1313</v>
      </c>
      <c r="D400" s="41" t="str">
        <f t="shared" si="10"/>
        <v>Osi.TemplateAddTo("2e8dfe32-cd6e-475b-98b5-5e2d9c42a7df", GetHostCharacter(), 1, 1);</v>
      </c>
      <c r="E400" s="15"/>
      <c r="F400" s="15"/>
    </row>
    <row r="401">
      <c r="C401" s="42"/>
    </row>
    <row r="402">
      <c r="A402" s="55" t="s">
        <v>1314</v>
      </c>
      <c r="C402" s="23"/>
      <c r="D402" s="22"/>
    </row>
    <row r="403">
      <c r="A403" s="34" t="s">
        <v>7</v>
      </c>
      <c r="B403" s="35" t="s">
        <v>8</v>
      </c>
      <c r="C403" s="35" t="s">
        <v>9</v>
      </c>
      <c r="D403" s="36" t="s">
        <v>10</v>
      </c>
      <c r="E403" s="43"/>
      <c r="F403" s="43"/>
    </row>
    <row r="404">
      <c r="A404" s="26" t="s">
        <v>1315</v>
      </c>
      <c r="B404" s="22" t="s">
        <v>11</v>
      </c>
      <c r="C404" s="23" t="s">
        <v>1316</v>
      </c>
      <c r="D404" s="24" t="str">
        <f t="shared" ref="D404:D429" si="11">"Osi.TemplateAddTo("""&amp; C404 &amp;""", GetHostCharacter(), 1, 1);"</f>
        <v>Osi.TemplateAddTo("daadda55-d439-47eb-a308-acaf575a7fd5", GetHostCharacter(), 1, 1);</v>
      </c>
      <c r="E404" s="44" t="s">
        <v>1317</v>
      </c>
      <c r="F404" s="75"/>
    </row>
    <row r="405">
      <c r="A405" s="21" t="str">
        <f>HYPERLINK("https://bg3.wiki/wiki/Abdel%27s_Trusted_Shield", "Abdel's Trusted Shield")</f>
        <v>Abdel's Trusted Shield</v>
      </c>
      <c r="B405" s="22" t="s">
        <v>19</v>
      </c>
      <c r="C405" s="23" t="s">
        <v>1318</v>
      </c>
      <c r="D405" s="24" t="str">
        <f t="shared" si="11"/>
        <v>Osi.TemplateAddTo("e308d17c-7278-44c1-b1fc-853ea3cf5c29", GetHostCharacter(), 1, 1);</v>
      </c>
      <c r="E405" s="15"/>
      <c r="F405" s="15"/>
    </row>
    <row r="406">
      <c r="A406" s="21" t="str">
        <f>HYPERLINK("https://bg3.wiki/wiki/Absolute%27s_Protector", "Absolute's Protector")</f>
        <v>Absolute's Protector</v>
      </c>
      <c r="B406" s="22" t="s">
        <v>24</v>
      </c>
      <c r="C406" s="23" t="s">
        <v>1319</v>
      </c>
      <c r="D406" s="24" t="str">
        <f t="shared" si="11"/>
        <v>Osi.TemplateAddTo("53b3317f-5a52-41c0-89ea-c6ef31adc4f7", GetHostCharacter(), 1, 1);</v>
      </c>
      <c r="E406" s="15"/>
      <c r="F406" s="15"/>
    </row>
    <row r="407">
      <c r="A407" s="21" t="str">
        <f>HYPERLINK("https://bg3.wiki/wiki/Absolute%27s_Warboard", "Absolute's Warboard")</f>
        <v>Absolute's Warboard</v>
      </c>
      <c r="B407" s="22" t="s">
        <v>17</v>
      </c>
      <c r="C407" s="23" t="s">
        <v>1320</v>
      </c>
      <c r="D407" s="24" t="str">
        <f t="shared" si="11"/>
        <v>Osi.TemplateAddTo("3d57c1a7-2dee-4a0f-aa7a-e7b6574b75e3", GetHostCharacter(), 1, 1);</v>
      </c>
      <c r="E407" s="15"/>
      <c r="F407" s="15"/>
    </row>
    <row r="408">
      <c r="A408" s="21" t="str">
        <f>HYPERLINK("https://bg3.wiki/wiki/Adamantine_Shield", "Adamantine Shield")</f>
        <v>Adamantine Shield</v>
      </c>
      <c r="B408" s="22" t="s">
        <v>24</v>
      </c>
      <c r="C408" s="23" t="s">
        <v>1321</v>
      </c>
      <c r="D408" s="24" t="str">
        <f t="shared" si="11"/>
        <v>Osi.TemplateAddTo("96907713-b560-4daf-ab32-3c1aec3f3890", GetHostCharacter(), 1, 1);</v>
      </c>
      <c r="E408" s="15"/>
      <c r="F408" s="15"/>
    </row>
    <row r="409">
      <c r="A409" s="21" t="str">
        <f>HYPERLINK("https://bg3.wiki/wiki/Broken_Shield", "Broken Shield")</f>
        <v>Broken Shield</v>
      </c>
      <c r="B409" s="22" t="s">
        <v>11</v>
      </c>
      <c r="C409" s="23" t="s">
        <v>1322</v>
      </c>
      <c r="D409" s="24" t="str">
        <f t="shared" si="11"/>
        <v>Osi.TemplateAddTo("d59619ef-320f-4c16-8e21-0644034f0c26", GetHostCharacter(), 1, 1);</v>
      </c>
      <c r="E409" s="15"/>
      <c r="F409" s="15"/>
    </row>
    <row r="410">
      <c r="A410" s="21" t="str">
        <f>HYPERLINK("https://bg3.wiki/wiki/Enforcer_Shield", "Enforcer Shield")</f>
        <v>Enforcer Shield</v>
      </c>
      <c r="B410" s="22" t="s">
        <v>17</v>
      </c>
      <c r="C410" s="23" t="s">
        <v>1323</v>
      </c>
      <c r="D410" s="24" t="str">
        <f t="shared" si="11"/>
        <v>Osi.TemplateAddTo("35be7c52-fe89-4bec-9d15-0d7ddb94bf38", GetHostCharacter(), 1, 1);</v>
      </c>
      <c r="E410" s="15"/>
      <c r="F410" s="15"/>
    </row>
    <row r="411">
      <c r="A411" s="21" t="str">
        <f>HYPERLINK("https://bg3.wiki/wiki/Fossilised_Shell", "Fossilised Shell")</f>
        <v>Fossilised Shell</v>
      </c>
      <c r="B411" s="22" t="s">
        <v>11</v>
      </c>
      <c r="C411" s="23" t="s">
        <v>1324</v>
      </c>
      <c r="D411" s="24" t="str">
        <f t="shared" si="11"/>
        <v>Osi.TemplateAddTo("2099af4a-caa2-4e06-9b6d-fa6e9754bd09", GetHostCharacter(), 1, 1);</v>
      </c>
      <c r="E411" s="15"/>
      <c r="F411" s="15"/>
    </row>
    <row r="412">
      <c r="A412" s="21" t="str">
        <f>HYPERLINK("https://bg3.wiki/wiki/Gloomstrand_Shield", "Gloomstrand Shield")</f>
        <v>Gloomstrand Shield</v>
      </c>
      <c r="B412" s="22" t="s">
        <v>17</v>
      </c>
      <c r="C412" s="23" t="s">
        <v>1325</v>
      </c>
      <c r="D412" s="24" t="str">
        <f t="shared" si="11"/>
        <v>Osi.TemplateAddTo("1977f0ae-4269-4024-bb3b-a4cca54fafe0", GetHostCharacter(), 1, 1);</v>
      </c>
      <c r="E412" s="15"/>
      <c r="F412" s="15"/>
    </row>
    <row r="413">
      <c r="A413" s="21" t="str">
        <f>HYPERLINK("https://bg3.wiki/wiki/Glowing_Shield", "Glowing Shield")</f>
        <v>Glowing Shield</v>
      </c>
      <c r="B413" s="22" t="s">
        <v>17</v>
      </c>
      <c r="C413" s="23" t="s">
        <v>1326</v>
      </c>
      <c r="D413" s="24" t="str">
        <f t="shared" si="11"/>
        <v>Osi.TemplateAddTo("3374ad91-ddcf-430a-bddd-f48e8699ade9", GetHostCharacter(), 1, 1);</v>
      </c>
      <c r="E413" s="15"/>
      <c r="F413" s="15"/>
    </row>
    <row r="414">
      <c r="A414" s="21" t="str">
        <f>HYPERLINK("https://bg3.wiki/wiki/Iron-Banded_Shield", "Iron-Banded Shield")</f>
        <v>Iron-Banded Shield</v>
      </c>
      <c r="B414" s="22" t="s">
        <v>11</v>
      </c>
      <c r="C414" s="23" t="s">
        <v>1327</v>
      </c>
      <c r="D414" s="24" t="str">
        <f t="shared" si="11"/>
        <v>Osi.TemplateAddTo("e4b4c45f-0563-4b00-851c-30a64fcb18ec", GetHostCharacter(), 1, 1);</v>
      </c>
      <c r="E414" s="15"/>
      <c r="F414" s="15"/>
    </row>
    <row r="415">
      <c r="A415" s="21" t="str">
        <f>HYPERLINK("https://bg3.wiki/wiki/Iron-Banded_Shield_%2B1", "Iron-Banded Shield +1")</f>
        <v>Iron-Banded Shield +1</v>
      </c>
      <c r="B415" s="22" t="s">
        <v>24</v>
      </c>
      <c r="C415" s="23" t="s">
        <v>1328</v>
      </c>
      <c r="D415" s="24" t="str">
        <f t="shared" si="11"/>
        <v>Osi.TemplateAddTo("26b81847-b0dd-4150-aef7-602fcbb72eca", GetHostCharacter(), 1, 1);</v>
      </c>
      <c r="E415" s="15"/>
      <c r="F415" s="15"/>
    </row>
    <row r="416">
      <c r="A416" s="21" t="str">
        <f>HYPERLINK("https://bg3.wiki/wiki/Ironvine_Shield", "Ironvine Shield")</f>
        <v>Ironvine Shield</v>
      </c>
      <c r="B416" s="22" t="s">
        <v>17</v>
      </c>
      <c r="C416" s="23" t="s">
        <v>1329</v>
      </c>
      <c r="D416" s="24" t="str">
        <f t="shared" si="11"/>
        <v>Osi.TemplateAddTo("eb06636a-8052-492e-bfb1-67fcb18358d1", GetHostCharacter(), 1, 1);</v>
      </c>
      <c r="E416" s="15"/>
      <c r="F416" s="15"/>
    </row>
    <row r="417">
      <c r="A417" s="21" t="str">
        <f>HYPERLINK("https://bg3.wiki/wiki/Justiciar%27s_Greatshield", "Justiciar's Greatshield")</f>
        <v>Justiciar's Greatshield</v>
      </c>
      <c r="B417" s="22" t="s">
        <v>24</v>
      </c>
      <c r="C417" s="23" t="s">
        <v>1330</v>
      </c>
      <c r="D417" s="24" t="str">
        <f t="shared" si="11"/>
        <v>Osi.TemplateAddTo("a189686a-cfcf-4157-9c18-f7a8e7f0be87", GetHostCharacter(), 1, 1);</v>
      </c>
      <c r="E417" s="15"/>
      <c r="F417" s="15"/>
    </row>
    <row r="418">
      <c r="A418" s="21" t="str">
        <f>HYPERLINK("https://bg3.wiki/wiki/Ketheric%27s_Shield", "Ketheric's Shield")</f>
        <v>Ketheric's Shield</v>
      </c>
      <c r="B418" s="22" t="s">
        <v>24</v>
      </c>
      <c r="C418" s="23" t="s">
        <v>1331</v>
      </c>
      <c r="D418" s="24" t="str">
        <f t="shared" si="11"/>
        <v>Osi.TemplateAddTo("6cb88e48-70ce-4304-b3b6-db52d1880bec", GetHostCharacter(), 1, 1);</v>
      </c>
      <c r="E418" s="15"/>
      <c r="F418" s="15"/>
    </row>
    <row r="419">
      <c r="A419" s="21" t="str">
        <f>HYPERLINK("https://bg3.wiki/wiki/Metal_Shield", "Metal Shield")</f>
        <v>Metal Shield</v>
      </c>
      <c r="B419" s="22" t="s">
        <v>11</v>
      </c>
      <c r="C419" s="23" t="s">
        <v>1332</v>
      </c>
      <c r="D419" s="24" t="str">
        <f t="shared" si="11"/>
        <v>Osi.TemplateAddTo("ab10f66f-6e93-43f5-9384-82565f14124a", GetHostCharacter(), 1, 1);</v>
      </c>
      <c r="E419" s="15"/>
      <c r="F419" s="15"/>
    </row>
    <row r="420">
      <c r="A420" s="21" t="str">
        <f>HYPERLINK("https://bg3.wiki/wiki/Organic_Shield", "Organic Shield")</f>
        <v>Organic Shield</v>
      </c>
      <c r="B420" s="22" t="s">
        <v>11</v>
      </c>
      <c r="C420" s="23" t="s">
        <v>1333</v>
      </c>
      <c r="D420" s="24" t="str">
        <f t="shared" si="11"/>
        <v>Osi.TemplateAddTo("41b07341-1bf3-450d-9303-377c035c09ac", GetHostCharacter(), 1, 1);</v>
      </c>
      <c r="E420" s="15"/>
      <c r="F420" s="15"/>
    </row>
    <row r="421">
      <c r="A421" s="21" t="str">
        <f>HYPERLINK("https://bg3.wiki/wiki/Rusty_Studded_Shield", "Rusty Studded Shield")</f>
        <v>Rusty Studded Shield</v>
      </c>
      <c r="B421" s="22" t="s">
        <v>11</v>
      </c>
      <c r="C421" s="23" t="s">
        <v>1334</v>
      </c>
      <c r="D421" s="24" t="str">
        <f t="shared" si="11"/>
        <v>Osi.TemplateAddTo("8c02c87f-955d-4cc2-b547-f22462ad7106", GetHostCharacter(), 1, 1);</v>
      </c>
      <c r="E421" s="15"/>
      <c r="F421" s="15"/>
    </row>
    <row r="422">
      <c r="A422" s="21" t="str">
        <f>HYPERLINK("https://bg3.wiki/wiki/Safeguard_Shield", "Safeguard Shield")</f>
        <v>Safeguard Shield</v>
      </c>
      <c r="B422" s="22" t="s">
        <v>17</v>
      </c>
      <c r="C422" s="23" t="s">
        <v>1335</v>
      </c>
      <c r="D422" s="24" t="str">
        <f t="shared" si="11"/>
        <v>Osi.TemplateAddTo("3138b480-3ef6-42af-ba35-e4cad4e962ee", GetHostCharacter(), 1, 1);</v>
      </c>
      <c r="E422" s="15"/>
      <c r="F422" s="15"/>
    </row>
    <row r="423">
      <c r="A423" s="21" t="str">
        <f>HYPERLINK("https://bg3.wiki/wiki/Scrapwood_Shield", "Scrapwood Shield")</f>
        <v>Scrapwood Shield</v>
      </c>
      <c r="B423" s="22" t="s">
        <v>11</v>
      </c>
      <c r="C423" s="23" t="s">
        <v>1336</v>
      </c>
      <c r="D423" s="24" t="str">
        <f t="shared" si="11"/>
        <v>Osi.TemplateAddTo("33ab760a-e617-4e12-a3c6-1758c83cc3a7", GetHostCharacter(), 1, 1);</v>
      </c>
      <c r="E423" s="15"/>
      <c r="F423" s="15"/>
    </row>
    <row r="424">
      <c r="A424" s="21" t="str">
        <f>HYPERLINK("https://bg3.wiki/wiki/Sentinel_Shield", "Sentinel Shield")</f>
        <v>Sentinel Shield</v>
      </c>
      <c r="B424" s="22" t="s">
        <v>24</v>
      </c>
      <c r="C424" s="23" t="s">
        <v>1337</v>
      </c>
      <c r="D424" s="24" t="str">
        <f t="shared" si="11"/>
        <v>Osi.TemplateAddTo("2baa835f-1422-43f0-9d2a-11e601fbb25e", GetHostCharacter(), 1, 1);</v>
      </c>
      <c r="E424" s="15"/>
      <c r="F424" s="15"/>
    </row>
    <row r="425">
      <c r="A425" s="21" t="str">
        <f>HYPERLINK("https://bg3.wiki/wiki/Shield", "Shield (Round, wood)")</f>
        <v>Shield (Round, wood)</v>
      </c>
      <c r="B425" s="22" t="s">
        <v>11</v>
      </c>
      <c r="C425" s="23" t="s">
        <v>1338</v>
      </c>
      <c r="D425" s="24" t="str">
        <f t="shared" si="11"/>
        <v>Osi.TemplateAddTo("c069f1f2-1040-4c71-b796-5a95eecfa711", GetHostCharacter(), 1, 1);</v>
      </c>
      <c r="E425" s="15"/>
      <c r="F425" s="15"/>
    </row>
    <row r="426">
      <c r="A426" s="21" t="str">
        <f>HYPERLINK("https://bg3.wiki/wiki/Shield", "Shield (Metal, classic")</f>
        <v>Shield (Metal, classic</v>
      </c>
      <c r="B426" s="22" t="s">
        <v>11</v>
      </c>
      <c r="C426" s="23" t="s">
        <v>1339</v>
      </c>
      <c r="D426" s="24" t="str">
        <f t="shared" si="11"/>
        <v>Osi.TemplateAddTo("89792dc1-221b-462e-adcb-026f2cafbb95", GetHostCharacter(), 1, 1);</v>
      </c>
      <c r="E426" s="15"/>
      <c r="F426" s="15"/>
    </row>
    <row r="427">
      <c r="A427" s="21" t="str">
        <f>HYPERLINK("https://bg3.wiki/wiki/Shield", "Shield (Elegant)")</f>
        <v>Shield (Elegant)</v>
      </c>
      <c r="B427" s="22" t="s">
        <v>11</v>
      </c>
      <c r="C427" s="23" t="s">
        <v>1340</v>
      </c>
      <c r="D427" s="24" t="str">
        <f t="shared" si="11"/>
        <v>Osi.TemplateAddTo("5b8fe99f-56d9-48a8-a9d0-8290ebae6461", GetHostCharacter(), 1, 1);</v>
      </c>
      <c r="E427" s="15"/>
      <c r="F427" s="15"/>
    </row>
    <row r="428">
      <c r="A428" s="21" t="str">
        <f>HYPERLINK("https://bg3.wiki/wiki/Shield_%2B1", "Shield +1")</f>
        <v>Shield +1</v>
      </c>
      <c r="B428" s="22" t="s">
        <v>24</v>
      </c>
      <c r="C428" s="23" t="s">
        <v>1341</v>
      </c>
      <c r="D428" s="24" t="str">
        <f t="shared" si="11"/>
        <v>Osi.TemplateAddTo("cb2d6c27-ec29-4555-adf2-41e8c1952439", GetHostCharacter(), 1, 1);</v>
      </c>
      <c r="E428" s="15"/>
      <c r="F428" s="15"/>
    </row>
    <row r="429">
      <c r="A429" s="21" t="str">
        <f>HYPERLINK("https://bg3.wiki/wiki/Shield_%2B2", "Shield +2")</f>
        <v>Shield +2</v>
      </c>
      <c r="B429" s="22" t="s">
        <v>24</v>
      </c>
      <c r="C429" s="23" t="s">
        <v>1342</v>
      </c>
      <c r="D429" s="24" t="str">
        <f t="shared" si="11"/>
        <v>Osi.TemplateAddTo("49979c37-1a3a-46f8-af5b-2ea63fc11722", GetHostCharacter(), 1, 1);</v>
      </c>
      <c r="E429" s="15"/>
      <c r="F429" s="15"/>
    </row>
    <row r="430">
      <c r="A430" s="21" t="str">
        <f>HYPERLINK("https://bg3.wiki/wiki/Shield_(Hope)", "Shield (Hope)")</f>
        <v>Shield (Hope)</v>
      </c>
      <c r="B430" s="22" t="s">
        <v>19</v>
      </c>
      <c r="C430" s="23" t="s">
        <v>158</v>
      </c>
      <c r="D430" s="24"/>
      <c r="E430" s="15"/>
      <c r="F430" s="15"/>
    </row>
    <row r="431">
      <c r="A431" s="21" t="str">
        <f>HYPERLINK("https://bg3.wiki/wiki/Shield_of_Devotion", "Shield of Devotion")</f>
        <v>Shield of Devotion</v>
      </c>
      <c r="B431" s="22" t="s">
        <v>19</v>
      </c>
      <c r="C431" s="23" t="s">
        <v>1343</v>
      </c>
      <c r="D431" s="24" t="str">
        <f t="shared" ref="D431:D447" si="12">"Osi.TemplateAddTo("""&amp; C431 &amp;""", GetHostCharacter(), 1, 1);"</f>
        <v>Osi.TemplateAddTo("a0bc3295-c01d-405e-8396-e0fa7e1e5340", GetHostCharacter(), 1, 1);</v>
      </c>
      <c r="E431" s="15"/>
      <c r="F431" s="15"/>
    </row>
    <row r="432">
      <c r="A432" s="21" t="str">
        <f>HYPERLINK("https://bg3.wiki/wiki/Shield_of_Returning", "Shield of Returning")</f>
        <v>Shield of Returning</v>
      </c>
      <c r="B432" s="22" t="s">
        <v>19</v>
      </c>
      <c r="C432" s="23" t="s">
        <v>1344</v>
      </c>
      <c r="D432" s="24" t="str">
        <f t="shared" si="12"/>
        <v>Osi.TemplateAddTo("3a8f9b79-1153-4128-8832-a306502fd512", GetHostCharacter(), 1, 1);</v>
      </c>
      <c r="E432" s="15"/>
      <c r="F432" s="15"/>
    </row>
    <row r="433">
      <c r="A433" s="21" t="str">
        <f>HYPERLINK("https://bg3.wiki/wiki/Shield_of_Scorching_Reprisal", "Shield of Scorching Reprisal")</f>
        <v>Shield of Scorching Reprisal</v>
      </c>
      <c r="B433" s="22" t="s">
        <v>24</v>
      </c>
      <c r="C433" s="23" t="s">
        <v>1345</v>
      </c>
      <c r="D433" s="24" t="str">
        <f t="shared" si="12"/>
        <v>Osi.TemplateAddTo("8c7caa2a-7c11-4f0b-86a8-b8808057101b", GetHostCharacter(), 1, 1);</v>
      </c>
      <c r="E433" s="15"/>
      <c r="F433" s="15"/>
    </row>
    <row r="434">
      <c r="A434" s="21" t="str">
        <f>HYPERLINK("https://bg3.wiki/wiki/Shield_of_Shielding", "Shield of Shielding")</f>
        <v>Shield of Shielding</v>
      </c>
      <c r="B434" s="22" t="s">
        <v>24</v>
      </c>
      <c r="C434" s="23" t="s">
        <v>1346</v>
      </c>
      <c r="D434" s="24" t="str">
        <f t="shared" si="12"/>
        <v>Osi.TemplateAddTo("dfeaa5fd-1f87-4f99-85b0-8f49664d691f", GetHostCharacter(), 1, 1);</v>
      </c>
      <c r="E434" s="15"/>
      <c r="F434" s="15"/>
    </row>
    <row r="435">
      <c r="A435" s="21" t="str">
        <f>HYPERLINK("https://bg3.wiki/wiki/Shield_of_the_Undevout", "Shield of the Undevout")</f>
        <v>Shield of the Undevout</v>
      </c>
      <c r="B435" s="22" t="s">
        <v>19</v>
      </c>
      <c r="C435" s="23" t="s">
        <v>1347</v>
      </c>
      <c r="D435" s="24" t="str">
        <f t="shared" si="12"/>
        <v>Osi.TemplateAddTo("b3571443-403b-431b-b4ba-3d943a500f4b", GetHostCharacter(), 1, 1);</v>
      </c>
      <c r="E435" s="15"/>
      <c r="F435" s="15"/>
    </row>
    <row r="436">
      <c r="A436" s="21" t="str">
        <f>HYPERLINK("https://bg3.wiki/wiki/Spiked_Shield", "Spiked Shield")</f>
        <v>Spiked Shield</v>
      </c>
      <c r="B436" s="22" t="s">
        <v>11</v>
      </c>
      <c r="C436" s="23" t="s">
        <v>1348</v>
      </c>
      <c r="D436" s="24" t="str">
        <f t="shared" si="12"/>
        <v>Osi.TemplateAddTo("e0d5a057-328a-467d-b8fb-1bfd298d59e7", GetHostCharacter(), 1, 1);</v>
      </c>
      <c r="E436" s="15"/>
      <c r="F436" s="15"/>
    </row>
    <row r="437">
      <c r="A437" s="21" t="str">
        <f>HYPERLINK("https://bg3.wiki/wiki/Studded_Shield", "Studded Shield")</f>
        <v>Studded Shield</v>
      </c>
      <c r="B437" s="22" t="s">
        <v>11</v>
      </c>
      <c r="C437" s="23" t="s">
        <v>1349</v>
      </c>
      <c r="D437" s="24" t="str">
        <f t="shared" si="12"/>
        <v>Osi.TemplateAddTo("d2af60ea-1b72-4d25-a188-6d8bc4fe255b", GetHostCharacter(), 1, 1);</v>
      </c>
      <c r="E437" s="15"/>
      <c r="F437" s="15"/>
    </row>
    <row r="438">
      <c r="A438" s="21" t="str">
        <f>HYPERLINK("https://bg3.wiki/wiki/Studded_Shield_%2B1", "Studded Shield +1")</f>
        <v>Studded Shield +1</v>
      </c>
      <c r="B438" s="22" t="s">
        <v>24</v>
      </c>
      <c r="C438" s="23" t="s">
        <v>1350</v>
      </c>
      <c r="D438" s="24" t="str">
        <f t="shared" si="12"/>
        <v>Osi.TemplateAddTo("badf2418-01ac-410d-931e-72b1dac071c7", GetHostCharacter(), 1, 1);</v>
      </c>
      <c r="E438" s="15"/>
      <c r="F438" s="15"/>
    </row>
    <row r="439">
      <c r="A439" s="21" t="str">
        <f>HYPERLINK("https://bg3.wiki/wiki/Swires%27_Sledboard", "Swires' Sledboard")</f>
        <v>Swires' Sledboard</v>
      </c>
      <c r="B439" s="22" t="s">
        <v>19</v>
      </c>
      <c r="C439" s="23" t="s">
        <v>1351</v>
      </c>
      <c r="D439" s="24" t="str">
        <f t="shared" si="12"/>
        <v>Osi.TemplateAddTo("1cee750f-79c6-4109-8272-d27b97ef02df", GetHostCharacter(), 1, 1);</v>
      </c>
      <c r="E439" s="15"/>
      <c r="F439" s="15"/>
    </row>
    <row r="440">
      <c r="A440" s="21" t="str">
        <f>HYPERLINK("https://bg3.wiki/wiki/The_Real_Sparky_Sparkswall", "The Real Sparky Sparkswall")</f>
        <v>The Real Sparky Sparkswall</v>
      </c>
      <c r="B440" s="22" t="s">
        <v>17</v>
      </c>
      <c r="C440" s="23" t="s">
        <v>1352</v>
      </c>
      <c r="D440" s="24" t="str">
        <f t="shared" si="12"/>
        <v>Osi.TemplateAddTo("93c2143c-1c9f-493e-9fee-2310c7bee672", GetHostCharacter(), 1, 1);</v>
      </c>
      <c r="E440" s="15"/>
      <c r="F440" s="15"/>
    </row>
    <row r="441">
      <c r="A441" s="21" t="str">
        <f>HYPERLINK("https://bg3.wiki/wiki/Training_Shield", "Training Shield")</f>
        <v>Training Shield</v>
      </c>
      <c r="B441" s="22" t="s">
        <v>11</v>
      </c>
      <c r="C441" s="23" t="s">
        <v>1353</v>
      </c>
      <c r="D441" s="24" t="str">
        <f t="shared" si="12"/>
        <v>Osi.TemplateAddTo("e13facc6-aced-4b48-b239-b0e76448013f", GetHostCharacter(), 1, 1);</v>
      </c>
      <c r="E441" s="15"/>
      <c r="F441" s="15"/>
    </row>
    <row r="442">
      <c r="A442" s="21" t="str">
        <f>HYPERLINK("https://bg3.wiki/wiki/Viconia%27s_Walking_Fortress", "Viconia's Walking Fortress")</f>
        <v>Viconia's Walking Fortress</v>
      </c>
      <c r="B442" s="22" t="s">
        <v>66</v>
      </c>
      <c r="C442" s="23" t="s">
        <v>1354</v>
      </c>
      <c r="D442" s="24" t="str">
        <f t="shared" si="12"/>
        <v>Osi.TemplateAddTo("4f313dde-14bb-43a2-abdd-07b2eb38b33a", GetHostCharacter(), 1, 1);</v>
      </c>
      <c r="E442" s="15"/>
      <c r="F442" s="15"/>
    </row>
    <row r="443">
      <c r="A443" s="21" t="str">
        <f>HYPERLINK("https://bg3.wiki/wiki/Watcher%27s_Shield", "Watcher's Shield")</f>
        <v>Watcher's Shield</v>
      </c>
      <c r="B443" s="22" t="s">
        <v>17</v>
      </c>
      <c r="C443" s="23" t="s">
        <v>1355</v>
      </c>
      <c r="D443" s="24" t="str">
        <f t="shared" si="12"/>
        <v>Osi.TemplateAddTo("cb2b1ac8-5589-464f-ac9f-ccd6fd27ebed", GetHostCharacter(), 1, 1);</v>
      </c>
      <c r="E443" s="15"/>
      <c r="F443" s="15"/>
    </row>
    <row r="444">
      <c r="A444" s="21" t="str">
        <f>HYPERLINK("https://bg3.wiki/wiki/Wood_Woad_Shield", "Wood Woad Shield")</f>
        <v>Wood Woad Shield</v>
      </c>
      <c r="B444" s="22" t="s">
        <v>17</v>
      </c>
      <c r="C444" s="23" t="s">
        <v>1356</v>
      </c>
      <c r="D444" s="24" t="str">
        <f t="shared" si="12"/>
        <v>Osi.TemplateAddTo("90ba50bd-3e65-42ec-9f21-6e07d3ed89ab", GetHostCharacter(), 1, 1);</v>
      </c>
      <c r="E444" s="15"/>
      <c r="F444" s="15"/>
    </row>
    <row r="445">
      <c r="A445" s="21" t="str">
        <f>HYPERLINK("https://bg3.wiki/wiki/Wooden_Shield", "Wooden Shield (classic)")</f>
        <v>Wooden Shield (classic)</v>
      </c>
      <c r="B445" s="22" t="s">
        <v>11</v>
      </c>
      <c r="C445" s="23" t="s">
        <v>1357</v>
      </c>
      <c r="D445" s="24" t="str">
        <f t="shared" si="12"/>
        <v>Osi.TemplateAddTo("4491fcaf-03bf-4087-baf3-b638657080f6", GetHostCharacter(), 1, 1);</v>
      </c>
      <c r="E445" s="15"/>
      <c r="F445" s="15"/>
    </row>
    <row r="446">
      <c r="A446" s="21" t="str">
        <f>HYPERLINK("https://bg3.wiki/wiki/Wooden_Shield", "Wooden Shield (Round)")</f>
        <v>Wooden Shield (Round)</v>
      </c>
      <c r="B446" s="22" t="s">
        <v>11</v>
      </c>
      <c r="C446" s="23" t="s">
        <v>1358</v>
      </c>
      <c r="D446" s="24" t="str">
        <f t="shared" si="12"/>
        <v>Osi.TemplateAddTo("24fa28d4-f679-44bf-865e-c7e70dcb9588", GetHostCharacter(), 1, 1);</v>
      </c>
      <c r="E446" s="15"/>
      <c r="F446" s="15"/>
    </row>
    <row r="447">
      <c r="A447" s="38" t="str">
        <f>HYPERLINK("https://bg3.wiki/wiki/Wooden_Shield", "Wooden Shield (Diamond)")</f>
        <v>Wooden Shield (Diamond)</v>
      </c>
      <c r="B447" s="39" t="s">
        <v>11</v>
      </c>
      <c r="C447" s="40" t="s">
        <v>1359</v>
      </c>
      <c r="D447" s="41" t="str">
        <f t="shared" si="12"/>
        <v>Osi.TemplateAddTo("747387ac-0dc7-47ab-8c69-75269ffc4dbc", GetHostCharacter(), 1, 1);</v>
      </c>
      <c r="E447" s="15"/>
      <c r="F447" s="15"/>
    </row>
    <row r="448">
      <c r="C448" s="42"/>
    </row>
    <row r="449">
      <c r="A449" s="55" t="s">
        <v>1360</v>
      </c>
      <c r="B449" s="22"/>
      <c r="C449" s="23"/>
      <c r="D449" s="22"/>
    </row>
    <row r="450">
      <c r="A450" s="34" t="s">
        <v>7</v>
      </c>
      <c r="B450" s="35" t="s">
        <v>8</v>
      </c>
      <c r="C450" s="35" t="s">
        <v>9</v>
      </c>
      <c r="D450" s="36" t="s">
        <v>10</v>
      </c>
      <c r="E450" s="43"/>
      <c r="F450" s="43"/>
    </row>
    <row r="451">
      <c r="A451" s="21" t="str">
        <f>HYPERLINK("https://bg3.wiki/wiki/Acrobat_Shoes", "Acrobat Shoes")</f>
        <v>Acrobat Shoes</v>
      </c>
      <c r="B451" s="22" t="s">
        <v>24</v>
      </c>
      <c r="C451" s="23" t="s">
        <v>1361</v>
      </c>
      <c r="D451" s="24" t="str">
        <f t="shared" ref="D451:D525" si="13">"Osi.TemplateAddTo("""&amp; C451 &amp;""", GetHostCharacter(), 1, 1);"</f>
        <v>Osi.TemplateAddTo("32b1a84f-2e32-4249-8b19-ecaa7f279cb0", GetHostCharacter(), 1, 1);</v>
      </c>
      <c r="E451" s="15"/>
      <c r="F451" s="15"/>
    </row>
    <row r="452">
      <c r="A452" s="21" t="str">
        <f>HYPERLINK("https://bg3.wiki/wiki/Appreciably-Cared-For_Boots", "Appreciably-Cared-For Boots")</f>
        <v>Appreciably-Cared-For Boots</v>
      </c>
      <c r="B452" s="22" t="s">
        <v>11</v>
      </c>
      <c r="C452" s="23" t="s">
        <v>1362</v>
      </c>
      <c r="D452" s="24" t="str">
        <f t="shared" si="13"/>
        <v>Osi.TemplateAddTo("cf987856-1381-477e-88db-6b359f7e19e8", GetHostCharacter(), 1, 1);</v>
      </c>
      <c r="E452" s="15"/>
      <c r="F452" s="15"/>
    </row>
    <row r="453">
      <c r="A453" s="21" t="str">
        <f>HYPERLINK("https://bg3.wiki/wiki/Blackguard%27s_Greaves", "Blackguard's Greaves")</f>
        <v>Blackguard's Greaves</v>
      </c>
      <c r="B453" s="22" t="s">
        <v>24</v>
      </c>
      <c r="C453" s="23" t="s">
        <v>1363</v>
      </c>
      <c r="D453" s="24" t="str">
        <f t="shared" si="13"/>
        <v>Osi.TemplateAddTo("bc3c8375-bad5-4f02-b1f3-2261cea690aa", GetHostCharacter(), 1, 1);</v>
      </c>
      <c r="E453" s="15"/>
      <c r="F453" s="15"/>
    </row>
    <row r="454">
      <c r="A454" s="21" t="str">
        <f>HYPERLINK("https://bg3.wiki/wiki/Bonespike_Boots", "Bonespike Boots")</f>
        <v>Bonespike Boots</v>
      </c>
      <c r="B454" s="22" t="s">
        <v>19</v>
      </c>
      <c r="C454" s="23" t="s">
        <v>1364</v>
      </c>
      <c r="D454" s="24" t="str">
        <f t="shared" si="13"/>
        <v>Osi.TemplateAddTo("23806fd3-f5f6-4ff3-826d-054afe03b7c0", GetHostCharacter(), 1, 1);</v>
      </c>
      <c r="E454" s="15"/>
      <c r="F454" s="15"/>
    </row>
    <row r="455">
      <c r="A455" s="21" t="str">
        <f>HYPERLINK("https://bg3.wiki/wiki/Boots_of_Aid_and_Comfort", "Boots of Aid and Comfort")</f>
        <v>Boots of Aid and Comfort</v>
      </c>
      <c r="B455" s="22" t="s">
        <v>17</v>
      </c>
      <c r="C455" s="23" t="s">
        <v>1365</v>
      </c>
      <c r="D455" s="24" t="str">
        <f t="shared" si="13"/>
        <v>Osi.TemplateAddTo("bc090f4e-ff74-49f6-a3f2-7eb561f57436", GetHostCharacter(), 1, 1);</v>
      </c>
      <c r="E455" s="15"/>
      <c r="F455" s="15"/>
    </row>
    <row r="456">
      <c r="A456" s="21" t="str">
        <f>HYPERLINK("https://bg3.wiki/wiki/Boots_of_Apparent_Death", "Boots of Apparent Death")</f>
        <v>Boots of Apparent Death</v>
      </c>
      <c r="B456" s="22" t="s">
        <v>24</v>
      </c>
      <c r="C456" s="23" t="s">
        <v>1366</v>
      </c>
      <c r="D456" s="24" t="str">
        <f t="shared" si="13"/>
        <v>Osi.TemplateAddTo("8838eb53-ed3d-4d64-9fe7-a82ab7249c18", GetHostCharacter(), 1, 1);</v>
      </c>
      <c r="E456" s="15"/>
      <c r="F456" s="15"/>
    </row>
    <row r="457">
      <c r="A457" s="21" t="str">
        <f>HYPERLINK("https://bg3.wiki/wiki/Boots_of_Arcane_Bolstering", "Boots of Arcane Bolstering")</f>
        <v>Boots of Arcane Bolstering</v>
      </c>
      <c r="B457" s="22" t="s">
        <v>24</v>
      </c>
      <c r="C457" s="23" t="s">
        <v>1367</v>
      </c>
      <c r="D457" s="24" t="str">
        <f t="shared" si="13"/>
        <v>Osi.TemplateAddTo("400b3aca-fc9e-44c7-b5a7-a183693d3a75", GetHostCharacter(), 1, 1);</v>
      </c>
      <c r="E457" s="15"/>
      <c r="F457" s="15"/>
    </row>
    <row r="458">
      <c r="A458" s="21" t="str">
        <f>HYPERLINK("https://bg3.wiki/wiki/Boots_of_Brilliance", "Boots of Brilliance")</f>
        <v>Boots of Brilliance</v>
      </c>
      <c r="B458" s="22" t="s">
        <v>24</v>
      </c>
      <c r="C458" s="23" t="s">
        <v>1368</v>
      </c>
      <c r="D458" s="24" t="str">
        <f t="shared" si="13"/>
        <v>Osi.TemplateAddTo("a7ce200c-ab1a-4d49-bf7d-c6894b1e5b06", GetHostCharacter(), 1, 1);</v>
      </c>
      <c r="E458" s="15"/>
      <c r="F458" s="15"/>
    </row>
    <row r="459">
      <c r="A459" s="21" t="str">
        <f>HYPERLINK("https://bg3.wiki/wiki/Boots_of_Elemental_Momentum", "Boots of Elemental Momentum")</f>
        <v>Boots of Elemental Momentum</v>
      </c>
      <c r="B459" s="22" t="s">
        <v>17</v>
      </c>
      <c r="C459" s="23" t="s">
        <v>1369</v>
      </c>
      <c r="D459" s="24" t="str">
        <f t="shared" si="13"/>
        <v>Osi.TemplateAddTo("cf8e6826-9133-425a-be21-79a41e1f7add", GetHostCharacter(), 1, 1);</v>
      </c>
      <c r="E459" s="15"/>
      <c r="F459" s="15"/>
    </row>
    <row r="460">
      <c r="A460" s="21" t="str">
        <f>HYPERLINK("https://bg3.wiki/wiki/Boots_of_Genial_Striding", "Boots of Genial Striding")</f>
        <v>Boots of Genial Striding</v>
      </c>
      <c r="B460" s="22" t="s">
        <v>24</v>
      </c>
      <c r="C460" s="23" t="s">
        <v>1370</v>
      </c>
      <c r="D460" s="24" t="str">
        <f t="shared" si="13"/>
        <v>Osi.TemplateAddTo("0624ccf0-1b77-448f-8da9-d8a04efa4935", GetHostCharacter(), 1, 1);</v>
      </c>
      <c r="E460" s="15"/>
      <c r="F460" s="15"/>
    </row>
    <row r="461">
      <c r="A461" s="21" t="str">
        <f>HYPERLINK("https://bg3.wiki/wiki/Boots_of_Persistence", "Boots of Persistence")</f>
        <v>Boots of Persistence</v>
      </c>
      <c r="B461" s="22" t="s">
        <v>19</v>
      </c>
      <c r="C461" s="23" t="s">
        <v>20</v>
      </c>
      <c r="D461" s="24" t="str">
        <f t="shared" si="13"/>
        <v>Osi.TemplateAddTo("f3d8ff49-eaac-4c10-9421-3fd2180c7b39", GetHostCharacter(), 1, 1);</v>
      </c>
      <c r="E461" s="15"/>
      <c r="F461" s="15"/>
    </row>
    <row r="462">
      <c r="A462" s="21" t="str">
        <f>HYPERLINK("https://bg3.wiki/wiki/Boots_of_Psionic_Movement", "Boots of Psionic Movement")</f>
        <v>Boots of Psionic Movement</v>
      </c>
      <c r="B462" s="22" t="s">
        <v>19</v>
      </c>
      <c r="C462" s="23" t="s">
        <v>1371</v>
      </c>
      <c r="D462" s="24" t="str">
        <f t="shared" si="13"/>
        <v>Osi.TemplateAddTo("18919a04-67a0-4321-82ff-ce2b64a27589", GetHostCharacter(), 1, 1);</v>
      </c>
      <c r="E462" s="15"/>
      <c r="F462" s="15"/>
    </row>
    <row r="463">
      <c r="A463" s="21" t="str">
        <f>HYPERLINK("https://bg3.wiki/wiki/Boots_of_Speed", "Boots of Speed")</f>
        <v>Boots of Speed</v>
      </c>
      <c r="B463" s="22" t="s">
        <v>24</v>
      </c>
      <c r="C463" s="23" t="s">
        <v>1372</v>
      </c>
      <c r="D463" s="24" t="str">
        <f t="shared" si="13"/>
        <v>Osi.TemplateAddTo("8b22d15a-85bb-4c8d-90cf-a773fc451eac", GetHostCharacter(), 1, 1);</v>
      </c>
      <c r="E463" s="15"/>
      <c r="F463" s="15"/>
    </row>
    <row r="464">
      <c r="A464" s="21" t="str">
        <f>HYPERLINK("https://bg3.wiki/wiki/Boots_of_Stormy_Clamour", "Boots of Stormy Clamour")</f>
        <v>Boots of Stormy Clamour</v>
      </c>
      <c r="B464" s="22" t="s">
        <v>17</v>
      </c>
      <c r="C464" s="23" t="s">
        <v>1373</v>
      </c>
      <c r="D464" s="24" t="str">
        <f t="shared" si="13"/>
        <v>Osi.TemplateAddTo("3908725d-29d1-4c9a-be46-4e03c8c65238", GetHostCharacter(), 1, 1);</v>
      </c>
      <c r="E464" s="15"/>
      <c r="F464" s="15"/>
    </row>
    <row r="465">
      <c r="A465" s="21" t="str">
        <f>HYPERLINK("https://bg3.wiki/wiki/Boots_of_Striding", "Boots of Striding")</f>
        <v>Boots of Striding</v>
      </c>
      <c r="B465" s="22" t="s">
        <v>17</v>
      </c>
      <c r="C465" s="23" t="s">
        <v>1374</v>
      </c>
      <c r="D465" s="24" t="str">
        <f t="shared" si="13"/>
        <v>Osi.TemplateAddTo("8770f821-38bc-41cc-aae9-02988d46df02", GetHostCharacter(), 1, 1);</v>
      </c>
      <c r="E465" s="15"/>
      <c r="F465" s="15"/>
    </row>
    <row r="466">
      <c r="A466" s="21" t="str">
        <f>HYPERLINK("https://bg3.wiki/wiki/Boots_of_Uninhibited_Kushigo", "Boots of Uninhibited Kushigo")</f>
        <v>Boots of Uninhibited Kushigo</v>
      </c>
      <c r="B466" s="22" t="s">
        <v>24</v>
      </c>
      <c r="C466" s="23" t="s">
        <v>1375</v>
      </c>
      <c r="D466" s="24" t="str">
        <f t="shared" si="13"/>
        <v>Osi.TemplateAddTo("1cd85fa0-b46a-43c6-88d2-e90ad4e73cf7", GetHostCharacter(), 1, 1);</v>
      </c>
      <c r="E466" s="15"/>
      <c r="F466" s="15"/>
    </row>
    <row r="467">
      <c r="A467" s="21" t="str">
        <f>HYPERLINK("https://bg3.wiki/wiki/Boots_of_Very_Fast_Blinking", "Boots of Very Fast Blinking")</f>
        <v>Boots of Very Fast Blinking</v>
      </c>
      <c r="B467" s="22" t="s">
        <v>17</v>
      </c>
      <c r="C467" s="23" t="s">
        <v>1376</v>
      </c>
      <c r="D467" s="24" t="str">
        <f t="shared" si="13"/>
        <v>Osi.TemplateAddTo("480a8519-e375-4ce0-ae0a-513bc9d39820", GetHostCharacter(), 1, 1);</v>
      </c>
      <c r="E467" s="15"/>
      <c r="F467" s="15"/>
    </row>
    <row r="468">
      <c r="A468" s="21" t="str">
        <f>HYPERLINK("https://bg3.wiki/wiki/Briskwind_Boots", "Briskwind Boots")</f>
        <v>Briskwind Boots</v>
      </c>
      <c r="B468" s="22" t="s">
        <v>24</v>
      </c>
      <c r="C468" s="23" t="s">
        <v>1377</v>
      </c>
      <c r="D468" s="24" t="str">
        <f t="shared" si="13"/>
        <v>Osi.TemplateAddTo("93cc1480-9fe1-4e76-8c0b-0ad3caf35285", GetHostCharacter(), 1, 1);</v>
      </c>
      <c r="E468" s="15"/>
      <c r="F468" s="15"/>
    </row>
    <row r="469">
      <c r="A469" s="21" t="str">
        <f>HYPERLINK("https://bg3.wiki/wiki/Cinder_Shoes", "Cinder Shoes")</f>
        <v>Cinder Shoes</v>
      </c>
      <c r="B469" s="22" t="s">
        <v>17</v>
      </c>
      <c r="C469" s="23" t="s">
        <v>1378</v>
      </c>
      <c r="D469" s="24" t="str">
        <f t="shared" si="13"/>
        <v>Osi.TemplateAddTo("eff1515c-4612-4e23-9b50-71f318a2f117", GetHostCharacter(), 1, 1);</v>
      </c>
      <c r="E469" s="15"/>
      <c r="F469" s="15"/>
    </row>
    <row r="470">
      <c r="A470" s="21" t="str">
        <f>HYPERLINK("https://bg3.wiki/wiki/Cleverly_Cobbled_Boots", "Cleverly Cobbled Boots")</f>
        <v>Cleverly Cobbled Boots</v>
      </c>
      <c r="B470" s="22" t="s">
        <v>11</v>
      </c>
      <c r="C470" s="23" t="s">
        <v>1379</v>
      </c>
      <c r="D470" s="24" t="str">
        <f t="shared" si="13"/>
        <v>Osi.TemplateAddTo("85d78eab-e4ad-4f56-bfb3-87c6368f5b17", GetHostCharacter(), 1, 1);</v>
      </c>
      <c r="E470" s="15"/>
      <c r="F470" s="15"/>
    </row>
    <row r="471">
      <c r="A471" s="21" t="str">
        <f>HYPERLINK("https://bg3.wiki/wiki/Dark_Justiciar_Boots", "Dark Justiciar Boots")</f>
        <v>Dark Justiciar Boots</v>
      </c>
      <c r="B471" s="22" t="s">
        <v>24</v>
      </c>
      <c r="C471" s="23" t="s">
        <v>1380</v>
      </c>
      <c r="D471" s="24" t="str">
        <f t="shared" si="13"/>
        <v>Osi.TemplateAddTo("e33850ba-f697-40f5-abec-2951077f2cef", GetHostCharacter(), 1, 1);</v>
      </c>
      <c r="E471" s="15"/>
      <c r="F471" s="15"/>
    </row>
    <row r="472">
      <c r="A472" s="21" t="str">
        <f>HYPERLINK("https://bg3.wiki/wiki/Disintegrating_Night_Walkers", "Disintegrating Night Walkers")</f>
        <v>Disintegrating Night Walkers</v>
      </c>
      <c r="B472" s="22" t="s">
        <v>55</v>
      </c>
      <c r="C472" s="23" t="s">
        <v>1381</v>
      </c>
      <c r="D472" s="24" t="str">
        <f t="shared" si="13"/>
        <v>Osi.TemplateAddTo("ac9145d1-31d0-4aa3-8755-62cc85dad22b", GetHostCharacter(), 1, 1);</v>
      </c>
      <c r="E472" s="15"/>
      <c r="F472" s="15"/>
    </row>
    <row r="473">
      <c r="A473" s="21" t="str">
        <f>HYPERLINK("https://bg3.wiki/wiki/Dreamsome_Boots", "Dreamsome Boots")</f>
        <v>Dreamsome Boots</v>
      </c>
      <c r="B473" s="22" t="s">
        <v>11</v>
      </c>
      <c r="C473" s="23" t="s">
        <v>1382</v>
      </c>
      <c r="D473" s="24" t="str">
        <f t="shared" si="13"/>
        <v>Osi.TemplateAddTo("216f0362-f77b-420c-84cb-d84853aa173d", GetHostCharacter(), 1, 1);</v>
      </c>
      <c r="E473" s="15"/>
      <c r="F473" s="15"/>
    </row>
    <row r="474">
      <c r="A474" s="21" t="str">
        <f>HYPERLINK("https://bg3.wiki/wiki/Drow_Leather_Boots", "Drow Leather Boots")</f>
        <v>Drow Leather Boots</v>
      </c>
      <c r="B474" s="22" t="s">
        <v>11</v>
      </c>
      <c r="C474" s="23" t="s">
        <v>1383</v>
      </c>
      <c r="D474" s="24" t="str">
        <f t="shared" si="13"/>
        <v>Osi.TemplateAddTo("549d897a-7de3-41f3-8def-9ae899173756", GetHostCharacter(), 1, 1);</v>
      </c>
      <c r="E474" s="15"/>
      <c r="F474" s="15"/>
    </row>
    <row r="475">
      <c r="A475" s="21" t="str">
        <f>HYPERLINK("https://bg3.wiki/wiki/Evasive_Shoes", "Evasive Shoes")</f>
        <v>Evasive Shoes</v>
      </c>
      <c r="B475" s="22" t="s">
        <v>24</v>
      </c>
      <c r="C475" s="23" t="s">
        <v>1384</v>
      </c>
      <c r="D475" s="24" t="str">
        <f t="shared" si="13"/>
        <v>Osi.TemplateAddTo("119f753a-8b06-44d8-bb9a-8a307f6032da", GetHostCharacter(), 1, 1);</v>
      </c>
      <c r="E475" s="15"/>
      <c r="F475" s="15"/>
    </row>
    <row r="476">
      <c r="A476" s="21" t="str">
        <f>HYPERLINK("https://bg3.wiki/wiki/Featherlight_Boots", "Featherlight Boots")</f>
        <v>Featherlight Boots</v>
      </c>
      <c r="B476" s="22" t="s">
        <v>17</v>
      </c>
      <c r="C476" s="23" t="s">
        <v>1385</v>
      </c>
      <c r="D476" s="24" t="str">
        <f t="shared" si="13"/>
        <v>Osi.TemplateAddTo("e3ab8ed8-de3a-466a-ad85-319bdea94bde", GetHostCharacter(), 1, 1);</v>
      </c>
      <c r="E476" s="15"/>
      <c r="F476" s="15"/>
    </row>
    <row r="477">
      <c r="A477" s="21" t="str">
        <f>HYPERLINK("https://bg3.wiki/wiki/Firm-Soled_Boots", "Firm-Soled Boots")</f>
        <v>Firm-Soled Boots</v>
      </c>
      <c r="B477" s="22" t="s">
        <v>11</v>
      </c>
      <c r="C477" s="23" t="s">
        <v>1386</v>
      </c>
      <c r="D477" s="24" t="str">
        <f t="shared" si="13"/>
        <v>Osi.TemplateAddTo("38f78b0a-4f55-406f-8b28-7c0ec8220905", GetHostCharacter(), 1, 1);</v>
      </c>
      <c r="E477" s="15"/>
      <c r="F477" s="15"/>
    </row>
    <row r="478">
      <c r="A478" s="21" t="str">
        <f>HYPERLINK("https://bg3.wiki/wiki/Gargoyle_Boots", "Gargoyle Boots")</f>
        <v>Gargoyle Boots</v>
      </c>
      <c r="B478" s="22" t="s">
        <v>19</v>
      </c>
      <c r="C478" s="23" t="s">
        <v>1387</v>
      </c>
      <c r="D478" s="24" t="str">
        <f t="shared" si="13"/>
        <v>Osi.TemplateAddTo("b22318a2-5c8d-4886-b181-6602f3e4e535", GetHostCharacter(), 1, 1);</v>
      </c>
      <c r="E478" s="15"/>
      <c r="F478" s="15"/>
    </row>
    <row r="479">
      <c r="A479" s="21" t="str">
        <f>HYPERLINK("https://bg3.wiki/wiki/Githyanki_Boots", "Githyanki Boots")</f>
        <v>Githyanki Boots</v>
      </c>
      <c r="B479" s="22" t="s">
        <v>11</v>
      </c>
      <c r="C479" s="23" t="s">
        <v>1388</v>
      </c>
      <c r="D479" s="24" t="str">
        <f t="shared" si="13"/>
        <v>Osi.TemplateAddTo("319c625a-cfb7-4e44-ac3f-370a00c0d4ef", GetHostCharacter(), 1, 1);</v>
      </c>
      <c r="E479" s="15"/>
      <c r="F479" s="15"/>
    </row>
    <row r="480">
      <c r="A480" s="21" t="str">
        <f>HYPERLINK("https://bg3.wiki/wiki/Grovetender_Boots", "Grovetender Boots")</f>
        <v>Grovetender Boots</v>
      </c>
      <c r="B480" s="22" t="s">
        <v>11</v>
      </c>
      <c r="C480" s="23" t="s">
        <v>1389</v>
      </c>
      <c r="D480" s="24" t="str">
        <f t="shared" si="13"/>
        <v>Osi.TemplateAddTo("7de51e0b-cb9d-4279-9bc5-b0d85dce4cf6", GetHostCharacter(), 1, 1);</v>
      </c>
      <c r="E480" s="15"/>
      <c r="F480" s="15"/>
    </row>
    <row r="481">
      <c r="A481" s="21" t="str">
        <f>HYPERLINK("https://bg3.wiki/wiki/Hardily_Constructed_Boots", "Hardily Constructed Boots")</f>
        <v>Hardily Constructed Boots</v>
      </c>
      <c r="B481" s="22" t="s">
        <v>11</v>
      </c>
      <c r="C481" s="23" t="s">
        <v>1390</v>
      </c>
      <c r="D481" s="24" t="str">
        <f t="shared" si="13"/>
        <v>Osi.TemplateAddTo("9c16f3c5-f25a-49ee-b24c-7e974334939f", GetHostCharacter(), 1, 1);</v>
      </c>
      <c r="E481" s="15"/>
      <c r="F481" s="15"/>
    </row>
    <row r="482">
      <c r="A482" s="21" t="str">
        <f>HYPERLINK("https://bg3.wiki/wiki/Heavy_Boots", "Heavy Boots")</f>
        <v>Heavy Boots</v>
      </c>
      <c r="B482" s="22" t="s">
        <v>11</v>
      </c>
      <c r="C482" s="23" t="s">
        <v>1391</v>
      </c>
      <c r="D482" s="24" t="str">
        <f t="shared" si="13"/>
        <v>Osi.TemplateAddTo("d7219371-2f32-4675-b805-a0c9af19c1ff", GetHostCharacter(), 1, 1);</v>
      </c>
      <c r="E482" s="15"/>
      <c r="F482" s="15"/>
    </row>
    <row r="483">
      <c r="A483" s="21" t="str">
        <f>HYPERLINK("https://bg3.wiki/wiki/Helldusk_Boots", "Helldusk Boots")</f>
        <v>Helldusk Boots</v>
      </c>
      <c r="B483" s="22" t="s">
        <v>19</v>
      </c>
      <c r="C483" s="23" t="s">
        <v>1392</v>
      </c>
      <c r="D483" s="24" t="str">
        <f t="shared" si="13"/>
        <v>Osi.TemplateAddTo("bc82f909-ade5-4ada-9b94-cec7ca1d4a68", GetHostCharacter(), 1, 1);</v>
      </c>
      <c r="E483" s="15"/>
      <c r="F483" s="15"/>
    </row>
    <row r="484">
      <c r="A484" s="21" t="str">
        <f>HYPERLINK("https://bg3.wiki/wiki/Hoarfrost_Boots", "Hoarfrost Boots")</f>
        <v>Hoarfrost Boots</v>
      </c>
      <c r="B484" s="22" t="s">
        <v>17</v>
      </c>
      <c r="C484" s="23" t="s">
        <v>1393</v>
      </c>
      <c r="D484" s="24" t="str">
        <f t="shared" si="13"/>
        <v>Osi.TemplateAddTo("6ca10a61-07d8-478c-a6e7-8e43072233cf", GetHostCharacter(), 1, 1);</v>
      </c>
      <c r="E484" s="15"/>
      <c r="F484" s="15"/>
    </row>
    <row r="485">
      <c r="A485" s="21" t="str">
        <f>HYPERLINK("https://bg3.wiki/wiki/Humbly_Cobbled_Shoes", "Humbly Cobbled Shoes")</f>
        <v>Humbly Cobbled Shoes</v>
      </c>
      <c r="B485" s="22" t="s">
        <v>11</v>
      </c>
      <c r="C485" s="23" t="s">
        <v>1394</v>
      </c>
      <c r="D485" s="24" t="str">
        <f t="shared" si="13"/>
        <v>Osi.TemplateAddTo("2134b8b6-fb84-4521-a154-b734c3cf6fd9", GetHostCharacter(), 1, 1);</v>
      </c>
      <c r="E485" s="15"/>
      <c r="F485" s="15"/>
    </row>
    <row r="486">
      <c r="A486" s="21" t="str">
        <f>HYPERLINK("https://bg3.wiki/wiki/Jaheira%E2%80%99s_Boots", "Jaheira’s Boots")</f>
        <v>Jaheira’s Boots</v>
      </c>
      <c r="B486" s="22" t="s">
        <v>11</v>
      </c>
      <c r="C486" s="23" t="s">
        <v>1395</v>
      </c>
      <c r="D486" s="24" t="str">
        <f t="shared" si="13"/>
        <v>Osi.TemplateAddTo("edcc4d57-ba17-4470-ad78-bc2b967b524c", GetHostCharacter(), 1, 1);</v>
      </c>
      <c r="E486" s="15"/>
      <c r="F486" s="15"/>
    </row>
    <row r="487">
      <c r="A487" s="21" t="str">
        <f>HYPERLINK("https://bg3.wiki/wiki/Karlach%27s_Boots", "Karlach's Boots")</f>
        <v>Karlach's Boots</v>
      </c>
      <c r="B487" s="22" t="s">
        <v>11</v>
      </c>
      <c r="C487" s="23" t="s">
        <v>1396</v>
      </c>
      <c r="D487" s="24" t="str">
        <f t="shared" si="13"/>
        <v>Osi.TemplateAddTo("20f935fc-c55b-4841-9f14-1bd71c4bf3c8", GetHostCharacter(), 1, 1);</v>
      </c>
      <c r="E487" s="15"/>
      <c r="F487" s="15"/>
    </row>
    <row r="488">
      <c r="A488" s="21" t="str">
        <f>HYPERLINK("https://bg3.wiki/wiki/Leather_Boots", "Leather Boots")</f>
        <v>Leather Boots</v>
      </c>
      <c r="B488" s="22" t="s">
        <v>11</v>
      </c>
      <c r="C488" s="23" t="s">
        <v>1397</v>
      </c>
      <c r="D488" s="24" t="str">
        <f t="shared" si="13"/>
        <v>Osi.TemplateAddTo("969bab00-b269-46a5-a7e9-dd4887814719", GetHostCharacter(), 1, 1);</v>
      </c>
      <c r="E488" s="15"/>
      <c r="F488" s="15"/>
    </row>
    <row r="489">
      <c r="A489" s="21" t="str">
        <f>HYPERLINK("https://bg3.wiki/wiki/Leather_Boots_(Barbarian)", "Leather Boots (Barbarian)")</f>
        <v>Leather Boots (Barbarian)</v>
      </c>
      <c r="B489" s="22" t="s">
        <v>11</v>
      </c>
      <c r="C489" s="23" t="s">
        <v>1398</v>
      </c>
      <c r="D489" s="24" t="str">
        <f t="shared" si="13"/>
        <v>Osi.TemplateAddTo("2577a332-8ad2-4e54-b52b-f4f7cc5823a1", GetHostCharacter(), 1, 1);</v>
      </c>
      <c r="E489" s="15"/>
      <c r="F489" s="15"/>
    </row>
    <row r="490">
      <c r="A490" s="21" t="str">
        <f>HYPERLINK("https://bg3.wiki/wiki/Linebreaker_Boots", "Linebreaker Boots")</f>
        <v>Linebreaker Boots</v>
      </c>
      <c r="B490" s="22" t="s">
        <v>24</v>
      </c>
      <c r="C490" s="23" t="s">
        <v>1399</v>
      </c>
      <c r="D490" s="24" t="str">
        <f t="shared" si="13"/>
        <v>Osi.TemplateAddTo("edb7385a-e4d4-4fb7-ad9f-a9910e4b9e97", GetHostCharacter(), 1, 1);</v>
      </c>
      <c r="E490" s="15"/>
      <c r="F490" s="15"/>
    </row>
    <row r="491">
      <c r="A491" s="21" t="str">
        <f>HYPERLINK("https://bg3.wiki/wiki/Lonely_Left_Boot_of_Elvenkind", "Lonely Left Boot of Elvenkind")</f>
        <v>Lonely Left Boot of Elvenkind</v>
      </c>
      <c r="B491" s="22" t="s">
        <v>11</v>
      </c>
      <c r="C491" s="23" t="s">
        <v>1394</v>
      </c>
      <c r="D491" s="24" t="str">
        <f t="shared" si="13"/>
        <v>Osi.TemplateAddTo("2134b8b6-fb84-4521-a154-b734c3cf6fd9", GetHostCharacter(), 1, 1);</v>
      </c>
      <c r="E491" s="15"/>
      <c r="F491" s="15"/>
    </row>
    <row r="492">
      <c r="A492" s="21" t="str">
        <f>HYPERLINK("https://bg3.wiki/wiki/Metallic_Boots", "Metallic Boots (v1)")</f>
        <v>Metallic Boots (v1)</v>
      </c>
      <c r="B492" s="22" t="s">
        <v>11</v>
      </c>
      <c r="C492" s="23" t="s">
        <v>1400</v>
      </c>
      <c r="D492" s="24" t="str">
        <f t="shared" si="13"/>
        <v>Osi.TemplateAddTo("aa4be0b4-e2f7-4e22-a708-249276fe47f7", GetHostCharacter(), 1, 1);</v>
      </c>
      <c r="E492" s="27" t="s">
        <v>1401</v>
      </c>
      <c r="F492" s="27"/>
    </row>
    <row r="493">
      <c r="A493" s="21" t="str">
        <f>HYPERLINK("https://bg3.wiki/wiki/Metallic_Boots", "Metallic Boots (v2)")</f>
        <v>Metallic Boots (v2)</v>
      </c>
      <c r="B493" s="22" t="s">
        <v>11</v>
      </c>
      <c r="C493" s="23" t="s">
        <v>1402</v>
      </c>
      <c r="D493" s="24" t="str">
        <f t="shared" si="13"/>
        <v>Osi.TemplateAddTo("643ccbd3-4e7a-4c98-9ea3-312a3d786d30", GetHostCharacter(), 1, 1);</v>
      </c>
      <c r="E493" s="27" t="s">
        <v>1401</v>
      </c>
      <c r="F493" s="27"/>
    </row>
    <row r="494">
      <c r="A494" s="21" t="str">
        <f>HYPERLINK("https://bg3.wiki/wiki/Metallic_Boots", "Metallic Boots (v3)")</f>
        <v>Metallic Boots (v3)</v>
      </c>
      <c r="B494" s="22" t="s">
        <v>11</v>
      </c>
      <c r="C494" s="23" t="s">
        <v>1403</v>
      </c>
      <c r="D494" s="24" t="str">
        <f t="shared" si="13"/>
        <v>Osi.TemplateAddTo("e3d70237-c1da-4195-b486-d17e69e45174", GetHostCharacter(), 1, 1);</v>
      </c>
      <c r="E494" s="27" t="s">
        <v>1401</v>
      </c>
      <c r="F494" s="27"/>
    </row>
    <row r="495">
      <c r="A495" s="21" t="str">
        <f>HYPERLINK("https://bg3.wiki/wiki/Metallic_Boots", "Metallic Boots (v4)")</f>
        <v>Metallic Boots (v4)</v>
      </c>
      <c r="B495" s="22" t="s">
        <v>11</v>
      </c>
      <c r="C495" s="23" t="s">
        <v>1404</v>
      </c>
      <c r="D495" s="24" t="str">
        <f t="shared" si="13"/>
        <v>Osi.TemplateAddTo("ba75d8d1-250a-41e3-a36f-20ba166b768d", GetHostCharacter(), 1, 1);</v>
      </c>
      <c r="E495" s="27" t="s">
        <v>1401</v>
      </c>
      <c r="F495" s="27"/>
    </row>
    <row r="496">
      <c r="A496" s="21" t="str">
        <f>HYPERLINK("https://bg3.wiki/wiki/Metallic_Boots", "Metallic Boots (v5)")</f>
        <v>Metallic Boots (v5)</v>
      </c>
      <c r="B496" s="22" t="s">
        <v>11</v>
      </c>
      <c r="C496" s="23" t="s">
        <v>1405</v>
      </c>
      <c r="D496" s="24" t="str">
        <f t="shared" si="13"/>
        <v>Osi.TemplateAddTo("b873b44d-0a18-482e-9a44-9aa08389c3b3", GetHostCharacter(), 1, 1);</v>
      </c>
      <c r="E496" s="27" t="s">
        <v>1401</v>
      </c>
      <c r="F496" s="27"/>
    </row>
    <row r="497">
      <c r="A497" s="21" t="str">
        <f>HYPERLINK("https://bg3.wiki/wiki/Metallic_Boots", "Metallic Boots (v6)")</f>
        <v>Metallic Boots (v6)</v>
      </c>
      <c r="B497" s="22" t="s">
        <v>11</v>
      </c>
      <c r="C497" s="23" t="s">
        <v>1406</v>
      </c>
      <c r="D497" s="24" t="str">
        <f t="shared" si="13"/>
        <v>Osi.TemplateAddTo("903fd8b0-f789-4818-8239-fcef9cfeaf42", GetHostCharacter(), 1, 1);</v>
      </c>
      <c r="E497" s="27" t="s">
        <v>1401</v>
      </c>
      <c r="F497" s="27"/>
    </row>
    <row r="498">
      <c r="A498" s="21" t="str">
        <f>HYPERLINK("https://bg3.wiki/wiki/Monastic_Boots", "Monastic Boots")</f>
        <v>Monastic Boots</v>
      </c>
      <c r="B498" s="22" t="s">
        <v>11</v>
      </c>
      <c r="C498" s="23" t="s">
        <v>1407</v>
      </c>
      <c r="D498" s="24" t="str">
        <f t="shared" si="13"/>
        <v>Osi.TemplateAddTo("2c49ed8d-6ca0-45a9-8d2e-a93fe29d3fe2", GetHostCharacter(), 1, 1);</v>
      </c>
      <c r="E498" s="15"/>
      <c r="F498" s="15"/>
    </row>
    <row r="499">
      <c r="A499" s="21" t="str">
        <f>HYPERLINK("https://bg3.wiki/wiki/Mystra%27s_Grace", "Mystra's Grace")</f>
        <v>Mystra's Grace</v>
      </c>
      <c r="B499" s="22" t="s">
        <v>17</v>
      </c>
      <c r="C499" s="23" t="s">
        <v>1408</v>
      </c>
      <c r="D499" s="24" t="str">
        <f t="shared" si="13"/>
        <v>Osi.TemplateAddTo("baae9783-dcd3-4d6b-bba3-86faf2fe4c8e", GetHostCharacter(), 1, 1);</v>
      </c>
      <c r="E499" s="15"/>
      <c r="F499" s="15"/>
    </row>
    <row r="500">
      <c r="A500" s="21" t="str">
        <f>HYPERLINK("https://bg3.wiki/wiki/Nightsong_Boots", "Nightsong Boots")</f>
        <v>Nightsong Boots</v>
      </c>
      <c r="B500" s="22" t="s">
        <v>11</v>
      </c>
      <c r="C500" s="23" t="s">
        <v>1409</v>
      </c>
      <c r="D500" s="24" t="str">
        <f t="shared" si="13"/>
        <v>Osi.TemplateAddTo("0902cf5a-a393-40df-8cfb-c00da481cfa9", GetHostCharacter(), 1, 1);</v>
      </c>
      <c r="E500" s="15"/>
      <c r="F500" s="15"/>
    </row>
    <row r="501">
      <c r="A501" s="21" t="str">
        <f>HYPERLINK("https://bg3.wiki/wiki/Oathbreaker_Knight_Boots", "Oathbreaker Knight Boots")</f>
        <v>Oathbreaker Knight Boots</v>
      </c>
      <c r="B501" s="22" t="s">
        <v>11</v>
      </c>
      <c r="C501" s="23" t="s">
        <v>1410</v>
      </c>
      <c r="D501" s="24" t="str">
        <f t="shared" si="13"/>
        <v>Osi.TemplateAddTo("71030d3c-c3c4-4ad6-80de-f9871bd6f11d", GetHostCharacter(), 1, 1);</v>
      </c>
      <c r="E501" s="15"/>
      <c r="F501" s="15"/>
    </row>
    <row r="502">
      <c r="A502" s="21" t="str">
        <f>HYPERLINK("https://bg3.wiki/wiki/Plain_Boots", "Plain Boots")</f>
        <v>Plain Boots</v>
      </c>
      <c r="B502" s="22" t="s">
        <v>11</v>
      </c>
      <c r="C502" s="23" t="s">
        <v>1411</v>
      </c>
      <c r="D502" s="24" t="str">
        <f t="shared" si="13"/>
        <v>Osi.TemplateAddTo("c1f9f7af-cdb2-49f6-8459-521f2b9263cb", GetHostCharacter(), 1, 1);</v>
      </c>
      <c r="E502" s="15"/>
      <c r="F502" s="15"/>
    </row>
    <row r="503">
      <c r="A503" s="21" t="str">
        <f>HYPERLINK("https://bg3.wiki/wiki/Quite_Fashionable_Boots", "Quite Fashionable Boots")</f>
        <v>Quite Fashionable Boots</v>
      </c>
      <c r="B503" s="22" t="s">
        <v>11</v>
      </c>
      <c r="C503" s="23" t="s">
        <v>1412</v>
      </c>
      <c r="D503" s="24" t="str">
        <f t="shared" si="13"/>
        <v>Osi.TemplateAddTo("127d5d89-d6ab-4e4a-b6fe-a3586e6d7020", GetHostCharacter(), 1, 1);</v>
      </c>
      <c r="E503" s="15"/>
      <c r="F503" s="15"/>
    </row>
    <row r="504">
      <c r="A504" s="21" t="str">
        <f>HYPERLINK("https://bg3.wiki/wiki/Shadowstep_Boots", "Shadowstep Boots")</f>
        <v>Shadowstep Boots</v>
      </c>
      <c r="B504" s="22" t="s">
        <v>17</v>
      </c>
      <c r="C504" s="23" t="s">
        <v>1413</v>
      </c>
      <c r="D504" s="24" t="str">
        <f t="shared" si="13"/>
        <v>Osi.TemplateAddTo("6cae9a98-b75d-408e-ac59-d6bde6e4ab13", GetHostCharacter(), 1, 1);</v>
      </c>
      <c r="E504" s="15"/>
      <c r="F504" s="15"/>
    </row>
    <row r="505">
      <c r="A505" s="21" t="str">
        <f>HYPERLINK("https://bg3.wiki/wiki/Simple_Boots", "Simple Boots")</f>
        <v>Simple Boots</v>
      </c>
      <c r="B505" s="22" t="s">
        <v>11</v>
      </c>
      <c r="C505" s="23" t="s">
        <v>1414</v>
      </c>
      <c r="D505" s="24" t="str">
        <f t="shared" si="13"/>
        <v>Osi.TemplateAddTo("97f37571-35e8-4cc8-8b0d-ff92d20ae0bb", GetHostCharacter(), 1, 1);</v>
      </c>
      <c r="E505" s="15"/>
      <c r="F505" s="15"/>
    </row>
    <row r="506">
      <c r="A506" s="21" t="str">
        <f>HYPERLINK("https://bg3.wiki/wiki/Slinging_Shoes", "Slinging Shoes")</f>
        <v>Slinging Shoes</v>
      </c>
      <c r="B506" s="22" t="s">
        <v>24</v>
      </c>
      <c r="C506" s="23" t="s">
        <v>1415</v>
      </c>
      <c r="D506" s="24" t="str">
        <f t="shared" si="13"/>
        <v>Osi.TemplateAddTo("9b94fd74-bcee-4d30-8862-0a18ae65541b", GetHostCharacter(), 1, 1);</v>
      </c>
      <c r="E506" s="15"/>
      <c r="F506" s="15"/>
    </row>
    <row r="507">
      <c r="A507" s="21" t="str">
        <f>HYPERLINK("https://bg3.wiki/wiki/Smarmy_Swaggerer_Boots", "Smarmy Swaggerer Boots")</f>
        <v>Smarmy Swaggerer Boots</v>
      </c>
      <c r="B507" s="22" t="s">
        <v>11</v>
      </c>
      <c r="C507" s="23" t="s">
        <v>1416</v>
      </c>
      <c r="D507" s="24" t="str">
        <f t="shared" si="13"/>
        <v>Osi.TemplateAddTo("2a5964b5-ee7c-4acf-9f40-f45a313b4755", GetHostCharacter(), 1, 1);</v>
      </c>
      <c r="E507" s="15"/>
      <c r="F507" s="15"/>
    </row>
    <row r="508">
      <c r="A508" s="21" t="str">
        <f>HYPERLINK("https://bg3.wiki/wiki/Soft_and_Comfortable_Shoes", "Soft and Comfortable Shoes")</f>
        <v>Soft and Comfortable Shoes</v>
      </c>
      <c r="B508" s="22" t="s">
        <v>11</v>
      </c>
      <c r="C508" s="23" t="s">
        <v>1394</v>
      </c>
      <c r="D508" s="24" t="str">
        <f t="shared" si="13"/>
        <v>Osi.TemplateAddTo("2134b8b6-fb84-4521-a154-b734c3cf6fd9", GetHostCharacter(), 1, 1);</v>
      </c>
      <c r="E508" s="15"/>
      <c r="F508" s="15"/>
    </row>
    <row r="509">
      <c r="A509" s="21" t="str">
        <f>HYPERLINK("https://bg3.wiki/wiki/Spaceshunt_Boots", "Spaceshunt Boots")</f>
        <v>Spaceshunt Boots</v>
      </c>
      <c r="B509" s="22" t="s">
        <v>24</v>
      </c>
      <c r="C509" s="23" t="s">
        <v>1417</v>
      </c>
      <c r="D509" s="24" t="str">
        <f t="shared" si="13"/>
        <v>Osi.TemplateAddTo("ae4af670-5674-4fed-bbf9-4083f06519b0", GetHostCharacter(), 1, 1);</v>
      </c>
      <c r="E509" s="15"/>
      <c r="F509" s="15"/>
    </row>
    <row r="510">
      <c r="A510" s="21" t="str">
        <f>HYPERLINK("https://bg3.wiki/wiki/Spiderstep_Boots", "Spiderstep Boots")</f>
        <v>Spiderstep Boots</v>
      </c>
      <c r="B510" s="22" t="s">
        <v>17</v>
      </c>
      <c r="C510" s="23" t="s">
        <v>1418</v>
      </c>
      <c r="D510" s="24" t="str">
        <f t="shared" si="13"/>
        <v>Osi.TemplateAddTo("d0666101-d24e-4d2b-bc63-63f67532b38c", GetHostCharacter(), 1, 1);</v>
      </c>
      <c r="E510" s="15"/>
      <c r="F510" s="15"/>
    </row>
    <row r="511">
      <c r="A511" s="21" t="str">
        <f>HYPERLINK("https://bg3.wiki/wiki/Springstep_Boots", "Springstep Boots")</f>
        <v>Springstep Boots</v>
      </c>
      <c r="B511" s="22" t="s">
        <v>24</v>
      </c>
      <c r="C511" s="23" t="s">
        <v>1419</v>
      </c>
      <c r="D511" s="24" t="str">
        <f t="shared" si="13"/>
        <v>Osi.TemplateAddTo("1a6825cb-95d5-4542-b018-deb48d936b73", GetHostCharacter(), 1, 1);</v>
      </c>
      <c r="E511" s="15"/>
      <c r="F511" s="15"/>
    </row>
    <row r="512">
      <c r="A512" s="21" t="str">
        <f>HYPERLINK("https://bg3.wiki/wiki/Stiffly-Shod_Boots", "Stiffly-Shod Boots")</f>
        <v>Stiffly-Shod Boots</v>
      </c>
      <c r="B512" s="22" t="s">
        <v>11</v>
      </c>
      <c r="C512" s="23" t="s">
        <v>1420</v>
      </c>
      <c r="D512" s="24" t="str">
        <f t="shared" si="13"/>
        <v>Osi.TemplateAddTo("8166e78b-a5c1-42d3-8ffb-a0f87cf4f789", GetHostCharacter(), 1, 1);</v>
      </c>
      <c r="E512" s="15"/>
      <c r="F512" s="15"/>
    </row>
    <row r="513">
      <c r="A513" s="21" t="str">
        <f>HYPERLINK("https://bg3.wiki/wiki/Swiresy_Shoes", "Swiresy Shoes")</f>
        <v>Swiresy Shoes</v>
      </c>
      <c r="B513" s="22" t="s">
        <v>24</v>
      </c>
      <c r="C513" s="23" t="s">
        <v>1421</v>
      </c>
      <c r="D513" s="24" t="str">
        <f t="shared" si="13"/>
        <v>Osi.TemplateAddTo("b9872a9c-d653-4108-9060-21d6d8ec511a", GetHostCharacter(), 1, 1);</v>
      </c>
      <c r="E513" s="15"/>
      <c r="F513" s="15"/>
    </row>
    <row r="514">
      <c r="A514" s="21" t="str">
        <f>HYPERLINK("https://bg3.wiki/wiki/Tenacious_Boots", "Tenacious Boots")</f>
        <v>Tenacious Boots</v>
      </c>
      <c r="B514" s="22" t="s">
        <v>17</v>
      </c>
      <c r="C514" s="23" t="s">
        <v>1422</v>
      </c>
      <c r="D514" s="24" t="str">
        <f t="shared" si="13"/>
        <v>Osi.TemplateAddTo("cde75746-e209-433b-838c-300e3c7d8306", GetHostCharacter(), 1, 1);</v>
      </c>
      <c r="E514" s="15"/>
      <c r="F514" s="15"/>
    </row>
    <row r="515">
      <c r="A515" s="21" t="str">
        <f>HYPERLINK("https://bg3.wiki/wiki/The_Speedy_Lightfeet", "The Speedy Lightfeet")</f>
        <v>The Speedy Lightfeet</v>
      </c>
      <c r="B515" s="22" t="s">
        <v>24</v>
      </c>
      <c r="C515" s="23" t="s">
        <v>1423</v>
      </c>
      <c r="D515" s="24" t="str">
        <f t="shared" si="13"/>
        <v>Osi.TemplateAddTo("66be4e91-933b-44e8-a73c-3b8a9c6b14a8", GetHostCharacter(), 1, 1);</v>
      </c>
      <c r="E515" s="15"/>
      <c r="F515" s="15"/>
    </row>
    <row r="516">
      <c r="A516" s="21" t="str">
        <f>HYPERLINK("https://bg3.wiki/wiki/The_Watersparkers", "The Watersparkers")</f>
        <v>The Watersparkers</v>
      </c>
      <c r="B516" s="22" t="s">
        <v>24</v>
      </c>
      <c r="C516" s="23" t="s">
        <v>1424</v>
      </c>
      <c r="D516" s="24" t="str">
        <f t="shared" si="13"/>
        <v>Osi.TemplateAddTo("fc9104ab-b61c-4481-8402-cecb13baf30f", GetHostCharacter(), 1, 1);</v>
      </c>
      <c r="E516" s="15"/>
      <c r="F516" s="15"/>
    </row>
    <row r="517">
      <c r="A517" s="21" t="str">
        <f>HYPERLINK("https://bg3.wiki/wiki/Thin-Soled_Shoes", "Thin-Soled Shoes")</f>
        <v>Thin-Soled Shoes</v>
      </c>
      <c r="B517" s="22" t="s">
        <v>11</v>
      </c>
      <c r="C517" s="23" t="s">
        <v>1425</v>
      </c>
      <c r="D517" s="24" t="str">
        <f t="shared" si="13"/>
        <v>Osi.TemplateAddTo("10e07ff1-5586-44fb-b437-31db1f7748ec", GetHostCharacter(), 1, 1);</v>
      </c>
      <c r="E517" s="15"/>
      <c r="F517" s="15"/>
    </row>
    <row r="518">
      <c r="A518" s="21" t="str">
        <f>HYPERLINK("https://bg3.wiki/wiki/Tidy_Slender_Boots", "Tidy Slender Boots")</f>
        <v>Tidy Slender Boots</v>
      </c>
      <c r="B518" s="22" t="s">
        <v>11</v>
      </c>
      <c r="C518" s="23" t="s">
        <v>1426</v>
      </c>
      <c r="D518" s="24" t="str">
        <f t="shared" si="13"/>
        <v>Osi.TemplateAddTo("39eb6810-3cb9-4ddb-966a-ddd68b93e62c", GetHostCharacter(), 1, 1);</v>
      </c>
      <c r="E518" s="15"/>
      <c r="F518" s="15"/>
    </row>
    <row r="519">
      <c r="A519" s="21" t="str">
        <f>HYPERLINK("https://bg3.wiki/wiki/Tough-Soled_Shoes", "Tough-Soled Shoes")</f>
        <v>Tough-Soled Shoes</v>
      </c>
      <c r="B519" s="22" t="s">
        <v>11</v>
      </c>
      <c r="C519" s="23" t="s">
        <v>1427</v>
      </c>
      <c r="D519" s="24" t="str">
        <f t="shared" si="13"/>
        <v>Osi.TemplateAddTo("524ca019-25b5-4769-a9e4-842505710e77", GetHostCharacter(), 1, 1);</v>
      </c>
      <c r="E519" s="15"/>
      <c r="F519" s="15"/>
    </row>
    <row r="520">
      <c r="A520" s="21" t="str">
        <f>HYPERLINK("https://bg3.wiki/wiki/Tough_Shoes", "Tough Shoes")</f>
        <v>Tough Shoes</v>
      </c>
      <c r="B520" s="22" t="s">
        <v>11</v>
      </c>
      <c r="C520" s="23" t="s">
        <v>1428</v>
      </c>
      <c r="D520" s="24" t="str">
        <f t="shared" si="13"/>
        <v>Osi.TemplateAddTo("f649e46c-f1d1-4eb7-af73-368423951707", GetHostCharacter(), 1, 1);</v>
      </c>
      <c r="E520" s="15"/>
      <c r="F520" s="15"/>
    </row>
    <row r="521">
      <c r="A521" s="21" t="str">
        <f>HYPERLINK("https://bg3.wiki/wiki/Tyrannical_Jackboots", "Tyrannical Jackboots")</f>
        <v>Tyrannical Jackboots</v>
      </c>
      <c r="B521" s="22" t="s">
        <v>17</v>
      </c>
      <c r="C521" s="23" t="s">
        <v>1429</v>
      </c>
      <c r="D521" s="24" t="str">
        <f t="shared" si="13"/>
        <v>Osi.TemplateAddTo("48408219-2ab9-4f08-8cb8-2d955fb3dae8", GetHostCharacter(), 1, 1);</v>
      </c>
      <c r="E521" s="15"/>
      <c r="F521" s="15"/>
    </row>
    <row r="522">
      <c r="A522" s="21" t="str">
        <f>HYPERLINK("https://bg3.wiki/wiki/Unwanted_Masterwork_Greaves", "Unwanted Masterwork Greaves")</f>
        <v>Unwanted Masterwork Greaves</v>
      </c>
      <c r="B522" s="22" t="s">
        <v>24</v>
      </c>
      <c r="C522" s="23" t="s">
        <v>1430</v>
      </c>
      <c r="D522" s="24" t="str">
        <f t="shared" si="13"/>
        <v>Osi.TemplateAddTo("df040e30-b424-4a89-be1b-83ffd57eb5a1", GetHostCharacter(), 1, 1);</v>
      </c>
      <c r="E522" s="15"/>
      <c r="F522" s="15"/>
    </row>
    <row r="523">
      <c r="A523" s="21" t="str">
        <f>HYPERLINK("https://bg3.wiki/wiki/Varsh_Ko%27kuu%27s_Boots", "Varsh Ko'kuu's Boots")</f>
        <v>Varsh Ko'kuu's Boots</v>
      </c>
      <c r="B523" s="22" t="s">
        <v>17</v>
      </c>
      <c r="C523" s="23" t="s">
        <v>1431</v>
      </c>
      <c r="D523" s="24" t="str">
        <f t="shared" si="13"/>
        <v>Osi.TemplateAddTo("3462aa18-bb93-403c-b28d-9841c147787f", GetHostCharacter(), 1, 1);</v>
      </c>
      <c r="E523" s="15"/>
      <c r="F523" s="15"/>
    </row>
    <row r="524">
      <c r="A524" s="21" t="str">
        <f>HYPERLINK("https://bg3.wiki/wiki/Vital_Conduit_Boots", "Vital Conduit Boots")</f>
        <v>Vital Conduit Boots</v>
      </c>
      <c r="B524" s="22" t="s">
        <v>24</v>
      </c>
      <c r="C524" s="23" t="s">
        <v>1432</v>
      </c>
      <c r="D524" s="24" t="str">
        <f t="shared" si="13"/>
        <v>Osi.TemplateAddTo("306d3417-5e12-499e-832e-86b602a075de", GetHostCharacter(), 1, 1);</v>
      </c>
      <c r="E524" s="15"/>
      <c r="F524" s="15"/>
    </row>
    <row r="525">
      <c r="A525" s="38" t="str">
        <f>HYPERLINK("https://bg3.wiki/wiki/Wavemother%27s_Boots", "Wavemother's Boots")</f>
        <v>Wavemother's Boots</v>
      </c>
      <c r="B525" s="39" t="s">
        <v>24</v>
      </c>
      <c r="C525" s="40" t="s">
        <v>1433</v>
      </c>
      <c r="D525" s="41" t="str">
        <f t="shared" si="13"/>
        <v>Osi.TemplateAddTo("a1eb910c-0090-4c50-a1cb-a35cbe8c80f2", GetHostCharacter(), 1, 1);</v>
      </c>
      <c r="E525" s="15"/>
      <c r="F525" s="15"/>
    </row>
    <row r="526">
      <c r="B526" s="27"/>
      <c r="C526" s="53"/>
      <c r="D526" s="27"/>
    </row>
  </sheetData>
  <conditionalFormatting sqref="B1:B526">
    <cfRule type="cellIs" dxfId="0" priority="1" operator="equal">
      <formula>"Common"</formula>
    </cfRule>
  </conditionalFormatting>
  <conditionalFormatting sqref="B1:B526">
    <cfRule type="cellIs" dxfId="1" priority="2" operator="equal">
      <formula>"rare"</formula>
    </cfRule>
  </conditionalFormatting>
  <conditionalFormatting sqref="B1:B526">
    <cfRule type="cellIs" dxfId="2" priority="3" operator="equal">
      <formula>"Very Rare"</formula>
    </cfRule>
  </conditionalFormatting>
  <conditionalFormatting sqref="B1:B526">
    <cfRule type="cellIs" dxfId="3" priority="4" operator="equal">
      <formula>"Uncommon"</formula>
    </cfRule>
  </conditionalFormatting>
  <conditionalFormatting sqref="B1:B526">
    <cfRule type="cellIs" dxfId="4" priority="5" operator="equal">
      <formula>"Legendary"</formula>
    </cfRule>
  </conditionalFormatting>
  <conditionalFormatting sqref="B1:B526">
    <cfRule type="cellIs" dxfId="5" priority="6" operator="equal">
      <formula>"Story Item"</formula>
    </cfRule>
  </conditionalFormatting>
  <conditionalFormatting sqref="C1:C104 C106:C526">
    <cfRule type="containsText" dxfId="6" priority="7" operator="containsText" text="todo">
      <formula>NOT(ISERROR(SEARCH(("todo"),(C1))))</formula>
    </cfRule>
  </conditionalFormatting>
  <hyperlinks>
    <hyperlink r:id="rId1" ref="A283"/>
    <hyperlink r:id="rId2" ref="E404"/>
  </hyperlinks>
  <drawing r:id="rId3"/>
  <tableParts count="9">
    <tablePart r:id="rId13"/>
    <tablePart r:id="rId14"/>
    <tablePart r:id="rId15"/>
    <tablePart r:id="rId16"/>
    <tablePart r:id="rId17"/>
    <tablePart r:id="rId18"/>
    <tablePart r:id="rId19"/>
    <tablePart r:id="rId20"/>
    <tablePart r:id="rId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9.5"/>
    <col customWidth="1" min="3" max="3" width="20.13"/>
    <col customWidth="1" min="4" max="4" width="70.0"/>
    <col customWidth="1" min="5" max="5" width="59.13"/>
  </cols>
  <sheetData>
    <row r="1">
      <c r="A1" s="55" t="s">
        <v>1434</v>
      </c>
      <c r="B1" s="22"/>
      <c r="C1" s="23"/>
      <c r="D1" s="22"/>
    </row>
    <row r="2">
      <c r="A2" s="34" t="s">
        <v>7</v>
      </c>
      <c r="B2" s="35" t="s">
        <v>8</v>
      </c>
      <c r="C2" s="35" t="s">
        <v>9</v>
      </c>
      <c r="D2" s="36" t="s">
        <v>10</v>
      </c>
      <c r="E2" s="37"/>
    </row>
    <row r="3">
      <c r="A3" s="21" t="str">
        <f>HYPERLINK("https://bg3.wiki/wiki/Scroll_of_Aid", "Scroll of Aid")</f>
        <v>Scroll of Aid</v>
      </c>
      <c r="B3" s="22" t="s">
        <v>11</v>
      </c>
      <c r="C3" s="23" t="s">
        <v>1435</v>
      </c>
      <c r="D3" s="24" t="str">
        <f t="shared" ref="D3:D120" si="1">"Osi.TemplateAddTo("""&amp; C3 &amp;""", GetHostCharacter(), 1, 1);"</f>
        <v>Osi.TemplateAddTo("3e85f140-2284-430b-b11f-2126cd85b567", GetHostCharacter(), 1, 1);</v>
      </c>
    </row>
    <row r="4">
      <c r="A4" s="21" t="str">
        <f>HYPERLINK("https://bg3.wiki/wiki/Scroll_of_Animal_Friendship", "Scroll of Animal Friendship")</f>
        <v>Scroll of Animal Friendship</v>
      </c>
      <c r="B4" s="22" t="s">
        <v>11</v>
      </c>
      <c r="C4" s="23" t="s">
        <v>1436</v>
      </c>
      <c r="D4" s="24" t="str">
        <f t="shared" si="1"/>
        <v>Osi.TemplateAddTo("3d992632-dc98-43b1-85e5-b59ba5a6aa9a", GetHostCharacter(), 1, 1);</v>
      </c>
    </row>
    <row r="5">
      <c r="A5" s="21" t="str">
        <f>HYPERLINK("https://bg3.wiki/wiki/Scroll_of_Animate_Dead", "Scroll of Animate Dead")</f>
        <v>Scroll of Animate Dead</v>
      </c>
      <c r="B5" s="22" t="s">
        <v>11</v>
      </c>
      <c r="C5" s="23" t="s">
        <v>1437</v>
      </c>
      <c r="D5" s="24" t="str">
        <f t="shared" si="1"/>
        <v>Osi.TemplateAddTo("8b9b4657-93f3-4382-b6e0-a587902abcba", GetHostCharacter(), 1, 1);</v>
      </c>
    </row>
    <row r="6">
      <c r="A6" s="21" t="str">
        <f>HYPERLINK("https://bg3.wiki/wiki/Scroll_of_Arcane_Eye", "Scroll of Arcane Eye")</f>
        <v>Scroll of Arcane Eye</v>
      </c>
      <c r="B6" s="22" t="s">
        <v>24</v>
      </c>
      <c r="C6" s="23" t="s">
        <v>1438</v>
      </c>
      <c r="D6" s="24" t="str">
        <f t="shared" si="1"/>
        <v>Osi.TemplateAddTo("5314d1eb-5771-47b5-80a7-2ee093ef4618", GetHostCharacter(), 1, 1);</v>
      </c>
    </row>
    <row r="7">
      <c r="A7" s="21" t="str">
        <f>HYPERLINK("https://bg3.wiki/wiki/Scroll_of_Arcane_Lock", "Scroll of Arcane Lock")</f>
        <v>Scroll of Arcane Lock</v>
      </c>
      <c r="B7" s="22" t="s">
        <v>17</v>
      </c>
      <c r="C7" s="23" t="s">
        <v>1439</v>
      </c>
      <c r="D7" s="24" t="str">
        <f t="shared" si="1"/>
        <v>Osi.TemplateAddTo("05da1a09-2d22-4299-b4a0-c4538a91f91c", GetHostCharacter(), 1, 1);</v>
      </c>
    </row>
    <row r="8">
      <c r="A8" s="21" t="str">
        <f>HYPERLINK("https://bg3.wiki/wiki/Scroll_of_Artistry_of_War", "Scroll of Artistry of War")</f>
        <v>Scroll of Artistry of War</v>
      </c>
      <c r="B8" s="22" t="s">
        <v>19</v>
      </c>
      <c r="C8" s="23" t="s">
        <v>1440</v>
      </c>
      <c r="D8" s="24" t="str">
        <f t="shared" si="1"/>
        <v>Osi.TemplateAddTo("21e67b0e-913d-411a-9046-6c54e8d0bf53", GetHostCharacter(), 1, 1);</v>
      </c>
    </row>
    <row r="9">
      <c r="A9" s="21" t="str">
        <f>HYPERLINK("https://bg3.wiki/wiki/Scroll_of_Banishment", "Scroll of Banishment")</f>
        <v>Scroll of Banishment</v>
      </c>
      <c r="B9" s="22" t="s">
        <v>24</v>
      </c>
      <c r="C9" s="23" t="s">
        <v>1441</v>
      </c>
      <c r="D9" s="24" t="str">
        <f t="shared" si="1"/>
        <v>Osi.TemplateAddTo("82719943-71e0-4eb2-bc4f-c8c0dd02c47c", GetHostCharacter(), 1, 1);</v>
      </c>
    </row>
    <row r="10">
      <c r="A10" s="21" t="str">
        <f>HYPERLINK("https://bg3.wiki/wiki/Scroll_of_Bestial_Communion", "Scroll of Bestial Communion")</f>
        <v>Scroll of Bestial Communion</v>
      </c>
      <c r="B10" s="22" t="s">
        <v>19</v>
      </c>
      <c r="C10" s="23" t="s">
        <v>1442</v>
      </c>
      <c r="D10" s="24" t="str">
        <f t="shared" si="1"/>
        <v>Osi.TemplateAddTo("b627f83f-8533-4440-95a0-ad2f319fe4ed", GetHostCharacter(), 1, 1);</v>
      </c>
    </row>
    <row r="11">
      <c r="A11" s="21" t="str">
        <f>HYPERLINK("https://bg3.wiki/wiki/Scroll_of_Bestow_Curse", "Scroll of Bestow Curse")</f>
        <v>Scroll of Bestow Curse</v>
      </c>
      <c r="B11" s="22" t="s">
        <v>11</v>
      </c>
      <c r="C11" s="23" t="s">
        <v>1443</v>
      </c>
      <c r="D11" s="24" t="str">
        <f t="shared" si="1"/>
        <v>Osi.TemplateAddTo("48fbab09-ede1-4093-9223-38c9e172c061", GetHostCharacter(), 1, 1);</v>
      </c>
    </row>
    <row r="12">
      <c r="A12" s="21" t="str">
        <f>HYPERLINK("https://bg3.wiki/wiki/Scroll_of_Blight", "Scroll of Blight")</f>
        <v>Scroll of Blight</v>
      </c>
      <c r="B12" s="22" t="s">
        <v>24</v>
      </c>
      <c r="C12" s="23" t="s">
        <v>1444</v>
      </c>
      <c r="D12" s="24" t="str">
        <f t="shared" si="1"/>
        <v>Osi.TemplateAddTo("e0ee9263-3740-44fe-80da-4315cb836aef", GetHostCharacter(), 1, 1);</v>
      </c>
    </row>
    <row r="13">
      <c r="A13" s="21" t="str">
        <f>HYPERLINK("https://bg3.wiki/wiki/Scroll_of_Blindness", "Scroll of Blindness")</f>
        <v>Scroll of Blindness</v>
      </c>
      <c r="B13" s="22" t="s">
        <v>17</v>
      </c>
      <c r="C13" s="23" t="s">
        <v>1445</v>
      </c>
      <c r="D13" s="24" t="str">
        <f t="shared" si="1"/>
        <v>Osi.TemplateAddTo("2c6caac0-1684-4324-abba-0b849a9add74", GetHostCharacter(), 1, 1);</v>
      </c>
    </row>
    <row r="14">
      <c r="A14" s="21" t="str">
        <f>HYPERLINK("https://bg3.wiki/wiki/Scroll_of_Blink", "Scroll of Blink")</f>
        <v>Scroll of Blink</v>
      </c>
      <c r="B14" s="22" t="s">
        <v>24</v>
      </c>
      <c r="C14" s="23" t="s">
        <v>1446</v>
      </c>
      <c r="D14" s="24" t="str">
        <f t="shared" si="1"/>
        <v>Osi.TemplateAddTo("d3800e05-635f-47b3-80b1-1a7c4161cf89", GetHostCharacter(), 1, 1);</v>
      </c>
    </row>
    <row r="15">
      <c r="A15" s="21" t="str">
        <f>HYPERLINK("https://bg3.wiki/wiki/Scroll_of_Blur", "Scroll of Blur")</f>
        <v>Scroll of Blur</v>
      </c>
      <c r="B15" s="22" t="s">
        <v>17</v>
      </c>
      <c r="C15" s="23" t="s">
        <v>1447</v>
      </c>
      <c r="D15" s="24" t="str">
        <f t="shared" si="1"/>
        <v>Osi.TemplateAddTo("a8b34fd5-d643-49ad-98d3-d5841492b338", GetHostCharacter(), 1, 1);</v>
      </c>
    </row>
    <row r="16">
      <c r="A16" s="21" t="str">
        <f>HYPERLINK("https://bg3.wiki/wiki/Scroll_of_Bone_Chill", "Scroll of Bone Chill")</f>
        <v>Scroll of Bone Chill</v>
      </c>
      <c r="B16" s="22" t="s">
        <v>11</v>
      </c>
      <c r="C16" s="23" t="s">
        <v>1448</v>
      </c>
      <c r="D16" s="24" t="str">
        <f t="shared" si="1"/>
        <v>Osi.TemplateAddTo("79faf049-d503-46eb-a018-69e1975777d7", GetHostCharacter(), 1, 1);</v>
      </c>
    </row>
    <row r="17">
      <c r="A17" s="21" t="str">
        <f>HYPERLINK("https://bg3.wiki/wiki/Scroll_of_Burning_Hands", "Scroll of Burning Hands")</f>
        <v>Scroll of Burning Hands</v>
      </c>
      <c r="B17" s="22" t="s">
        <v>11</v>
      </c>
      <c r="C17" s="23" t="s">
        <v>1449</v>
      </c>
      <c r="D17" s="24" t="str">
        <f t="shared" si="1"/>
        <v>Osi.TemplateAddTo("bc00df72-3c98-4bf2-9650-28e08f79b57c", GetHostCharacter(), 1, 1);</v>
      </c>
    </row>
    <row r="18">
      <c r="A18" s="21" t="str">
        <f>HYPERLINK("https://bg3.wiki/wiki/Scroll_of_Chain_Lightning", "Scroll of Chain Lightning")</f>
        <v>Scroll of Chain Lightning</v>
      </c>
      <c r="B18" s="22" t="s">
        <v>19</v>
      </c>
      <c r="C18" s="23" t="s">
        <v>1450</v>
      </c>
      <c r="D18" s="24" t="str">
        <f t="shared" si="1"/>
        <v>Osi.TemplateAddTo("13105f7d-55fa-4292-abfe-b9d80054b48e", GetHostCharacter(), 1, 1);</v>
      </c>
    </row>
    <row r="19">
      <c r="A19" s="21" t="str">
        <f>HYPERLINK("https://bg3.wiki/wiki/Scroll_of_Charm_Person", "Scroll of Charm Person")</f>
        <v>Scroll of Charm Person</v>
      </c>
      <c r="B19" s="22" t="s">
        <v>11</v>
      </c>
      <c r="C19" s="23" t="s">
        <v>1451</v>
      </c>
      <c r="D19" s="24" t="str">
        <f t="shared" si="1"/>
        <v>Osi.TemplateAddTo("2315f935-a188-4665-9ae0-986c7a9b0021", GetHostCharacter(), 1, 1);</v>
      </c>
    </row>
    <row r="20">
      <c r="A20" s="21" t="str">
        <f>HYPERLINK("https://bg3.wiki/wiki/Scroll_of_Chromatic_Orb", "Scroll of Chromatic Orb")</f>
        <v>Scroll of Chromatic Orb</v>
      </c>
      <c r="B20" s="22" t="s">
        <v>11</v>
      </c>
      <c r="C20" s="23" t="s">
        <v>1452</v>
      </c>
      <c r="D20" s="24" t="str">
        <f t="shared" si="1"/>
        <v>Osi.TemplateAddTo("d338fcb9-aaf5-48b1-8333-2dd4d9f70e1b", GetHostCharacter(), 1, 1);</v>
      </c>
    </row>
    <row r="21">
      <c r="A21" s="21" t="str">
        <f>HYPERLINK("https://bg3.wiki/wiki/Scroll_of_Circle_of_Death", "Scroll of Circle of Death")</f>
        <v>Scroll of Circle of Death</v>
      </c>
      <c r="B21" s="22" t="s">
        <v>19</v>
      </c>
      <c r="C21" s="23" t="s">
        <v>1453</v>
      </c>
      <c r="D21" s="24" t="str">
        <f t="shared" si="1"/>
        <v>Osi.TemplateAddTo("ad31110a-aa9a-4427-925a-9952bfbef45a", GetHostCharacter(), 1, 1);</v>
      </c>
    </row>
    <row r="22">
      <c r="A22" s="21" t="str">
        <f>HYPERLINK("https://bg3.wiki/wiki/Scroll_of_Cloud_of_Daggers", "Scroll of Cloud of Daggers")</f>
        <v>Scroll of Cloud of Daggers</v>
      </c>
      <c r="B22" s="22" t="s">
        <v>11</v>
      </c>
      <c r="C22" s="23" t="s">
        <v>1454</v>
      </c>
      <c r="D22" s="24" t="str">
        <f t="shared" si="1"/>
        <v>Osi.TemplateAddTo("33421d4f-1cac-4196-a85e-0b07bcb3ecf2", GetHostCharacter(), 1, 1);</v>
      </c>
    </row>
    <row r="23">
      <c r="A23" s="21" t="str">
        <f>HYPERLINK("https://bg3.wiki/wiki/Scroll_of_Cloudkill", "Scroll of Cloudkill")</f>
        <v>Scroll of Cloudkill</v>
      </c>
      <c r="B23" s="22" t="s">
        <v>19</v>
      </c>
      <c r="C23" s="23" t="s">
        <v>1455</v>
      </c>
      <c r="D23" s="24" t="str">
        <f t="shared" si="1"/>
        <v>Osi.TemplateAddTo("0e793d2d-1cd7-4b90-a71b-821423e50969", GetHostCharacter(), 1, 1);</v>
      </c>
    </row>
    <row r="24">
      <c r="A24" s="21" t="str">
        <f>HYPERLINK("https://bg3.wiki/wiki/Scroll_of_Colour_Spray", "Scroll of Colour Spray")</f>
        <v>Scroll of Colour Spray</v>
      </c>
      <c r="B24" s="22" t="s">
        <v>11</v>
      </c>
      <c r="C24" s="23" t="s">
        <v>1456</v>
      </c>
      <c r="D24" s="24" t="str">
        <f t="shared" si="1"/>
        <v>Osi.TemplateAddTo("c7c92bc3-e856-4403-b509-9b0491f455cd", GetHostCharacter(), 1, 1);</v>
      </c>
    </row>
    <row r="25">
      <c r="A25" s="21" t="str">
        <f>HYPERLINK("https://bg3.wiki/wiki/Scroll_of_Cone_of_Cold", "Scroll of Cone of Cold")</f>
        <v>Scroll of Cone of Cold</v>
      </c>
      <c r="B25" s="22" t="s">
        <v>19</v>
      </c>
      <c r="C25" s="23" t="s">
        <v>1457</v>
      </c>
      <c r="D25" s="24" t="str">
        <f t="shared" si="1"/>
        <v>Osi.TemplateAddTo("e81e7b31-8e7a-4fc1-977d-9a9a58fdd4a0", GetHostCharacter(), 1, 1);</v>
      </c>
    </row>
    <row r="26">
      <c r="A26" s="21" t="str">
        <f>HYPERLINK("https://bg3.wiki/wiki/Scroll_of_Confusion", "Scroll of Confusion")</f>
        <v>Scroll of Confusion</v>
      </c>
      <c r="B26" s="22" t="s">
        <v>24</v>
      </c>
      <c r="C26" s="23" t="s">
        <v>1458</v>
      </c>
      <c r="D26" s="24" t="str">
        <f t="shared" si="1"/>
        <v>Osi.TemplateAddTo("7634cc33-d16b-4640-ba7c-8c6a26653591", GetHostCharacter(), 1, 1);</v>
      </c>
    </row>
    <row r="27">
      <c r="A27" s="21" t="str">
        <f>HYPERLINK("https://bg3.wiki/wiki/Scroll_of_Conjure_Elemental", "Scroll of Conjure Elemental")</f>
        <v>Scroll of Conjure Elemental</v>
      </c>
      <c r="B27" s="22" t="s">
        <v>19</v>
      </c>
      <c r="C27" s="23" t="s">
        <v>1459</v>
      </c>
      <c r="D27" s="24" t="str">
        <f t="shared" si="1"/>
        <v>Osi.TemplateAddTo("c0e92dfa-29cf-46e8-8b35-8bded679df64", GetHostCharacter(), 1, 1);</v>
      </c>
    </row>
    <row r="28">
      <c r="A28" s="21" t="str">
        <f>HYPERLINK("https://bg3.wiki/wiki/Scroll_of_Conjure_Minor_Elemental", "Scroll of Conjure Minor Elemental")</f>
        <v>Scroll of Conjure Minor Elemental</v>
      </c>
      <c r="B28" s="22" t="s">
        <v>24</v>
      </c>
      <c r="C28" s="23" t="s">
        <v>1460</v>
      </c>
      <c r="D28" s="24" t="str">
        <f t="shared" si="1"/>
        <v>Osi.TemplateAddTo("a30864e5-06f0-4d14-9ea4-cb6870c0ddfe", GetHostCharacter(), 1, 1);</v>
      </c>
    </row>
    <row r="29">
      <c r="A29" s="21" t="str">
        <f>HYPERLINK("https://bg3.wiki/wiki/Scroll_of_Counterspell", "Scroll of Counterspell")</f>
        <v>Scroll of Counterspell</v>
      </c>
      <c r="B29" s="22" t="s">
        <v>24</v>
      </c>
      <c r="C29" s="23" t="s">
        <v>1461</v>
      </c>
      <c r="D29" s="24" t="str">
        <f t="shared" si="1"/>
        <v>Osi.TemplateAddTo("17f828a4-5684-42dd-9f08-ff99ba43358a", GetHostCharacter(), 1, 1);</v>
      </c>
    </row>
    <row r="30">
      <c r="A30" s="21" t="str">
        <f>HYPERLINK("https://bg3.wiki/wiki/Scroll_of_Crown_of_Madness", "Scroll of Crown of Madness")</f>
        <v>Scroll of Crown of Madness</v>
      </c>
      <c r="B30" s="22" t="s">
        <v>17</v>
      </c>
      <c r="C30" s="23" t="s">
        <v>1462</v>
      </c>
      <c r="D30" s="24" t="str">
        <f t="shared" si="1"/>
        <v>Osi.TemplateAddTo("701a7df0-728e-494a-ab2f-146aed4e8c7f", GetHostCharacter(), 1, 1);</v>
      </c>
    </row>
    <row r="31">
      <c r="A31" s="21" t="str">
        <f>HYPERLINK("https://bg3.wiki/wiki/Scroll_of_Darkness", "Scroll of Darkness")</f>
        <v>Scroll of Darkness</v>
      </c>
      <c r="B31" s="22" t="s">
        <v>17</v>
      </c>
      <c r="C31" s="23" t="s">
        <v>1463</v>
      </c>
      <c r="D31" s="24" t="str">
        <f t="shared" si="1"/>
        <v>Osi.TemplateAddTo("caa812b9-9362-4c38-aef0-e3f6eb288dba", GetHostCharacter(), 1, 1);</v>
      </c>
    </row>
    <row r="32">
      <c r="A32" s="21" t="str">
        <f>HYPERLINK("https://bg3.wiki/wiki/Scroll_of_Darkvision", "Scroll of Darkvision")</f>
        <v>Scroll of Darkvision</v>
      </c>
      <c r="B32" s="22" t="s">
        <v>17</v>
      </c>
      <c r="C32" s="23" t="s">
        <v>1464</v>
      </c>
      <c r="D32" s="24" t="str">
        <f t="shared" si="1"/>
        <v>Osi.TemplateAddTo("0d737a55-c337-4e8f-b31f-a17273099013", GetHostCharacter(), 1, 1);</v>
      </c>
    </row>
    <row r="33">
      <c r="A33" s="21" t="str">
        <f>HYPERLINK("https://bg3.wiki/wiki/Scroll_of_Detect_Thoughts", "Scroll of Detect Thoughts")</f>
        <v>Scroll of Detect Thoughts</v>
      </c>
      <c r="B33" s="22" t="s">
        <v>17</v>
      </c>
      <c r="C33" s="23" t="s">
        <v>1465</v>
      </c>
      <c r="D33" s="24" t="str">
        <f t="shared" si="1"/>
        <v>Osi.TemplateAddTo("126cc673-1151-4113-b1bf-98457233441b", GetHostCharacter(), 1, 1);</v>
      </c>
    </row>
    <row r="34">
      <c r="A34" s="21" t="str">
        <f>HYPERLINK("https://bg3.wiki/wiki/Scroll_of_Dethrone", "Scroll of Dethrone")</f>
        <v>Scroll of Dethrone</v>
      </c>
      <c r="B34" s="22" t="s">
        <v>19</v>
      </c>
      <c r="C34" s="23" t="s">
        <v>1466</v>
      </c>
      <c r="D34" s="24" t="str">
        <f t="shared" si="1"/>
        <v>Osi.TemplateAddTo("b2e1168a-021d-4a81-a041-6d2e1421a1fb", GetHostCharacter(), 1, 1);</v>
      </c>
    </row>
    <row r="35">
      <c r="A35" s="21" t="str">
        <f>HYPERLINK("https://bg3.wiki/wiki/Scroll_of_Dimension_Door", "Scroll of Dimension Door")</f>
        <v>Scroll of Dimension Door</v>
      </c>
      <c r="B35" s="22" t="s">
        <v>24</v>
      </c>
      <c r="C35" s="23" t="s">
        <v>1467</v>
      </c>
      <c r="D35" s="24" t="str">
        <f t="shared" si="1"/>
        <v>Osi.TemplateAddTo("75452ba5-5758-417c-b661-8832eb64df66", GetHostCharacter(), 1, 1);</v>
      </c>
    </row>
    <row r="36">
      <c r="A36" s="21" t="str">
        <f>HYPERLINK("https://bg3.wiki/wiki/Scroll_of_Disguise_Self", "Scroll of Disguise Self")</f>
        <v>Scroll of Disguise Self</v>
      </c>
      <c r="B36" s="22" t="s">
        <v>11</v>
      </c>
      <c r="C36" s="23" t="s">
        <v>1468</v>
      </c>
      <c r="D36" s="24" t="str">
        <f t="shared" si="1"/>
        <v>Osi.TemplateAddTo("b3376ca4-393c-4191-aa67-a02c94d6a236", GetHostCharacter(), 1, 1);</v>
      </c>
    </row>
    <row r="37">
      <c r="A37" s="21" t="str">
        <f>HYPERLINK("https://bg3.wiki/wiki/Scroll_of_Disintegrate", "Scroll of Disintegrate")</f>
        <v>Scroll of Disintegrate</v>
      </c>
      <c r="B37" s="22" t="s">
        <v>19</v>
      </c>
      <c r="C37" s="23" t="s">
        <v>1469</v>
      </c>
      <c r="D37" s="24" t="str">
        <f t="shared" si="1"/>
        <v>Osi.TemplateAddTo("3f737706-57ca-45e6-b0d1-45238da76329", GetHostCharacter(), 1, 1);</v>
      </c>
    </row>
    <row r="38">
      <c r="A38" s="21" t="str">
        <f>HYPERLINK("https://bg3.wiki/wiki/Scroll_of_Dispel_Magic", "Scroll of Dispel Magic")</f>
        <v>Scroll of Dispel Magic</v>
      </c>
      <c r="B38" s="22" t="s">
        <v>24</v>
      </c>
      <c r="C38" s="23" t="s">
        <v>1470</v>
      </c>
      <c r="D38" s="24" t="str">
        <f t="shared" si="1"/>
        <v>Osi.TemplateAddTo("bc5c0bcf-144f-46ed-bcde-e6bd1225efb9", GetHostCharacter(), 1, 1);</v>
      </c>
    </row>
    <row r="39">
      <c r="A39" s="21" t="str">
        <f>HYPERLINK("https://bg3.wiki/wiki/Scroll_of_Dominate_Person", "Scroll of Dominate Person")</f>
        <v>Scroll of Dominate Person</v>
      </c>
      <c r="B39" s="22" t="s">
        <v>19</v>
      </c>
      <c r="C39" s="23" t="s">
        <v>1471</v>
      </c>
      <c r="D39" s="24" t="str">
        <f t="shared" si="1"/>
        <v>Osi.TemplateAddTo("3b447e07-3e73-4906-9f7e-63a87e2da909", GetHostCharacter(), 1, 1);</v>
      </c>
    </row>
    <row r="40">
      <c r="A40" s="21" t="str">
        <f>HYPERLINK("https://bg3.wiki/wiki/Scroll_of_Enlarge", "Scroll of Enlarge")</f>
        <v>Scroll of Enlarge</v>
      </c>
      <c r="B40" s="22" t="s">
        <v>17</v>
      </c>
      <c r="C40" s="23" t="s">
        <v>1472</v>
      </c>
      <c r="D40" s="24" t="str">
        <f t="shared" si="1"/>
        <v>Osi.TemplateAddTo("7c4c3ae1-26ac-4765-a5d5-586976e0e458", GetHostCharacter(), 1, 1);</v>
      </c>
    </row>
    <row r="41">
      <c r="A41" s="21" t="str">
        <f>HYPERLINK("https://bg3.wiki/wiki/Scroll_of_Evard%27s_Black_Tentacles", "Scroll of Evard's Black Tentacles")</f>
        <v>Scroll of Evard's Black Tentacles</v>
      </c>
      <c r="B41" s="22" t="s">
        <v>24</v>
      </c>
      <c r="C41" s="23" t="s">
        <v>1473</v>
      </c>
      <c r="D41" s="24" t="str">
        <f t="shared" si="1"/>
        <v>Osi.TemplateAddTo("e9fae419-8c7a-4d5d-950f-94675a2aff07", GetHostCharacter(), 1, 1);</v>
      </c>
    </row>
    <row r="42">
      <c r="A42" s="21" t="str">
        <f>HYPERLINK("https://bg3.wiki/wiki/Scroll_of_Expeditious_Retreat", "Scroll of Expeditious Retreat")</f>
        <v>Scroll of Expeditious Retreat</v>
      </c>
      <c r="B42" s="22" t="s">
        <v>11</v>
      </c>
      <c r="C42" s="23" t="s">
        <v>1474</v>
      </c>
      <c r="D42" s="24" t="str">
        <f t="shared" si="1"/>
        <v>Osi.TemplateAddTo("eedf0539-6a47-480e-8b23-a133b222241f", GetHostCharacter(), 1, 1);</v>
      </c>
    </row>
    <row r="43">
      <c r="A43" s="21" t="str">
        <f>HYPERLINK("https://bg3.wiki/wiki/Scroll_of_Eyebite", "Scroll of Eyebite")</f>
        <v>Scroll of Eyebite</v>
      </c>
      <c r="B43" s="22" t="s">
        <v>19</v>
      </c>
      <c r="C43" s="23" t="s">
        <v>1475</v>
      </c>
      <c r="D43" s="24" t="str">
        <f t="shared" si="1"/>
        <v>Osi.TemplateAddTo("cecb1802-b2c0-4d65-aa08-aa15ca3619eb", GetHostCharacter(), 1, 1);</v>
      </c>
    </row>
    <row r="44">
      <c r="A44" s="21" t="str">
        <f>HYPERLINK("https://bg3.wiki/wiki/Scroll_of_False_Life", "Scroll of False Life")</f>
        <v>Scroll of False Life</v>
      </c>
      <c r="B44" s="22" t="s">
        <v>11</v>
      </c>
      <c r="C44" s="23" t="s">
        <v>1476</v>
      </c>
      <c r="D44" s="24" t="str">
        <f t="shared" si="1"/>
        <v>Osi.TemplateAddTo("7d76665a-3b9e-4495-a3c6-a05340704194", GetHostCharacter(), 1, 1);</v>
      </c>
    </row>
    <row r="45">
      <c r="A45" s="21" t="str">
        <f>HYPERLINK("https://bg3.wiki/wiki/Scroll_of_Fear", "Scroll of Fear")</f>
        <v>Scroll of Fear</v>
      </c>
      <c r="B45" s="22" t="s">
        <v>24</v>
      </c>
      <c r="C45" s="23" t="s">
        <v>1477</v>
      </c>
      <c r="D45" s="24" t="str">
        <f t="shared" si="1"/>
        <v>Osi.TemplateAddTo("4cdb2434-0ffa-4fb1-9c42-d6451978f35b", GetHostCharacter(), 1, 1);</v>
      </c>
    </row>
    <row r="46">
      <c r="A46" s="21" t="str">
        <f>HYPERLINK("https://bg3.wiki/wiki/Scroll_of_Feather_Fall", "Scroll of Feather Fall")</f>
        <v>Scroll of Feather Fall</v>
      </c>
      <c r="B46" s="22" t="s">
        <v>11</v>
      </c>
      <c r="C46" s="23" t="s">
        <v>1478</v>
      </c>
      <c r="D46" s="24" t="str">
        <f t="shared" si="1"/>
        <v>Osi.TemplateAddTo("82cbfcd2-cf80-4acd-9f1f-51835693b0e6", GetHostCharacter(), 1, 1);</v>
      </c>
    </row>
    <row r="47">
      <c r="A47" s="21" t="str">
        <f>HYPERLINK("https://bg3.wiki/wiki/Scroll_of_Feign_Death", "Scroll of Feign Death")</f>
        <v>Scroll of Feign Death</v>
      </c>
      <c r="B47" s="22" t="s">
        <v>24</v>
      </c>
      <c r="C47" s="23" t="s">
        <v>1479</v>
      </c>
      <c r="D47" s="24" t="str">
        <f t="shared" si="1"/>
        <v>Osi.TemplateAddTo("6e13fbf8-3db5-4420-8691-653d5ecb753e", GetHostCharacter(), 1, 1);</v>
      </c>
    </row>
    <row r="48">
      <c r="A48" s="21" t="str">
        <f>HYPERLINK("https://bg3.wiki/wiki/Scroll_of_Find_Familiar", "Scroll of Find Familiar")</f>
        <v>Scroll of Find Familiar</v>
      </c>
      <c r="B48" s="22" t="s">
        <v>11</v>
      </c>
      <c r="C48" s="23" t="s">
        <v>1480</v>
      </c>
      <c r="D48" s="24" t="str">
        <f t="shared" si="1"/>
        <v>Osi.TemplateAddTo("fb975b01-40d5-49a3-b60a-d2f13a1f8009", GetHostCharacter(), 1, 1);</v>
      </c>
    </row>
    <row r="49">
      <c r="A49" s="21" t="str">
        <f>HYPERLINK("https://bg3.wiki/wiki/Scroll_of_Fire_Bolt", "Scroll of Fire Bolt")</f>
        <v>Scroll of Fire Bolt</v>
      </c>
      <c r="B49" s="22" t="s">
        <v>11</v>
      </c>
      <c r="C49" s="23" t="s">
        <v>1481</v>
      </c>
      <c r="D49" s="24" t="str">
        <f t="shared" si="1"/>
        <v>Osi.TemplateAddTo("fdfe5d75-0e8b-47f8-b128-d57081cb8981", GetHostCharacter(), 1, 1);</v>
      </c>
    </row>
    <row r="50">
      <c r="A50" s="21" t="str">
        <f>HYPERLINK("https://bg3.wiki/wiki/Scroll_of_Fire_Shield", "Scroll of Fire Shield")</f>
        <v>Scroll of Fire Shield</v>
      </c>
      <c r="B50" s="22" t="s">
        <v>24</v>
      </c>
      <c r="C50" s="23" t="s">
        <v>1482</v>
      </c>
      <c r="D50" s="24" t="str">
        <f t="shared" si="1"/>
        <v>Osi.TemplateAddTo("6b87f7b4-441c-41cf-92c3-29e258747454", GetHostCharacter(), 1, 1);</v>
      </c>
    </row>
    <row r="51">
      <c r="A51" s="21" t="str">
        <f>HYPERLINK("https://bg3.wiki/wiki/Scroll_of_Fire_Shield:_Chill", "Scroll of Fire Shield: Chill")</f>
        <v>Scroll of Fire Shield: Chill</v>
      </c>
      <c r="B51" s="22" t="s">
        <v>24</v>
      </c>
      <c r="C51" s="23" t="s">
        <v>1483</v>
      </c>
      <c r="D51" s="24" t="str">
        <f t="shared" si="1"/>
        <v>Osi.TemplateAddTo("5d2e1c40-e85e-4027-aefe-b9731a2de2c9", GetHostCharacter(), 1, 1);</v>
      </c>
    </row>
    <row r="52">
      <c r="A52" s="21" t="str">
        <f>HYPERLINK("https://bg3.wiki/wiki/Scroll_of_Fireball", "Scroll of Fireball")</f>
        <v>Scroll of Fireball</v>
      </c>
      <c r="B52" s="22" t="s">
        <v>24</v>
      </c>
      <c r="C52" s="23" t="s">
        <v>1484</v>
      </c>
      <c r="D52" s="24" t="str">
        <f t="shared" si="1"/>
        <v>Osi.TemplateAddTo("79d2bb95-53fc-4e41-a004-5e1b83db8de7", GetHostCharacter(), 1, 1);</v>
      </c>
    </row>
    <row r="53">
      <c r="A53" s="21" t="str">
        <f>HYPERLINK("https://bg3.wiki/wiki/Scroll_of_Flame_Blade", "Scroll of Flame Blade")</f>
        <v>Scroll of Flame Blade</v>
      </c>
      <c r="B53" s="22" t="s">
        <v>17</v>
      </c>
      <c r="C53" s="23" t="s">
        <v>1485</v>
      </c>
      <c r="D53" s="24" t="str">
        <f t="shared" si="1"/>
        <v>Osi.TemplateAddTo("a6d216e9-c9e9-4310-b155-0e4f50682377", GetHostCharacter(), 1, 1);</v>
      </c>
    </row>
    <row r="54">
      <c r="A54" s="21" t="str">
        <f>HYPERLINK("https://bg3.wiki/wiki/Scroll_of_Flaming_Sphere", "Scroll of Flaming Sphere")</f>
        <v>Scroll of Flaming Sphere</v>
      </c>
      <c r="B54" s="22" t="s">
        <v>17</v>
      </c>
      <c r="C54" s="23" t="s">
        <v>1486</v>
      </c>
      <c r="D54" s="24" t="str">
        <f t="shared" si="1"/>
        <v>Osi.TemplateAddTo("0922de82-149f-4cac-aa98-e26222fd7714", GetHostCharacter(), 1, 1);</v>
      </c>
    </row>
    <row r="55">
      <c r="A55" s="21" t="str">
        <f>HYPERLINK("https://bg3.wiki/wiki/Scroll_of_Flesh_to_Stone", "Scroll of Flesh to Stone")</f>
        <v>Scroll of Flesh to Stone</v>
      </c>
      <c r="B55" s="22" t="s">
        <v>19</v>
      </c>
      <c r="C55" s="23" t="s">
        <v>1487</v>
      </c>
      <c r="D55" s="24" t="str">
        <f t="shared" si="1"/>
        <v>Osi.TemplateAddTo("a9135751-3a8a-4070-9f3a-11d24d123a3f", GetHostCharacter(), 1, 1);</v>
      </c>
    </row>
    <row r="56">
      <c r="A56" s="21" t="str">
        <f>HYPERLINK("https://bg3.wiki/wiki/Scroll_of_Fly", "Scroll of Fly")</f>
        <v>Scroll of Fly</v>
      </c>
      <c r="B56" s="22" t="s">
        <v>24</v>
      </c>
      <c r="C56" s="23" t="s">
        <v>1488</v>
      </c>
      <c r="D56" s="24" t="str">
        <f t="shared" si="1"/>
        <v>Osi.TemplateAddTo("1df15994-c860-4930-beed-3135b74025fa", GetHostCharacter(), 1, 1);</v>
      </c>
    </row>
    <row r="57">
      <c r="A57" s="21" t="str">
        <f>HYPERLINK("https://bg3.wiki/wiki/Scroll_of_Fog_Cloud", "Scroll of Fog Cloud")</f>
        <v>Scroll of Fog Cloud</v>
      </c>
      <c r="B57" s="22" t="s">
        <v>11</v>
      </c>
      <c r="C57" s="23" t="s">
        <v>1489</v>
      </c>
      <c r="D57" s="24" t="str">
        <f t="shared" si="1"/>
        <v>Osi.TemplateAddTo("dcb51bec-90bd-4d0a-942d-72034782bdf5", GetHostCharacter(), 1, 1);</v>
      </c>
    </row>
    <row r="58">
      <c r="A58" s="21" t="str">
        <f>HYPERLINK("https://bg3.wiki/wiki/Scroll_of_Gaseous_Form", "Scroll of Gaseous Form")</f>
        <v>Scroll of Gaseous Form</v>
      </c>
      <c r="B58" s="22" t="s">
        <v>24</v>
      </c>
      <c r="C58" s="23" t="s">
        <v>1490</v>
      </c>
      <c r="D58" s="24" t="str">
        <f t="shared" si="1"/>
        <v>Osi.TemplateAddTo("4c026e53-4000-4818-913c-a5662ee7c061", GetHostCharacter(), 1, 1);</v>
      </c>
    </row>
    <row r="59">
      <c r="A59" s="21" t="str">
        <f>HYPERLINK("https://bg3.wiki/wiki/Scroll_of_Globe_of_Invulnerability", "Scroll of Globe of Invulnerability")</f>
        <v>Scroll of Globe of Invulnerability</v>
      </c>
      <c r="B59" s="22" t="s">
        <v>19</v>
      </c>
      <c r="C59" s="23" t="s">
        <v>1491</v>
      </c>
      <c r="D59" s="24" t="str">
        <f t="shared" si="1"/>
        <v>Osi.TemplateAddTo("8d4c06d1-e504-49b0-a4fa-5179ab717f1e", GetHostCharacter(), 1, 1);</v>
      </c>
    </row>
    <row r="60">
      <c r="A60" s="21" t="str">
        <f>HYPERLINK("https://bg3.wiki/wiki/Scroll_of_Glyph_of_Warding", "Scroll of Glyph of Warding")</f>
        <v>Scroll of Glyph of Warding</v>
      </c>
      <c r="B60" s="22" t="s">
        <v>24</v>
      </c>
      <c r="C60" s="23" t="s">
        <v>1492</v>
      </c>
      <c r="D60" s="24" t="str">
        <f t="shared" si="1"/>
        <v>Osi.TemplateAddTo("056f10e1-01e7-4622-907f-faad8d48bbe6", GetHostCharacter(), 1, 1);</v>
      </c>
    </row>
    <row r="61">
      <c r="A61" s="21" t="str">
        <f>HYPERLINK("https://bg3.wiki/wiki/Scroll_of_Goodberry", "Scroll of Goodberry")</f>
        <v>Scroll of Goodberry</v>
      </c>
      <c r="B61" s="22" t="s">
        <v>11</v>
      </c>
      <c r="C61" s="23" t="s">
        <v>1493</v>
      </c>
      <c r="D61" s="24" t="str">
        <f t="shared" si="1"/>
        <v>Osi.TemplateAddTo("dff353d0-c1d4-43af-8664-bf08a9ffae07", GetHostCharacter(), 1, 1);</v>
      </c>
    </row>
    <row r="62">
      <c r="A62" s="21" t="str">
        <f>HYPERLINK("https://bg3.wiki/wiki/Scroll_of_Grease", "Scroll of Grease")</f>
        <v>Scroll of Grease</v>
      </c>
      <c r="B62" s="22" t="s">
        <v>11</v>
      </c>
      <c r="C62" s="23" t="s">
        <v>1494</v>
      </c>
      <c r="D62" s="24" t="str">
        <f t="shared" si="1"/>
        <v>Osi.TemplateAddTo("094c9b7f-0b7d-4813-92ea-7267afb62b07", GetHostCharacter(), 1, 1);</v>
      </c>
    </row>
    <row r="63">
      <c r="A63" s="21" t="str">
        <f>HYPERLINK("https://bg3.wiki/wiki/Scroll_of_Greater_Invisibility", "Scroll of Greater Invisibility")</f>
        <v>Scroll of Greater Invisibility</v>
      </c>
      <c r="B63" s="22" t="s">
        <v>24</v>
      </c>
      <c r="C63" s="23" t="s">
        <v>1495</v>
      </c>
      <c r="D63" s="24" t="str">
        <f t="shared" si="1"/>
        <v>Osi.TemplateAddTo("795e4282-27c3-4177-b532-9e6559a26531", GetHostCharacter(), 1, 1);</v>
      </c>
    </row>
    <row r="64">
      <c r="A64" s="21" t="str">
        <f>HYPERLINK("https://bg3.wiki/wiki/Scroll_of_Gust_of_Wind", "Scroll of Gust of Wind")</f>
        <v>Scroll of Gust of Wind</v>
      </c>
      <c r="B64" s="22" t="s">
        <v>17</v>
      </c>
      <c r="C64" s="23" t="s">
        <v>1496</v>
      </c>
      <c r="D64" s="24" t="str">
        <f t="shared" si="1"/>
        <v>Osi.TemplateAddTo("6bedf433-994f-4624-bb2a-cdf6f46d539a", GetHostCharacter(), 1, 1);</v>
      </c>
    </row>
    <row r="65">
      <c r="A65" s="21" t="str">
        <f>HYPERLINK("https://bg3.wiki/wiki/Scroll_of_Haste", "Scroll of Haste")</f>
        <v>Scroll of Haste</v>
      </c>
      <c r="B65" s="22" t="s">
        <v>24</v>
      </c>
      <c r="C65" s="23" t="s">
        <v>1497</v>
      </c>
      <c r="D65" s="24" t="str">
        <f t="shared" si="1"/>
        <v>Osi.TemplateAddTo("96d4aba5-bd76-4bae-a726-37a6c96776ab", GetHostCharacter(), 1, 1);</v>
      </c>
    </row>
    <row r="66">
      <c r="A66" s="21" t="str">
        <f>HYPERLINK("https://bg3.wiki/wiki/Scroll_of_Hold_Monster", "Scroll of Hold Monster")</f>
        <v>Scroll of Hold Monster</v>
      </c>
      <c r="B66" s="22" t="s">
        <v>19</v>
      </c>
      <c r="C66" s="23" t="s">
        <v>1498</v>
      </c>
      <c r="D66" s="24" t="str">
        <f t="shared" si="1"/>
        <v>Osi.TemplateAddTo("d621c19f-d5c8-433c-bc75-7f2eb87d2f0a", GetHostCharacter(), 1, 1);</v>
      </c>
    </row>
    <row r="67">
      <c r="A67" s="21" t="str">
        <f>HYPERLINK("https://bg3.wiki/wiki/Scroll_of_Hold_Person", "Scroll of Hold Person")</f>
        <v>Scroll of Hold Person</v>
      </c>
      <c r="B67" s="22" t="s">
        <v>17</v>
      </c>
      <c r="C67" s="23" t="s">
        <v>1499</v>
      </c>
      <c r="D67" s="24" t="str">
        <f t="shared" si="1"/>
        <v>Osi.TemplateAddTo("5e077657-8b5e-4e69-ae2e-95eab691fa41", GetHostCharacter(), 1, 1);</v>
      </c>
    </row>
    <row r="68">
      <c r="A68" s="21" t="str">
        <f>HYPERLINK("https://bg3.wiki/wiki/Scroll_of_Hypnotic_Pattern", "Scroll of Hypnotic Pattern")</f>
        <v>Scroll of Hypnotic Pattern</v>
      </c>
      <c r="B68" s="22" t="s">
        <v>24</v>
      </c>
      <c r="C68" s="23" t="s">
        <v>1500</v>
      </c>
      <c r="D68" s="24" t="str">
        <f t="shared" si="1"/>
        <v>Osi.TemplateAddTo("bdf15fb0-d9df-4509-ad70-42b5fad11971", GetHostCharacter(), 1, 1);</v>
      </c>
    </row>
    <row r="69">
      <c r="A69" s="21" t="str">
        <f>HYPERLINK("https://bg3.wiki/wiki/Scroll_of_Ice_Knife", "Scroll of Ice Knife")</f>
        <v>Scroll of Ice Knife</v>
      </c>
      <c r="B69" s="22" t="s">
        <v>11</v>
      </c>
      <c r="C69" s="23" t="s">
        <v>1501</v>
      </c>
      <c r="D69" s="24" t="str">
        <f t="shared" si="1"/>
        <v>Osi.TemplateAddTo("f26320fa-9a25-4f79-80fc-e356268cf474", GetHostCharacter(), 1, 1);</v>
      </c>
    </row>
    <row r="70">
      <c r="A70" s="21" t="str">
        <f>HYPERLINK("https://bg3.wiki/wiki/Scroll_of_Ice_Storm", "Scroll of Ice Storm")</f>
        <v>Scroll of Ice Storm</v>
      </c>
      <c r="B70" s="22" t="s">
        <v>24</v>
      </c>
      <c r="C70" s="23" t="s">
        <v>1502</v>
      </c>
      <c r="D70" s="24" t="str">
        <f t="shared" si="1"/>
        <v>Osi.TemplateAddTo("e8c3ad4e-37f0-46c8-bf25-0ddc2dcb0139", GetHostCharacter(), 1, 1);</v>
      </c>
    </row>
    <row r="71">
      <c r="A71" s="21" t="str">
        <f>HYPERLINK("https://bg3.wiki/wiki/Scroll_of_Invisibility", "Scroll of Invisibility")</f>
        <v>Scroll of Invisibility</v>
      </c>
      <c r="B71" s="22" t="s">
        <v>17</v>
      </c>
      <c r="C71" s="23" t="s">
        <v>1503</v>
      </c>
      <c r="D71" s="24" t="str">
        <f t="shared" si="1"/>
        <v>Osi.TemplateAddTo("6ed22182-90a6-418a-8aa7-909b9e77aa47", GetHostCharacter(), 1, 1);</v>
      </c>
    </row>
    <row r="72">
      <c r="A72" s="21" t="str">
        <f>HYPERLINK("https://bg3.wiki/wiki/Scroll_of_Jump", "Scroll of Jump")</f>
        <v>Scroll of Jump</v>
      </c>
      <c r="B72" s="22" t="s">
        <v>11</v>
      </c>
      <c r="C72" s="23" t="s">
        <v>1504</v>
      </c>
      <c r="D72" s="24" t="str">
        <f t="shared" si="1"/>
        <v>Osi.TemplateAddTo("e1f15103-bb95-476f-8b09-091f51b2f645", GetHostCharacter(), 1, 1);</v>
      </c>
    </row>
    <row r="73">
      <c r="A73" s="21" t="str">
        <f>HYPERLINK("https://bg3.wiki/wiki/Scroll_of_Knock", "Scroll of Knock")</f>
        <v>Scroll of Knock</v>
      </c>
      <c r="B73" s="22" t="s">
        <v>444</v>
      </c>
      <c r="C73" s="23" t="s">
        <v>1505</v>
      </c>
      <c r="D73" s="24" t="str">
        <f t="shared" si="1"/>
        <v>Osi.TemplateAddTo("4c1a886a-7db5-4e00-bbc6-d4243534f057", GetHostCharacter(), 1, 1);</v>
      </c>
    </row>
    <row r="74">
      <c r="A74" s="21" t="str">
        <f>HYPERLINK("https://bg3.wiki/wiki/Scroll_of_Lightning_Bolt", "Scroll of Lightning Bolt")</f>
        <v>Scroll of Lightning Bolt</v>
      </c>
      <c r="B74" s="22" t="s">
        <v>24</v>
      </c>
      <c r="C74" s="23" t="s">
        <v>1506</v>
      </c>
      <c r="D74" s="24" t="str">
        <f t="shared" si="1"/>
        <v>Osi.TemplateAddTo("83600284-8f78-409f-a0e0-d262b2bdea64", GetHostCharacter(), 1, 1);</v>
      </c>
    </row>
    <row r="75">
      <c r="A75" s="21" t="str">
        <f>HYPERLINK("https://bg3.wiki/wiki/Scroll_of_Longstrider", "Scroll of Longstrider")</f>
        <v>Scroll of Longstrider</v>
      </c>
      <c r="B75" s="22" t="s">
        <v>11</v>
      </c>
      <c r="C75" s="23" t="s">
        <v>1507</v>
      </c>
      <c r="D75" s="24" t="str">
        <f t="shared" si="1"/>
        <v>Osi.TemplateAddTo("82370a33-5243-4fad-9880-b0a8c2b5a225", GetHostCharacter(), 1, 1);</v>
      </c>
    </row>
    <row r="76">
      <c r="A76" s="21" t="str">
        <f>HYPERLINK("https://bg3.wiki/wiki/Scroll_of_Mage_Armour", "Scroll of Mage Armour")</f>
        <v>Scroll of Mage Armour</v>
      </c>
      <c r="B76" s="22" t="s">
        <v>11</v>
      </c>
      <c r="C76" s="23" t="s">
        <v>1508</v>
      </c>
      <c r="D76" s="24" t="str">
        <f t="shared" si="1"/>
        <v>Osi.TemplateAddTo("2ccab07d-0ccb-45e6-8f43-8ffb6a62da11", GetHostCharacter(), 1, 1);</v>
      </c>
    </row>
    <row r="77">
      <c r="A77" s="21" t="str">
        <f>HYPERLINK("https://bg3.wiki/wiki/Scroll_of_Magic_Missile", "Scroll of Magic Missile")</f>
        <v>Scroll of Magic Missile</v>
      </c>
      <c r="B77" s="22" t="s">
        <v>11</v>
      </c>
      <c r="C77" s="23" t="s">
        <v>1509</v>
      </c>
      <c r="D77" s="24" t="str">
        <f t="shared" si="1"/>
        <v>Osi.TemplateAddTo("945cd4f0-991b-4663-b72e-790d49fee27e", GetHostCharacter(), 1, 1);</v>
      </c>
    </row>
    <row r="78">
      <c r="A78" s="21" t="str">
        <f>HYPERLINK("https://bg3.wiki/wiki/Scroll_of_Magic_Weapon", "Scroll of Magic Weapon")</f>
        <v>Scroll of Magic Weapon</v>
      </c>
      <c r="B78" s="22" t="s">
        <v>17</v>
      </c>
      <c r="C78" s="23" t="s">
        <v>1510</v>
      </c>
      <c r="D78" s="24" t="str">
        <f t="shared" si="1"/>
        <v>Osi.TemplateAddTo("ccf1bd99-e807-44e6-9a0a-7645ad533a8f", GetHostCharacter(), 1, 1);</v>
      </c>
    </row>
    <row r="79">
      <c r="A79" s="21" t="str">
        <f>HYPERLINK("https://bg3.wiki/wiki/Scroll_of_Melf%27s_Acid_Arrow", "Scroll of Melf's Acid Arrow")</f>
        <v>Scroll of Melf's Acid Arrow</v>
      </c>
      <c r="B79" s="22" t="s">
        <v>17</v>
      </c>
      <c r="C79" s="23" t="s">
        <v>1511</v>
      </c>
      <c r="D79" s="24" t="str">
        <f t="shared" si="1"/>
        <v>Osi.TemplateAddTo("0fa4bdab-9ef1-4575-b063-b3e9d359d593", GetHostCharacter(), 1, 1);</v>
      </c>
    </row>
    <row r="80">
      <c r="A80" s="21" t="str">
        <f>HYPERLINK("https://bg3.wiki/wiki/Scroll_of_Mirror_Image", "Scroll of Mirror Image")</f>
        <v>Scroll of Mirror Image</v>
      </c>
      <c r="B80" s="22" t="s">
        <v>17</v>
      </c>
      <c r="C80" s="23" t="s">
        <v>1512</v>
      </c>
      <c r="D80" s="24" t="str">
        <f t="shared" si="1"/>
        <v>Osi.TemplateAddTo("019d8804-56ee-44eb-959a-db5377cda8ae", GetHostCharacter(), 1, 1);</v>
      </c>
    </row>
    <row r="81">
      <c r="A81" s="21" t="str">
        <f>HYPERLINK("https://bg3.wiki/wiki/Scroll_of_Misty_Step", "Scroll of Misty Step")</f>
        <v>Scroll of Misty Step</v>
      </c>
      <c r="B81" s="22" t="s">
        <v>17</v>
      </c>
      <c r="C81" s="23" t="s">
        <v>1513</v>
      </c>
      <c r="D81" s="24" t="str">
        <f t="shared" si="1"/>
        <v>Osi.TemplateAddTo("9a2a3fcc-d948-4463-b88b-a9d61b77b015", GetHostCharacter(), 1, 1);</v>
      </c>
    </row>
    <row r="82">
      <c r="A82" s="21" t="str">
        <f>HYPERLINK("https://bg3.wiki/wiki/Scroll_of_Otiluke%27s_Freezing_Sphere", "Scroll of Otiluke's Freezing Sphere")</f>
        <v>Scroll of Otiluke's Freezing Sphere</v>
      </c>
      <c r="B82" s="22" t="s">
        <v>19</v>
      </c>
      <c r="C82" s="23" t="s">
        <v>1514</v>
      </c>
      <c r="D82" s="24" t="str">
        <f t="shared" si="1"/>
        <v>Osi.TemplateAddTo("74d0e4f0-de97-4097-a7e7-f5759a375c81", GetHostCharacter(), 1, 1);</v>
      </c>
    </row>
    <row r="83">
      <c r="A83" s="21" t="str">
        <f>HYPERLINK("https://bg3.wiki/wiki/Scroll_of_Otiluke%27s_Resilient_Sphere", "Scroll of Otiluke's Resilient Sphere")</f>
        <v>Scroll of Otiluke's Resilient Sphere</v>
      </c>
      <c r="B83" s="22" t="s">
        <v>24</v>
      </c>
      <c r="C83" s="23" t="s">
        <v>1515</v>
      </c>
      <c r="D83" s="24" t="str">
        <f t="shared" si="1"/>
        <v>Osi.TemplateAddTo("f5bf39c0-2df3-4cd4-842c-c1862e6f80aa", GetHostCharacter(), 1, 1);</v>
      </c>
    </row>
    <row r="84">
      <c r="A84" s="21" t="str">
        <f>HYPERLINK("https://bg3.wiki/wiki/Scroll_of_Otto%27s_Irresistible_Dance", "Scroll of Otto's Irresistible Dance")</f>
        <v>Scroll of Otto's Irresistible Dance</v>
      </c>
      <c r="B84" s="22" t="s">
        <v>19</v>
      </c>
      <c r="C84" s="23" t="s">
        <v>1516</v>
      </c>
      <c r="D84" s="24" t="str">
        <f t="shared" si="1"/>
        <v>Osi.TemplateAddTo("3c8db4fb-c10b-415d-b9cd-c3254265b778", GetHostCharacter(), 1, 1);</v>
      </c>
    </row>
    <row r="85">
      <c r="A85" s="21" t="str">
        <f>HYPERLINK("https://bg3.wiki/wiki/Scroll_of_Phantasmal_Force", "Scroll of Phantasmal Force")</f>
        <v>Scroll of Phantasmal Force</v>
      </c>
      <c r="B85" s="22" t="s">
        <v>17</v>
      </c>
      <c r="C85" s="23" t="s">
        <v>1517</v>
      </c>
      <c r="D85" s="24" t="str">
        <f t="shared" si="1"/>
        <v>Osi.TemplateAddTo("2eb2147d-5bcb-4b0e-ac73-b2a4d1deeb77", GetHostCharacter(), 1, 1);</v>
      </c>
    </row>
    <row r="86">
      <c r="A86" s="21" t="str">
        <f>HYPERLINK("https://bg3.wiki/wiki/Scroll_of_Phantasmal_Killer", "Scroll of Phantasmal Killer")</f>
        <v>Scroll of Phantasmal Killer</v>
      </c>
      <c r="B86" s="22" t="s">
        <v>24</v>
      </c>
      <c r="C86" s="23" t="s">
        <v>1518</v>
      </c>
      <c r="D86" s="24" t="str">
        <f t="shared" si="1"/>
        <v>Osi.TemplateAddTo("3b802734-ad6e-45a4-988b-f7241636e5e9", GetHostCharacter(), 1, 1);</v>
      </c>
    </row>
    <row r="87">
      <c r="A87" s="21" t="str">
        <f>HYPERLINK("https://bg3.wiki/wiki/Scroll_of_Planar_Binding", "Scroll of Planar Binding")</f>
        <v>Scroll of Planar Binding</v>
      </c>
      <c r="B87" s="22" t="s">
        <v>19</v>
      </c>
      <c r="C87" s="23" t="s">
        <v>1519</v>
      </c>
      <c r="D87" s="24" t="str">
        <f t="shared" si="1"/>
        <v>Osi.TemplateAddTo("6ac3b9ab-fdb4-47e8-8a35-91747de2afc8", GetHostCharacter(), 1, 1);</v>
      </c>
    </row>
    <row r="88">
      <c r="A88" s="21" t="str">
        <f>HYPERLINK("https://bg3.wiki/wiki/Scroll_of_Polymorph", "Scroll of Polymorph")</f>
        <v>Scroll of Polymorph</v>
      </c>
      <c r="B88" s="22" t="s">
        <v>24</v>
      </c>
      <c r="C88" s="23" t="s">
        <v>1520</v>
      </c>
      <c r="D88" s="24" t="str">
        <f t="shared" si="1"/>
        <v>Osi.TemplateAddTo("389da9ab-bee7-447c-9bed-f1021ddc94d4", GetHostCharacter(), 1, 1);</v>
      </c>
    </row>
    <row r="89">
      <c r="A89" s="21" t="str">
        <f>HYPERLINK("https://bg3.wiki/wiki/Scroll_of_Protection_from_Energy", "Scroll of Protection from Energy")</f>
        <v>Scroll of Protection from Energy</v>
      </c>
      <c r="B89" s="22" t="s">
        <v>24</v>
      </c>
      <c r="C89" s="23" t="s">
        <v>1521</v>
      </c>
      <c r="D89" s="24" t="str">
        <f t="shared" si="1"/>
        <v>Osi.TemplateAddTo("9f8502bf-727f-40c7-93a3-5fab6ba2e2f5", GetHostCharacter(), 1, 1);</v>
      </c>
    </row>
    <row r="90">
      <c r="A90" s="21" t="str">
        <f>HYPERLINK("https://bg3.wiki/wiki/Scroll_of_Protection_from_Evil_and_Good", "Scroll of Protection from Evil and Good")</f>
        <v>Scroll of Protection from Evil and Good</v>
      </c>
      <c r="B90" s="22" t="s">
        <v>11</v>
      </c>
      <c r="C90" s="23" t="s">
        <v>1522</v>
      </c>
      <c r="D90" s="24" t="str">
        <f t="shared" si="1"/>
        <v>Osi.TemplateAddTo("03771ebc-83ca-45d2-8bd5-d382b6d6d824", GetHostCharacter(), 1, 1);</v>
      </c>
    </row>
    <row r="91">
      <c r="A91" s="21" t="str">
        <f>HYPERLINK("https://bg3.wiki/wiki/Scroll_of_Ray_of_Enfeeblement", "Scroll of Ray of Enfeeblement")</f>
        <v>Scroll of Ray of Enfeeblement</v>
      </c>
      <c r="B91" s="22" t="s">
        <v>11</v>
      </c>
      <c r="C91" s="23" t="s">
        <v>1523</v>
      </c>
      <c r="D91" s="24" t="str">
        <f t="shared" si="1"/>
        <v>Osi.TemplateAddTo("cd1da9c5-c9ea-4d2a-93ce-e201c97eded9", GetHostCharacter(), 1, 1);</v>
      </c>
    </row>
    <row r="92">
      <c r="A92" s="21" t="str">
        <f>HYPERLINK("https://bg3.wiki/wiki/Scroll_of_Ray_of_Frost", "Scroll of Ray of Frost")</f>
        <v>Scroll of Ray of Frost</v>
      </c>
      <c r="B92" s="22" t="s">
        <v>11</v>
      </c>
      <c r="C92" s="23" t="s">
        <v>1524</v>
      </c>
      <c r="D92" s="24" t="str">
        <f t="shared" si="1"/>
        <v>Osi.TemplateAddTo("f6cbfbb3-7eab-4f78-afde-073756c4e26d", GetHostCharacter(), 1, 1);</v>
      </c>
    </row>
    <row r="93">
      <c r="A93" s="21" t="str">
        <f>HYPERLINK("https://bg3.wiki/wiki/Scroll_of_Ray_of_Sickness", "Scroll of Ray of Sickness")</f>
        <v>Scroll of Ray of Sickness</v>
      </c>
      <c r="B93" s="22" t="s">
        <v>11</v>
      </c>
      <c r="C93" s="23" t="s">
        <v>1525</v>
      </c>
      <c r="D93" s="24" t="str">
        <f t="shared" si="1"/>
        <v>Osi.TemplateAddTo("22ef638a-206f-4874-8f68-e2a378df1158", GetHostCharacter(), 1, 1);</v>
      </c>
    </row>
    <row r="94">
      <c r="A94" s="21" t="str">
        <f>HYPERLINK("https://bg3.wiki/wiki/Scroll_of_Remove_Curse", "Scroll of Remove Curse")</f>
        <v>Scroll of Remove Curse</v>
      </c>
      <c r="B94" s="22" t="s">
        <v>24</v>
      </c>
      <c r="C94" s="23" t="s">
        <v>1526</v>
      </c>
      <c r="D94" s="24" t="str">
        <f t="shared" si="1"/>
        <v>Osi.TemplateAddTo("dea31400-25e5-4e69-bb76-14430fe46673", GetHostCharacter(), 1, 1);</v>
      </c>
    </row>
    <row r="95">
      <c r="A95" s="21" t="str">
        <f>HYPERLINK("https://bg3.wiki/wiki/Scroll_of_Revivify", "Scroll of Revivify")</f>
        <v>Scroll of Revivify</v>
      </c>
      <c r="B95" s="22" t="s">
        <v>11</v>
      </c>
      <c r="C95" s="23" t="s">
        <v>1527</v>
      </c>
      <c r="D95" s="24" t="str">
        <f t="shared" si="1"/>
        <v>Osi.TemplateAddTo("c1c3e4fb-d68c-4e10-afdc-d4550238d50e", GetHostCharacter(), 1, 1);</v>
      </c>
    </row>
    <row r="96">
      <c r="A96" s="21" t="str">
        <f>HYPERLINK("https://bg3.wiki/wiki/Scroll_of_Scorching_Ray", "Scroll of Scorching Ray")</f>
        <v>Scroll of Scorching Ray</v>
      </c>
      <c r="B96" s="22" t="s">
        <v>11</v>
      </c>
      <c r="C96" s="23" t="s">
        <v>1528</v>
      </c>
      <c r="D96" s="24" t="str">
        <f t="shared" si="1"/>
        <v>Osi.TemplateAddTo("577a83c9-0bb7-4670-b0e9-d9a4738f6a0a", GetHostCharacter(), 1, 1);</v>
      </c>
    </row>
    <row r="97">
      <c r="A97" s="21" t="str">
        <f>HYPERLINK("https://bg3.wiki/wiki/Scroll_of_See_Invisibility", "Scroll of See Invisibility")</f>
        <v>Scroll of See Invisibility</v>
      </c>
      <c r="B97" s="22" t="s">
        <v>17</v>
      </c>
      <c r="C97" s="23" t="s">
        <v>1529</v>
      </c>
      <c r="D97" s="24" t="str">
        <f t="shared" si="1"/>
        <v>Osi.TemplateAddTo("2e7fc397-cb84-4573-b6c7-1c7a8f2742d6", GetHostCharacter(), 1, 1);</v>
      </c>
    </row>
    <row r="98">
      <c r="A98" s="21" t="str">
        <f>HYPERLINK("https://bg3.wiki/wiki/Scroll_of_Seeming", "Scroll of Seeming")</f>
        <v>Scroll of Seeming</v>
      </c>
      <c r="B98" s="22" t="s">
        <v>19</v>
      </c>
      <c r="C98" s="23" t="s">
        <v>1530</v>
      </c>
      <c r="D98" s="24" t="str">
        <f t="shared" si="1"/>
        <v>Osi.TemplateAddTo("d2573c9b-6de2-45bd-8032-b8a59432f4b5", GetHostCharacter(), 1, 1);</v>
      </c>
    </row>
    <row r="99">
      <c r="A99" s="21" t="str">
        <f>HYPERLINK("https://bg3.wiki/wiki/Scroll_of_Shatter", "Scroll of Shatter")</f>
        <v>Scroll of Shatter</v>
      </c>
      <c r="B99" s="22" t="s">
        <v>17</v>
      </c>
      <c r="C99" s="23" t="s">
        <v>1531</v>
      </c>
      <c r="D99" s="24" t="str">
        <f t="shared" si="1"/>
        <v>Osi.TemplateAddTo("2ad118cb-b11f-45ca-a206-7575bbbaccc6", GetHostCharacter(), 1, 1);</v>
      </c>
    </row>
    <row r="100">
      <c r="A100" s="21" t="str">
        <f>HYPERLINK("https://bg3.wiki/wiki/Scroll_of_Shocking_Grasp", "Scroll of Shocking Grasp")</f>
        <v>Scroll of Shocking Grasp</v>
      </c>
      <c r="B100" s="22" t="s">
        <v>11</v>
      </c>
      <c r="C100" s="23" t="s">
        <v>1532</v>
      </c>
      <c r="D100" s="24" t="str">
        <f t="shared" si="1"/>
        <v>Osi.TemplateAddTo("a9ced623-a25d-4d2b-bca5-644b7230c869", GetHostCharacter(), 1, 1);</v>
      </c>
    </row>
    <row r="101">
      <c r="A101" s="21" t="str">
        <f>HYPERLINK("https://bg3.wiki/wiki/Scroll_of_Sleep", "Scroll of Sleep")</f>
        <v>Scroll of Sleep</v>
      </c>
      <c r="B101" s="22" t="s">
        <v>11</v>
      </c>
      <c r="C101" s="23" t="s">
        <v>1533</v>
      </c>
      <c r="D101" s="24" t="str">
        <f t="shared" si="1"/>
        <v>Osi.TemplateAddTo("2ce88bf0-fe06-46bd-b71e-18bc6dc8eb9d", GetHostCharacter(), 1, 1);</v>
      </c>
    </row>
    <row r="102">
      <c r="A102" s="21" t="str">
        <f>HYPERLINK("https://bg3.wiki/wiki/Scroll_of_Sleet_Storm", "Scroll of Sleet Storm")</f>
        <v>Scroll of Sleet Storm</v>
      </c>
      <c r="B102" s="22" t="s">
        <v>11</v>
      </c>
      <c r="C102" s="23" t="s">
        <v>1534</v>
      </c>
      <c r="D102" s="24" t="str">
        <f t="shared" si="1"/>
        <v>Osi.TemplateAddTo("be05f7d0-ffa0-46e3-a0d6-66e3333159f1", GetHostCharacter(), 1, 1);</v>
      </c>
    </row>
    <row r="103">
      <c r="A103" s="21" t="str">
        <f>HYPERLINK("https://bg3.wiki/wiki/Scroll_of_Slow", "Scroll of Slow")</f>
        <v>Scroll of Slow</v>
      </c>
      <c r="B103" s="22" t="s">
        <v>24</v>
      </c>
      <c r="C103" s="23" t="s">
        <v>1535</v>
      </c>
      <c r="D103" s="24" t="str">
        <f t="shared" si="1"/>
        <v>Osi.TemplateAddTo("4c990ca3-01f6-4536-b8f3-c26cd9a0ca8b", GetHostCharacter(), 1, 1);</v>
      </c>
    </row>
    <row r="104">
      <c r="A104" s="21" t="str">
        <f>HYPERLINK("https://bg3.wiki/wiki/Scroll_of_Speak_with_Dead", "Scroll of Speak with Dead")</f>
        <v>Scroll of Speak with Dead</v>
      </c>
      <c r="B104" s="22" t="s">
        <v>17</v>
      </c>
      <c r="C104" s="23" t="s">
        <v>1536</v>
      </c>
      <c r="D104" s="24" t="str">
        <f t="shared" si="1"/>
        <v>Osi.TemplateAddTo("36d01b98-1702-4d00-81a9-1b8469dd67a5", GetHostCharacter(), 1, 1);</v>
      </c>
    </row>
    <row r="105">
      <c r="A105" s="21" t="str">
        <f>HYPERLINK("https://bg3.wiki/wiki/Scroll_of_Stinking_Cloud", "Scroll of Stinking Cloud")</f>
        <v>Scroll of Stinking Cloud</v>
      </c>
      <c r="B105" s="22" t="s">
        <v>24</v>
      </c>
      <c r="C105" s="23" t="s">
        <v>1537</v>
      </c>
      <c r="D105" s="24" t="str">
        <f t="shared" si="1"/>
        <v>Osi.TemplateAddTo("0f0a7a12-1c77-423a-b16e-4a9a5480c05e", GetHostCharacter(), 1, 1);</v>
      </c>
    </row>
    <row r="106">
      <c r="A106" s="21" t="str">
        <f>HYPERLINK("https://bg3.wiki/wiki/Scroll_of_Stoneskin", "Scroll of Stoneskin")</f>
        <v>Scroll of Stoneskin</v>
      </c>
      <c r="B106" s="22" t="s">
        <v>24</v>
      </c>
      <c r="C106" s="23" t="s">
        <v>1538</v>
      </c>
      <c r="D106" s="24" t="str">
        <f t="shared" si="1"/>
        <v>Osi.TemplateAddTo("7f39977f-bcab-4dda-933f-bd70cb333ecc", GetHostCharacter(), 1, 1);</v>
      </c>
    </row>
    <row r="107">
      <c r="A107" s="21" t="str">
        <f>HYPERLINK("https://bg3.wiki/wiki/Scroll_of_Summon_Quasit", "Scroll of Summon Quasit (Cheeky)")</f>
        <v>Scroll of Summon Quasit (Cheeky)</v>
      </c>
      <c r="B107" s="22" t="s">
        <v>11</v>
      </c>
      <c r="C107" s="23" t="s">
        <v>1539</v>
      </c>
      <c r="D107" s="24" t="str">
        <f t="shared" si="1"/>
        <v>Osi.TemplateAddTo("6b881dce-b87f-4c3c-aa98-7ba4b07c009b", GetHostCharacter(), 1, 1);</v>
      </c>
    </row>
    <row r="108">
      <c r="A108" s="21" t="str">
        <f>HYPERLINK("https://bg3.wiki/wiki/Scroll_of_Summon_Quasit", "Scroll of Summon Quasit (Generic)")</f>
        <v>Scroll of Summon Quasit (Generic)</v>
      </c>
      <c r="B108" s="22" t="s">
        <v>11</v>
      </c>
      <c r="C108" s="23" t="s">
        <v>1540</v>
      </c>
      <c r="D108" s="24" t="str">
        <f t="shared" si="1"/>
        <v>Osi.TemplateAddTo("f912ea9b-0e2f-45b4-b12d-fa6ec89dc758", GetHostCharacter(), 1, 1);</v>
      </c>
    </row>
    <row r="109">
      <c r="A109" s="21" t="str">
        <f>HYPERLINK("https://bg3.wiki/wiki/Scroll_of_Sunbeam", "Scroll of Sunbeam")</f>
        <v>Scroll of Sunbeam</v>
      </c>
      <c r="B109" s="22" t="s">
        <v>19</v>
      </c>
      <c r="C109" s="23" t="s">
        <v>1541</v>
      </c>
      <c r="D109" s="24" t="str">
        <f t="shared" si="1"/>
        <v>Osi.TemplateAddTo("049d70c4-7ea3-4b6c-af6f-44dab7813a89", GetHostCharacter(), 1, 1);</v>
      </c>
    </row>
    <row r="110">
      <c r="A110" s="21" t="str">
        <f>HYPERLINK("https://bg3.wiki/wiki/Scroll_of_Tasha%27s_Hideous_Laughter", "Scroll of Tasha's Hideous Laughter")</f>
        <v>Scroll of Tasha's Hideous Laughter</v>
      </c>
      <c r="B110" s="22" t="s">
        <v>11</v>
      </c>
      <c r="C110" s="23" t="s">
        <v>1542</v>
      </c>
      <c r="D110" s="24" t="str">
        <f t="shared" si="1"/>
        <v>Osi.TemplateAddTo("8bc1a0d8-af28-45b2-b1ca-1f15e3c47b1b", GetHostCharacter(), 1, 1);</v>
      </c>
    </row>
    <row r="111">
      <c r="A111" s="21" t="str">
        <f>HYPERLINK("https://bg3.wiki/wiki/Scroll_of_Telekinesis", "Scroll of Telekinesis")</f>
        <v>Scroll of Telekinesis</v>
      </c>
      <c r="B111" s="22" t="s">
        <v>19</v>
      </c>
      <c r="C111" s="23" t="s">
        <v>1543</v>
      </c>
      <c r="D111" s="24" t="str">
        <f t="shared" si="1"/>
        <v>Osi.TemplateAddTo("1d5ecaca-310b-4622-b302-81331c0a8e9e", GetHostCharacter(), 1, 1);</v>
      </c>
    </row>
    <row r="112">
      <c r="A112" s="21" t="str">
        <f>HYPERLINK("https://bg3.wiki/wiki/Scroll_of_Thunderwave", "Scroll of Thunderwave")</f>
        <v>Scroll of Thunderwave</v>
      </c>
      <c r="B112" s="22" t="s">
        <v>11</v>
      </c>
      <c r="C112" s="23" t="s">
        <v>1544</v>
      </c>
      <c r="D112" s="24" t="str">
        <f t="shared" si="1"/>
        <v>Osi.TemplateAddTo("94caa680-50b8-46b1-b775-19150d783b2f", GetHostCharacter(), 1, 1);</v>
      </c>
    </row>
    <row r="113">
      <c r="A113" s="21" t="str">
        <f>HYPERLINK("https://bg3.wiki/wiki/Scroll_of_True_Resurrection", "Scroll of True Resurrection")</f>
        <v>Scroll of True Resurrection</v>
      </c>
      <c r="B113" s="22" t="s">
        <v>24</v>
      </c>
      <c r="C113" s="23" t="s">
        <v>1545</v>
      </c>
      <c r="D113" s="24" t="str">
        <f t="shared" si="1"/>
        <v>Osi.TemplateAddTo("01d1b2b2-9e6b-4ad2-8d63-59f9caf1d389", GetHostCharacter(), 1, 1);</v>
      </c>
    </row>
    <row r="114">
      <c r="A114" s="21" t="str">
        <f>HYPERLINK("https://bg3.wiki/wiki/Scroll_of_Vampiric_Touch", "Scroll of Vampiric Touch")</f>
        <v>Scroll of Vampiric Touch</v>
      </c>
      <c r="B114" s="22" t="s">
        <v>24</v>
      </c>
      <c r="C114" s="23" t="s">
        <v>1546</v>
      </c>
      <c r="D114" s="24" t="str">
        <f t="shared" si="1"/>
        <v>Osi.TemplateAddTo("6fd2d3d4-801c-4591-9c05-db8a68e51808", GetHostCharacter(), 1, 1);</v>
      </c>
    </row>
    <row r="115">
      <c r="A115" s="21" t="str">
        <f>HYPERLINK("https://bg3.wiki/wiki/Scroll_of_Wall_of_Fire", "Scroll of Wall of Fire")</f>
        <v>Scroll of Wall of Fire</v>
      </c>
      <c r="B115" s="22" t="s">
        <v>24</v>
      </c>
      <c r="C115" s="23" t="s">
        <v>1547</v>
      </c>
      <c r="D115" s="24" t="str">
        <f t="shared" si="1"/>
        <v>Osi.TemplateAddTo("0f3c7369-d0bd-4b97-960d-1407f4c8eebf", GetHostCharacter(), 1, 1);</v>
      </c>
    </row>
    <row r="116">
      <c r="A116" s="21" t="str">
        <f>HYPERLINK("https://bg3.wiki/wiki/Scroll_of_Wall_of_Ice", "Scroll of Wall of Ice")</f>
        <v>Scroll of Wall of Ice</v>
      </c>
      <c r="B116" s="22" t="s">
        <v>19</v>
      </c>
      <c r="C116" s="23" t="s">
        <v>1548</v>
      </c>
      <c r="D116" s="24" t="str">
        <f t="shared" si="1"/>
        <v>Osi.TemplateAddTo("e7dc56bc-b169-4a46-b8ee-cc6474dd7b15", GetHostCharacter(), 1, 1);</v>
      </c>
    </row>
    <row r="117">
      <c r="A117" s="21" t="str">
        <f>HYPERLINK("https://bg3.wiki/wiki/Scroll_of_Wall_of_Stone", "Scroll of Wall of Stone")</f>
        <v>Scroll of Wall of Stone</v>
      </c>
      <c r="B117" s="22" t="s">
        <v>19</v>
      </c>
      <c r="C117" s="23" t="s">
        <v>1549</v>
      </c>
      <c r="D117" s="24" t="str">
        <f t="shared" si="1"/>
        <v>Osi.TemplateAddTo("d13587f4-a1f4-4833-bd1e-da1c7951d680", GetHostCharacter(), 1, 1);</v>
      </c>
    </row>
    <row r="118">
      <c r="A118" s="21" t="str">
        <f>HYPERLINK("https://bg3.wiki/wiki/Scroll_of_Web", "Scroll of Web")</f>
        <v>Scroll of Web</v>
      </c>
      <c r="B118" s="22" t="s">
        <v>17</v>
      </c>
      <c r="C118" s="23" t="s">
        <v>1550</v>
      </c>
      <c r="D118" s="24" t="str">
        <f t="shared" si="1"/>
        <v>Osi.TemplateAddTo("2eedb4ac-47fa-4039-9684-8b4bb0923a26", GetHostCharacter(), 1, 1);</v>
      </c>
    </row>
    <row r="119">
      <c r="A119" s="21" t="str">
        <f>HYPERLINK("https://bg3.wiki/wiki/Scroll_of_Witch_Bolt", "Scroll of Witch Bolt")</f>
        <v>Scroll of Witch Bolt</v>
      </c>
      <c r="B119" s="22" t="s">
        <v>11</v>
      </c>
      <c r="C119" s="23" t="s">
        <v>1551</v>
      </c>
      <c r="D119" s="24" t="str">
        <f t="shared" si="1"/>
        <v>Osi.TemplateAddTo("e69f52a4-3d86-4f08-a9b4-c70ba4cc3070", GetHostCharacter(), 1, 1);</v>
      </c>
    </row>
    <row r="120">
      <c r="A120" s="38" t="str">
        <f>HYPERLINK("https://bg3.wiki/wiki/Signed_Trade_Visa", "Signed Trade Visa")</f>
        <v>Signed Trade Visa</v>
      </c>
      <c r="B120" s="39" t="s">
        <v>444</v>
      </c>
      <c r="C120" s="40" t="s">
        <v>1552</v>
      </c>
      <c r="D120" s="41" t="str">
        <f t="shared" si="1"/>
        <v>Osi.TemplateAddTo("f2c940ba-3049-49d2-bb90-af9f4830057c", GetHostCharacter(), 1, 1);</v>
      </c>
    </row>
    <row r="121">
      <c r="C121" s="42"/>
    </row>
    <row r="122">
      <c r="A122" s="55" t="s">
        <v>1553</v>
      </c>
      <c r="B122" s="22"/>
      <c r="C122" s="23"/>
      <c r="D122" s="22"/>
    </row>
    <row r="123">
      <c r="A123" s="34" t="s">
        <v>7</v>
      </c>
      <c r="B123" s="35" t="s">
        <v>8</v>
      </c>
      <c r="C123" s="35" t="s">
        <v>9</v>
      </c>
      <c r="D123" s="36" t="s">
        <v>10</v>
      </c>
      <c r="E123" s="37"/>
    </row>
    <row r="124">
      <c r="A124" s="21" t="str">
        <f>HYPERLINK("https://bg3.wiki/wiki/Arsonist%27s_Oil", "Arsonist's Oil")</f>
        <v>Arsonist's Oil</v>
      </c>
      <c r="B124" s="22" t="s">
        <v>17</v>
      </c>
      <c r="C124" s="23" t="s">
        <v>1554</v>
      </c>
      <c r="D124" s="24" t="str">
        <f t="shared" ref="D124:D143" si="2">"Osi.TemplateAddTo("""&amp; C124 &amp;""", GetHostCharacter(), 1, 1);"</f>
        <v>Osi.TemplateAddTo("bd118cc0-eb90-412d-8229-6749f42df5c6", GetHostCharacter(), 1, 1);</v>
      </c>
    </row>
    <row r="125">
      <c r="A125" s="21" t="str">
        <f>HYPERLINK("https://bg3.wiki/wiki/Assassin%27s_Blood", "Assassin's Blood")</f>
        <v>Assassin's Blood</v>
      </c>
      <c r="B125" s="22" t="s">
        <v>11</v>
      </c>
      <c r="C125" s="23" t="s">
        <v>1555</v>
      </c>
      <c r="D125" s="24" t="str">
        <f t="shared" si="2"/>
        <v>Osi.TemplateAddTo("ee5d2d95-7451-4c4e-b58e-6c211e7fc96b", GetHostCharacter(), 1, 1);</v>
      </c>
    </row>
    <row r="126">
      <c r="A126" s="21" t="str">
        <f>HYPERLINK("https://bg3.wiki/wiki/Basic_Poison", "Basic Poison")</f>
        <v>Basic Poison</v>
      </c>
      <c r="B126" s="22" t="s">
        <v>11</v>
      </c>
      <c r="C126" s="23" t="s">
        <v>1556</v>
      </c>
      <c r="D126" s="24" t="str">
        <f t="shared" si="2"/>
        <v>Osi.TemplateAddTo("28645376-e6e8-436a-8e9a-c62877fae07d", GetHostCharacter(), 1, 1);</v>
      </c>
    </row>
    <row r="127">
      <c r="A127" s="21" t="str">
        <f>HYPERLINK("https://bg3.wiki/wiki/Crawler_Mucus", "Crawler Mucus")</f>
        <v>Crawler Mucus</v>
      </c>
      <c r="B127" s="22" t="s">
        <v>24</v>
      </c>
      <c r="C127" s="23" t="s">
        <v>1557</v>
      </c>
      <c r="D127" s="24" t="str">
        <f t="shared" si="2"/>
        <v>Osi.TemplateAddTo("5865caed-4a5d-45b7-b365-1113334a8e7b", GetHostCharacter(), 1, 1);</v>
      </c>
    </row>
    <row r="128">
      <c r="A128" s="21" t="str">
        <f>HYPERLINK("https://bg3.wiki/wiki/Diluted_Oil_of_Sharpness", "Diluted Oil of Sharpness")</f>
        <v>Diluted Oil of Sharpness</v>
      </c>
      <c r="B128" s="22" t="s">
        <v>17</v>
      </c>
      <c r="C128" s="23" t="s">
        <v>1558</v>
      </c>
      <c r="D128" s="24" t="str">
        <f t="shared" si="2"/>
        <v>Osi.TemplateAddTo("955d3880-3d10-4fb5-845b-96b6b52aef9a", GetHostCharacter(), 1, 1);</v>
      </c>
    </row>
    <row r="129">
      <c r="A129" s="21" t="str">
        <f>HYPERLINK("https://bg3.wiki/wiki/Drow_Poison", "Drow Poison")</f>
        <v>Drow Poison</v>
      </c>
      <c r="B129" s="22" t="s">
        <v>17</v>
      </c>
      <c r="C129" s="23" t="s">
        <v>1559</v>
      </c>
      <c r="D129" s="24" t="str">
        <f t="shared" si="2"/>
        <v>Osi.TemplateAddTo("f528a334-bdb3-4cf1-b74c-0e08942daeb1", GetHostCharacter(), 1, 1);</v>
      </c>
    </row>
    <row r="130">
      <c r="A130" s="21" t="str">
        <f>HYPERLINK("https://bg3.wiki/wiki/Karabasan%27s_Poison", "Karabasan's Poison")</f>
        <v>Karabasan's Poison</v>
      </c>
      <c r="B130" s="22" t="s">
        <v>24</v>
      </c>
      <c r="C130" s="23" t="s">
        <v>1560</v>
      </c>
      <c r="D130" s="24" t="str">
        <f t="shared" si="2"/>
        <v>Osi.TemplateAddTo("a5d93495-c01c-4dd4-928c-3793f620121f", GetHostCharacter(), 1, 1);</v>
      </c>
    </row>
    <row r="131">
      <c r="A131" s="21" t="str">
        <f>HYPERLINK("https://bg3.wiki/wiki/Malice", "Malice")</f>
        <v>Malice</v>
      </c>
      <c r="B131" s="22" t="s">
        <v>24</v>
      </c>
      <c r="C131" s="23" t="s">
        <v>1561</v>
      </c>
      <c r="D131" s="24" t="str">
        <f t="shared" si="2"/>
        <v>Osi.TemplateAddTo("d990fefe-e0f3-46ba-915e-35aebc6c6599", GetHostCharacter(), 1, 1);</v>
      </c>
    </row>
    <row r="132">
      <c r="A132" s="21" t="str">
        <f>HYPERLINK("https://bg3.wiki/wiki/Oil_of_Accuracy", "Oil of Accuracy")</f>
        <v>Oil of Accuracy</v>
      </c>
      <c r="B132" s="22" t="s">
        <v>17</v>
      </c>
      <c r="C132" s="23" t="s">
        <v>1562</v>
      </c>
      <c r="D132" s="24" t="str">
        <f t="shared" si="2"/>
        <v>Osi.TemplateAddTo("3383e241-4d1c-41ad-bc81-fc548fa9062d", GetHostCharacter(), 1, 1);</v>
      </c>
    </row>
    <row r="133">
      <c r="A133" s="21" t="str">
        <f>HYPERLINK("https://bg3.wiki/wiki/Oil_of_Bane", "Oil of Bane")</f>
        <v>Oil of Bane</v>
      </c>
      <c r="B133" s="22" t="s">
        <v>24</v>
      </c>
      <c r="C133" s="23" t="s">
        <v>1563</v>
      </c>
      <c r="D133" s="24" t="str">
        <f t="shared" si="2"/>
        <v>Osi.TemplateAddTo("08789f74-3f63-4e7c-8288-b8d873542c15", GetHostCharacter(), 1, 1);</v>
      </c>
    </row>
    <row r="134">
      <c r="A134" s="21" t="str">
        <f>HYPERLINK("https://bg3.wiki/wiki/Oil_of_Combustion", "Oil of Combustion")</f>
        <v>Oil of Combustion</v>
      </c>
      <c r="B134" s="22" t="s">
        <v>24</v>
      </c>
      <c r="C134" s="23" t="s">
        <v>1564</v>
      </c>
      <c r="D134" s="24" t="str">
        <f t="shared" si="2"/>
        <v>Osi.TemplateAddTo("bb750807-895b-468d-81e1-4378797d11ca", GetHostCharacter(), 1, 1);</v>
      </c>
    </row>
    <row r="135">
      <c r="A135" s="21" t="str">
        <f>HYPERLINK("https://bg3.wiki/wiki/Oil_of_Diminution", "Oil of Diminution")</f>
        <v>Oil of Diminution</v>
      </c>
      <c r="B135" s="22" t="s">
        <v>17</v>
      </c>
      <c r="C135" s="23" t="s">
        <v>1565</v>
      </c>
      <c r="D135" s="24" t="str">
        <f t="shared" si="2"/>
        <v>Osi.TemplateAddTo("01985597-fceb-47d1-93ae-9cc9928ed9e7", GetHostCharacter(), 1, 1);</v>
      </c>
    </row>
    <row r="136">
      <c r="A136" s="21" t="str">
        <f>HYPERLINK("https://bg3.wiki/wiki/Oil_of_Freezing", "Oil of Freezing")</f>
        <v>Oil of Freezing</v>
      </c>
      <c r="B136" s="22" t="s">
        <v>24</v>
      </c>
      <c r="C136" s="23" t="s">
        <v>1566</v>
      </c>
      <c r="D136" s="24" t="str">
        <f t="shared" si="2"/>
        <v>Osi.TemplateAddTo("3e4ce3e8-fbae-4e78-9198-e4c15485a928", GetHostCharacter(), 1, 1);</v>
      </c>
    </row>
    <row r="137">
      <c r="A137" s="21" t="str">
        <f>HYPERLINK("https://bg3.wiki/wiki/Oil_of_Sharpness", "Oil of Sharpness")</f>
        <v>Oil of Sharpness</v>
      </c>
      <c r="B137" s="22" t="s">
        <v>11</v>
      </c>
      <c r="C137" s="23" t="s">
        <v>1567</v>
      </c>
      <c r="D137" s="24" t="str">
        <f t="shared" si="2"/>
        <v>Osi.TemplateAddTo("84eedc44-3b1b-49c4-9417-9e5a99ea6e56", GetHostCharacter(), 1, 1);</v>
      </c>
    </row>
    <row r="138">
      <c r="A138" s="21" t="str">
        <f>HYPERLINK("https://bg3.wiki/wiki/Purple_Worm_Toxin", "Purple Worm Toxin")</f>
        <v>Purple Worm Toxin</v>
      </c>
      <c r="B138" s="22" t="s">
        <v>19</v>
      </c>
      <c r="C138" s="23" t="s">
        <v>1568</v>
      </c>
      <c r="D138" s="24" t="str">
        <f t="shared" si="2"/>
        <v>Osi.TemplateAddTo("56e531e9-78e4-430b-bc98-611c1b1ccd08", GetHostCharacter(), 1, 1);</v>
      </c>
    </row>
    <row r="139">
      <c r="A139" s="21" t="str">
        <f>HYPERLINK("https://bg3.wiki/wiki/Serpent_Fang_Toxin", "Serpent Fang Toxin")</f>
        <v>Serpent Fang Toxin</v>
      </c>
      <c r="B139" s="22" t="s">
        <v>17</v>
      </c>
      <c r="C139" s="23" t="s">
        <v>1569</v>
      </c>
      <c r="D139" s="24" t="str">
        <f t="shared" si="2"/>
        <v>Osi.TemplateAddTo("b0385b93-f525-4740-8126-471a76fa31a2", GetHostCharacter(), 1, 1);</v>
      </c>
    </row>
    <row r="140">
      <c r="A140" s="21" t="str">
        <f>HYPERLINK("https://bg3.wiki/wiki/Simple_Toxin", "Simple Toxin")</f>
        <v>Simple Toxin</v>
      </c>
      <c r="B140" s="22" t="s">
        <v>11</v>
      </c>
      <c r="C140" s="23" t="s">
        <v>1570</v>
      </c>
      <c r="D140" s="24" t="str">
        <f t="shared" si="2"/>
        <v>Osi.TemplateAddTo("8b5f7965-6cd1-42c1-8449-c6562a270ad9", GetHostCharacter(), 1, 1);</v>
      </c>
    </row>
    <row r="141">
      <c r="A141" s="21" t="str">
        <f>HYPERLINK("https://bg3.wiki/wiki/Thisobald%27s_Brewed-Up_Bellyglummer", "Thisobald's Brewed-Up Bellyglummer")</f>
        <v>Thisobald's Brewed-Up Bellyglummer</v>
      </c>
      <c r="B141" s="22" t="s">
        <v>19</v>
      </c>
      <c r="C141" s="23" t="s">
        <v>1571</v>
      </c>
      <c r="D141" s="24" t="str">
        <f t="shared" si="2"/>
        <v>Osi.TemplateAddTo("6db9ed3d-2d72-43ad-a2b8-02365728f29f", GetHostCharacter(), 1, 1);</v>
      </c>
    </row>
    <row r="142">
      <c r="A142" s="21" t="str">
        <f>HYPERLINK("https://bg3.wiki/wiki/Wizardsbane_Oil", "Wizardsbane Oil")</f>
        <v>Wizardsbane Oil</v>
      </c>
      <c r="B142" s="22" t="s">
        <v>17</v>
      </c>
      <c r="C142" s="23" t="s">
        <v>1572</v>
      </c>
      <c r="D142" s="24" t="str">
        <f t="shared" si="2"/>
        <v>Osi.TemplateAddTo("e4f7cb7f-1cb3-411b-b078-f4ac25b750a8", GetHostCharacter(), 1, 1);</v>
      </c>
    </row>
    <row r="143">
      <c r="A143" s="38" t="str">
        <f>HYPERLINK("https://bg3.wiki/wiki/Wyvern_Toxin", "Wyvern Toxin")</f>
        <v>Wyvern Toxin</v>
      </c>
      <c r="B143" s="39" t="s">
        <v>24</v>
      </c>
      <c r="C143" s="40" t="s">
        <v>1573</v>
      </c>
      <c r="D143" s="41" t="str">
        <f t="shared" si="2"/>
        <v>Osi.TemplateAddTo("eca393b0-3f8e-4862-814b-9e236a0d4129", GetHostCharacter(), 1, 1);</v>
      </c>
    </row>
    <row r="144">
      <c r="C144" s="42"/>
    </row>
    <row r="145">
      <c r="A145" s="55" t="s">
        <v>1574</v>
      </c>
      <c r="B145" s="22"/>
      <c r="C145" s="23"/>
      <c r="D145" s="22"/>
    </row>
    <row r="146">
      <c r="A146" s="34" t="s">
        <v>7</v>
      </c>
      <c r="B146" s="35" t="s">
        <v>8</v>
      </c>
      <c r="C146" s="35" t="s">
        <v>9</v>
      </c>
      <c r="D146" s="36" t="s">
        <v>10</v>
      </c>
      <c r="E146" s="43"/>
    </row>
    <row r="147">
      <c r="A147" s="21" t="str">
        <f>HYPERLINK("https://bg3.wiki/wiki/Elixir_of_Acid_Resistance", "Elixir of Acid Resistance")</f>
        <v>Elixir of Acid Resistance</v>
      </c>
      <c r="B147" s="22" t="s">
        <v>11</v>
      </c>
      <c r="C147" s="23" t="s">
        <v>1575</v>
      </c>
      <c r="D147" s="24" t="str">
        <f t="shared" ref="D147:D186" si="3">"Osi.TemplateAddTo("""&amp; C147 &amp;""", GetHostCharacter(), 1, 1);"</f>
        <v>Osi.TemplateAddTo("491921dd-5c64-45da-a150-7ff7030705f7", GetHostCharacter(), 1, 1);</v>
      </c>
      <c r="E147" s="15"/>
    </row>
    <row r="148">
      <c r="A148" s="21" t="str">
        <f>HYPERLINK("https://bg3.wiki/wiki/Elixir_of_Arcane_Cultivation", "Elixir of Arcane Cultivation")</f>
        <v>Elixir of Arcane Cultivation</v>
      </c>
      <c r="B148" s="22" t="s">
        <v>17</v>
      </c>
      <c r="C148" s="23" t="s">
        <v>1576</v>
      </c>
      <c r="D148" s="24" t="str">
        <f t="shared" si="3"/>
        <v>Osi.TemplateAddTo("6f328fc5-6f54-4aad-959d-0825290a2763", GetHostCharacter(), 1, 1);</v>
      </c>
      <c r="E148" s="15"/>
    </row>
    <row r="149">
      <c r="A149" s="21" t="str">
        <f>HYPERLINK("https://bg3.wiki/wiki/Elixir_of_Barkskin", "Elixir of Barkskin")</f>
        <v>Elixir of Barkskin</v>
      </c>
      <c r="B149" s="22" t="s">
        <v>17</v>
      </c>
      <c r="C149" s="23" t="s">
        <v>1577</v>
      </c>
      <c r="D149" s="24" t="str">
        <f t="shared" si="3"/>
        <v>Osi.TemplateAddTo("cc1a8802-675a-426b-a791-ec1d5a5b6328", GetHostCharacter(), 1, 1);</v>
      </c>
      <c r="E149" s="15"/>
    </row>
    <row r="150">
      <c r="A150" s="21" t="str">
        <f>HYPERLINK("https://bg3.wiki/wiki/Elixir_of_Battlemage%27s_Power", "Elixir of Battlemage's Power")</f>
        <v>Elixir of Battlemage's Power</v>
      </c>
      <c r="B150" s="22" t="s">
        <v>24</v>
      </c>
      <c r="C150" s="23" t="s">
        <v>1578</v>
      </c>
      <c r="D150" s="24" t="str">
        <f t="shared" si="3"/>
        <v>Osi.TemplateAddTo("7d1699d9-c3fa-4761-9718-28230f78420b", GetHostCharacter(), 1, 1);</v>
      </c>
      <c r="E150" s="15"/>
    </row>
    <row r="151">
      <c r="A151" s="21" t="str">
        <f>HYPERLINK("https://bg3.wiki/wiki/Elixir_of_Bloodlust", "Elixir of Bloodlust")</f>
        <v>Elixir of Bloodlust</v>
      </c>
      <c r="B151" s="22" t="s">
        <v>17</v>
      </c>
      <c r="C151" s="23" t="s">
        <v>1579</v>
      </c>
      <c r="D151" s="24" t="str">
        <f t="shared" si="3"/>
        <v>Osi.TemplateAddTo("45a775f8-2cf9-440d-b9eb-4ee5f17efca8", GetHostCharacter(), 1, 1);</v>
      </c>
      <c r="E151" s="15"/>
    </row>
    <row r="152">
      <c r="A152" s="21" t="str">
        <f>HYPERLINK("https://bg3.wiki/wiki/Elixir_of_Cloud_Giant_Strength", "Elixir of Cloud Giant Strength")</f>
        <v>Elixir of Cloud Giant Strength</v>
      </c>
      <c r="B152" s="22" t="s">
        <v>24</v>
      </c>
      <c r="C152" s="23" t="s">
        <v>1580</v>
      </c>
      <c r="D152" s="24" t="str">
        <f t="shared" si="3"/>
        <v>Osi.TemplateAddTo("e6490cc8-7f81-4aac-95e8-a58ce5e88a31", GetHostCharacter(), 1, 1);</v>
      </c>
      <c r="E152" s="15"/>
    </row>
    <row r="153">
      <c r="A153" s="21" t="str">
        <f>HYPERLINK("https://bg3.wiki/wiki/Elixir_of_Cold_Resistance", "Elixir of Cold Resistance")</f>
        <v>Elixir of Cold Resistance</v>
      </c>
      <c r="B153" s="22" t="s">
        <v>11</v>
      </c>
      <c r="C153" s="23" t="s">
        <v>1581</v>
      </c>
      <c r="D153" s="24" t="str">
        <f t="shared" si="3"/>
        <v>Osi.TemplateAddTo("ce8a15ef-be30-4af1-9ecb-ebfcf8b637a9", GetHostCharacter(), 1, 1);</v>
      </c>
      <c r="E153" s="15"/>
    </row>
    <row r="154">
      <c r="A154" s="21" t="str">
        <f>HYPERLINK("https://bg3.wiki/wiki/Elixir_of_Darkvision", "Elixir of Darkvision")</f>
        <v>Elixir of Darkvision</v>
      </c>
      <c r="B154" s="22" t="s">
        <v>17</v>
      </c>
      <c r="C154" s="23" t="s">
        <v>1582</v>
      </c>
      <c r="D154" s="24" t="str">
        <f t="shared" si="3"/>
        <v>Osi.TemplateAddTo("0f2ccca6-3ce8-4271-aec0-820f6581c551", GetHostCharacter(), 1, 1);</v>
      </c>
      <c r="E154" s="15"/>
    </row>
    <row r="155">
      <c r="A155" s="21" t="str">
        <f>HYPERLINK("https://bg3.wiki/wiki/Elixir_of_Dragonborn_Prowess:_Acid", "Elixir of Dragonborn Prowess: Acid")</f>
        <v>Elixir of Dragonborn Prowess: Acid</v>
      </c>
      <c r="B155" s="22" t="s">
        <v>24</v>
      </c>
      <c r="C155" s="23" t="s">
        <v>1583</v>
      </c>
      <c r="D155" s="24" t="str">
        <f t="shared" si="3"/>
        <v>Osi.TemplateAddTo("f21d19ce-b550-4d08-8eaf-55129772c6f2", GetHostCharacter(), 1, 1);</v>
      </c>
      <c r="E155" s="15"/>
    </row>
    <row r="156">
      <c r="A156" s="21" t="str">
        <f>HYPERLINK("https://bg3.wiki/wiki/Elixir_of_Dragonborn_Prowess:_Fire", "Elixir of Dragonborn Prowess: Fire")</f>
        <v>Elixir of Dragonborn Prowess: Fire</v>
      </c>
      <c r="B156" s="22" t="s">
        <v>24</v>
      </c>
      <c r="C156" s="23" t="s">
        <v>1584</v>
      </c>
      <c r="D156" s="24" t="str">
        <f t="shared" si="3"/>
        <v>Osi.TemplateAddTo("e258a58f-eda6-44f8-bba6-689b275d9d8f", GetHostCharacter(), 1, 1);</v>
      </c>
      <c r="E156" s="15"/>
    </row>
    <row r="157">
      <c r="A157" s="21" t="str">
        <f>HYPERLINK("https://bg3.wiki/wiki/Elixir_of_Dragonborn_Prowess:_Frost", "Elixir of Dragonborn Prowess: Frost")</f>
        <v>Elixir of Dragonborn Prowess: Frost</v>
      </c>
      <c r="B157" s="22" t="s">
        <v>24</v>
      </c>
      <c r="C157" s="23" t="s">
        <v>1585</v>
      </c>
      <c r="D157" s="24" t="str">
        <f t="shared" si="3"/>
        <v>Osi.TemplateAddTo("5e556eca-2989-42c7-a018-95770ae779a2", GetHostCharacter(), 1, 1);</v>
      </c>
      <c r="E157" s="15"/>
    </row>
    <row r="158">
      <c r="A158" s="21" t="str">
        <f>HYPERLINK("https://bg3.wiki/wiki/Elixir_of_Dragonborn_Prowess:_Lightning", "Elixir of Dragonborn Prowess: Lightning")</f>
        <v>Elixir of Dragonborn Prowess: Lightning</v>
      </c>
      <c r="B158" s="22" t="s">
        <v>24</v>
      </c>
      <c r="C158" s="23" t="s">
        <v>1586</v>
      </c>
      <c r="D158" s="24" t="str">
        <f t="shared" si="3"/>
        <v>Osi.TemplateAddTo("b86d9910-d55e-4a16-a6b5-9f221071efa2", GetHostCharacter(), 1, 1);</v>
      </c>
      <c r="E158" s="15"/>
    </row>
    <row r="159">
      <c r="A159" s="21" t="str">
        <f>HYPERLINK("https://bg3.wiki/wiki/Elixir_of_Dragonborn_Prowess:_Poison", "Elixir of Dragonborn Prowess: Poison")</f>
        <v>Elixir of Dragonborn Prowess: Poison</v>
      </c>
      <c r="B159" s="22" t="s">
        <v>24</v>
      </c>
      <c r="C159" s="23" t="s">
        <v>1587</v>
      </c>
      <c r="D159" s="24" t="str">
        <f t="shared" si="3"/>
        <v>Osi.TemplateAddTo("f737ed58-b467-4d6b-b1d0-76df984ec092", GetHostCharacter(), 1, 1);</v>
      </c>
      <c r="E159" s="15"/>
    </row>
    <row r="160">
      <c r="A160" s="21" t="str">
        <f>HYPERLINK("https://bg3.wiki/wiki/Elixir_of_Dwarven_Resilience", "Elixir of Dwarven Resilience")</f>
        <v>Elixir of Dwarven Resilience</v>
      </c>
      <c r="B160" s="22" t="s">
        <v>24</v>
      </c>
      <c r="C160" s="23" t="s">
        <v>1588</v>
      </c>
      <c r="D160" s="24" t="str">
        <f t="shared" si="3"/>
        <v>Osi.TemplateAddTo("7196e628-a512-4447-94b3-49b2a9d1c182", GetHostCharacter(), 1, 1);</v>
      </c>
      <c r="E160" s="15"/>
    </row>
    <row r="161">
      <c r="A161" s="21" t="str">
        <f>HYPERLINK("https://bg3.wiki/wiki/Elixir_of_Elven_Elegance", "Elixir of Elven Elegance")</f>
        <v>Elixir of Elven Elegance</v>
      </c>
      <c r="B161" s="22" t="s">
        <v>24</v>
      </c>
      <c r="C161" s="23" t="s">
        <v>1589</v>
      </c>
      <c r="D161" s="24" t="str">
        <f t="shared" si="3"/>
        <v>Osi.TemplateAddTo("9c96bc7d-5546-4f0b-8980-286325050e23", GetHostCharacter(), 1, 1);</v>
      </c>
      <c r="E161" s="15"/>
    </row>
    <row r="162">
      <c r="A162" s="21" t="str">
        <f>HYPERLINK("https://bg3.wiki/wiki/Elixir_of_Fire_Resistance", "Elixir of Fire Resistance")</f>
        <v>Elixir of Fire Resistance</v>
      </c>
      <c r="B162" s="22" t="s">
        <v>17</v>
      </c>
      <c r="C162" s="23" t="s">
        <v>1590</v>
      </c>
      <c r="D162" s="24" t="str">
        <f t="shared" si="3"/>
        <v>Osi.TemplateAddTo("2608c096-a0f5-4172-ad04-c1b170e10d95", GetHostCharacter(), 1, 1);</v>
      </c>
      <c r="E162" s="15"/>
    </row>
    <row r="163">
      <c r="A163" s="21" t="str">
        <f>HYPERLINK("https://bg3.wiki/wiki/Elixir_of_Force_Resistance", "Elixir of Force Resistance")</f>
        <v>Elixir of Force Resistance</v>
      </c>
      <c r="B163" s="22" t="s">
        <v>11</v>
      </c>
      <c r="C163" s="23" t="s">
        <v>1591</v>
      </c>
      <c r="D163" s="24" t="str">
        <f t="shared" si="3"/>
        <v>Osi.TemplateAddTo("71efff8a-d8fe-4aeb-8ea6-22d076021fca", GetHostCharacter(), 1, 1);</v>
      </c>
      <c r="E163" s="15"/>
    </row>
    <row r="164">
      <c r="A164" s="21" t="str">
        <f>HYPERLINK("https://bg3.wiki/wiki/Elixir_of_Githyanki_Providence", "Elixir of Githyanki Providence")</f>
        <v>Elixir of Githyanki Providence</v>
      </c>
      <c r="B164" s="22" t="s">
        <v>24</v>
      </c>
      <c r="C164" s="23" t="s">
        <v>1592</v>
      </c>
      <c r="D164" s="24" t="str">
        <f t="shared" si="3"/>
        <v>Osi.TemplateAddTo("ff858bad-e2fa-499b-bb43-c36349a09e4b", GetHostCharacter(), 1, 1);</v>
      </c>
      <c r="E164" s="15"/>
    </row>
    <row r="165">
      <c r="A165" s="21" t="str">
        <f>HYPERLINK("https://bg3.wiki/wiki/Elixir_of_Gnomish_Ingenuity", "Elixir of Gnomish Ingenuity")</f>
        <v>Elixir of Gnomish Ingenuity</v>
      </c>
      <c r="B165" s="22" t="s">
        <v>24</v>
      </c>
      <c r="C165" s="23" t="s">
        <v>1593</v>
      </c>
      <c r="D165" s="24" t="str">
        <f t="shared" si="3"/>
        <v>Osi.TemplateAddTo("65e56bb5-909b-4f52-99e9-18fd1f39ef19", GetHostCharacter(), 1, 1);</v>
      </c>
      <c r="E165" s="15"/>
    </row>
    <row r="166">
      <c r="A166" s="21" t="str">
        <f>HYPERLINK("https://bg3.wiki/wiki/Elixir_of_Guileful_Movement", "Elixir of Guileful Movement")</f>
        <v>Elixir of Guileful Movement</v>
      </c>
      <c r="B166" s="22" t="s">
        <v>24</v>
      </c>
      <c r="C166" s="23" t="s">
        <v>1594</v>
      </c>
      <c r="D166" s="24" t="str">
        <f t="shared" si="3"/>
        <v>Osi.TemplateAddTo("b8a2f9e4-3b5e-4418-af05-5ca3cd40dd71", GetHostCharacter(), 1, 1);</v>
      </c>
      <c r="E166" s="15"/>
    </row>
    <row r="167">
      <c r="A167" s="21" t="str">
        <f>HYPERLINK("https://bg3.wiki/wiki/Elixir_of_Half-Elven_Healing", "Elixir of Half-Elven Healing")</f>
        <v>Elixir of Half-Elven Healing</v>
      </c>
      <c r="B167" s="22" t="s">
        <v>24</v>
      </c>
      <c r="C167" s="23" t="s">
        <v>1595</v>
      </c>
      <c r="D167" s="24" t="str">
        <f t="shared" si="3"/>
        <v>Osi.TemplateAddTo("293ffe17-abc1-4842-b338-cd9482e3bcbc", GetHostCharacter(), 1, 1);</v>
      </c>
      <c r="E167" s="15"/>
    </row>
    <row r="168">
      <c r="A168" s="21" t="str">
        <f>HYPERLINK("https://bg3.wiki/wiki/Elixir_of_Half-Orcish_Fury", "Elixir of Half-Orcish Fury")</f>
        <v>Elixir of Half-Orcish Fury</v>
      </c>
      <c r="B168" s="22" t="s">
        <v>24</v>
      </c>
      <c r="C168" s="23" t="s">
        <v>1596</v>
      </c>
      <c r="D168" s="24" t="str">
        <f t="shared" si="3"/>
        <v>Osi.TemplateAddTo("b4b4a84c-95a2-46f5-9cb3-c0c53af11bde", GetHostCharacter(), 1, 1);</v>
      </c>
      <c r="E168" s="15"/>
    </row>
    <row r="169">
      <c r="A169" s="21" t="str">
        <f>HYPERLINK("https://bg3.wiki/wiki/Elixir_of_Halfling_Luck", "Elixir of Halfling Luck")</f>
        <v>Elixir of Halfling Luck</v>
      </c>
      <c r="B169" s="22" t="s">
        <v>24</v>
      </c>
      <c r="C169" s="23" t="s">
        <v>1597</v>
      </c>
      <c r="D169" s="24" t="str">
        <f t="shared" si="3"/>
        <v>Osi.TemplateAddTo("dbeafcaf-825d-4b49-b36e-11aaf11ec794", GetHostCharacter(), 1, 1);</v>
      </c>
      <c r="E169" s="15"/>
    </row>
    <row r="170">
      <c r="A170" s="21" t="str">
        <f>HYPERLINK("https://bg3.wiki/wiki/Elixir_of_Heroism", "Elixir of Heroism")</f>
        <v>Elixir of Heroism</v>
      </c>
      <c r="B170" s="22" t="s">
        <v>17</v>
      </c>
      <c r="C170" s="23" t="s">
        <v>1598</v>
      </c>
      <c r="D170" s="24" t="str">
        <f t="shared" si="3"/>
        <v>Osi.TemplateAddTo("bb27cc17-5af9-4d53-818b-3e620f3f59f2", GetHostCharacter(), 1, 1);</v>
      </c>
      <c r="E170" s="15"/>
    </row>
    <row r="171">
      <c r="A171" s="21" t="str">
        <f>HYPERLINK("https://bg3.wiki/wiki/Elixir_of_Hill_Giant_Strength", "Elixir of Hill Giant Strength")</f>
        <v>Elixir of Hill Giant Strength</v>
      </c>
      <c r="B171" s="22" t="s">
        <v>17</v>
      </c>
      <c r="C171" s="23" t="s">
        <v>1599</v>
      </c>
      <c r="D171" s="24" t="str">
        <f t="shared" si="3"/>
        <v>Osi.TemplateAddTo("c69fb092-2f4f-4688-82b6-7d92405626b1", GetHostCharacter(), 1, 1);</v>
      </c>
      <c r="E171" s="15"/>
    </row>
    <row r="172">
      <c r="A172" s="21" t="str">
        <f>HYPERLINK("https://bg3.wiki/wiki/Elixir_of_Human_Versatility", "Elixir of Human Versatility")</f>
        <v>Elixir of Human Versatility</v>
      </c>
      <c r="B172" s="22" t="s">
        <v>24</v>
      </c>
      <c r="C172" s="23" t="s">
        <v>1600</v>
      </c>
      <c r="D172" s="24" t="str">
        <f t="shared" si="3"/>
        <v>Osi.TemplateAddTo("04edf181-9063-417f-a197-2d0c008b5943", GetHostCharacter(), 1, 1);</v>
      </c>
      <c r="E172" s="15"/>
    </row>
    <row r="173">
      <c r="A173" s="21" t="str">
        <f>HYPERLINK("https://bg3.wiki/wiki/Elixir_of_Lightning_Resistance", "Elixir of Lightning Resistance")</f>
        <v>Elixir of Lightning Resistance</v>
      </c>
      <c r="B173" s="22" t="s">
        <v>17</v>
      </c>
      <c r="C173" s="23" t="s">
        <v>1601</v>
      </c>
      <c r="D173" s="24" t="str">
        <f t="shared" si="3"/>
        <v>Osi.TemplateAddTo("05257244-ab59-4eab-9745-d1fea7b8cd10", GetHostCharacter(), 1, 1);</v>
      </c>
      <c r="E173" s="15"/>
    </row>
    <row r="174">
      <c r="A174" s="21" t="str">
        <f>HYPERLINK("https://bg3.wiki/wiki/Elixir_of_Necrotic_Resistance", "Elixir of Necrotic Resistance")</f>
        <v>Elixir of Necrotic Resistance</v>
      </c>
      <c r="B174" s="22" t="s">
        <v>24</v>
      </c>
      <c r="C174" s="23" t="s">
        <v>1602</v>
      </c>
      <c r="D174" s="24" t="str">
        <f t="shared" si="3"/>
        <v>Osi.TemplateAddTo("f3c0aefb-a399-42c6-8d85-7fdceb6d18f5", GetHostCharacter(), 1, 1);</v>
      </c>
      <c r="E174" s="15"/>
    </row>
    <row r="175">
      <c r="A175" s="21" t="str">
        <f>HYPERLINK("https://bg3.wiki/wiki/Elixir_of_Peerless_Focus", "Elixir of Peerless Focus")</f>
        <v>Elixir of Peerless Focus</v>
      </c>
      <c r="B175" s="22" t="s">
        <v>17</v>
      </c>
      <c r="C175" s="23" t="s">
        <v>1603</v>
      </c>
      <c r="D175" s="24" t="str">
        <f t="shared" si="3"/>
        <v>Osi.TemplateAddTo("45cdcf69-bfd2-4311-a883-3f3631ab3959", GetHostCharacter(), 1, 1);</v>
      </c>
      <c r="E175" s="15"/>
    </row>
    <row r="176">
      <c r="A176" s="21" t="str">
        <f>HYPERLINK("https://bg3.wiki/wiki/Elixir_of_Poison_Resistance", "Elixir of Poison Resistance")</f>
        <v>Elixir of Poison Resistance</v>
      </c>
      <c r="B176" s="22" t="s">
        <v>17</v>
      </c>
      <c r="C176" s="23" t="s">
        <v>1604</v>
      </c>
      <c r="D176" s="24" t="str">
        <f t="shared" si="3"/>
        <v>Osi.TemplateAddTo("ae28b14c-0881-45fe-8237-9fcb1c951d3d", GetHostCharacter(), 1, 1);</v>
      </c>
      <c r="E176" s="15"/>
    </row>
    <row r="177">
      <c r="A177" s="21" t="str">
        <f>HYPERLINK("https://bg3.wiki/wiki/Elixir_of_Psychic_Resistance", "Elixir of Psychic Resistance")</f>
        <v>Elixir of Psychic Resistance</v>
      </c>
      <c r="B177" s="22" t="s">
        <v>19</v>
      </c>
      <c r="C177" s="23" t="s">
        <v>1605</v>
      </c>
      <c r="D177" s="24" t="str">
        <f t="shared" si="3"/>
        <v>Osi.TemplateAddTo("164ac6f3-8f93-4d74-9f72-e7c49723dedb", GetHostCharacter(), 1, 1);</v>
      </c>
      <c r="E177" s="15"/>
    </row>
    <row r="178">
      <c r="A178" s="21" t="str">
        <f>HYPERLINK("https://bg3.wiki/wiki/Elixir_of_Radiant_Resistance", "Elixir of Radiant Resistance")</f>
        <v>Elixir of Radiant Resistance</v>
      </c>
      <c r="B178" s="22" t="s">
        <v>11</v>
      </c>
      <c r="C178" s="23" t="s">
        <v>1606</v>
      </c>
      <c r="D178" s="24" t="str">
        <f t="shared" si="3"/>
        <v>Osi.TemplateAddTo("58142e85-57d4-4bdf-b7f1-04f5804bcce6", GetHostCharacter(), 1, 1);</v>
      </c>
      <c r="E178" s="15"/>
    </row>
    <row r="179">
      <c r="A179" s="21" t="str">
        <f>HYPERLINK("https://bg3.wiki/wiki/Elixir_of_See_Invisibility", "Elixir of See Invisibility")</f>
        <v>Elixir of See Invisibility</v>
      </c>
      <c r="B179" s="22" t="s">
        <v>24</v>
      </c>
      <c r="C179" s="23" t="s">
        <v>1607</v>
      </c>
      <c r="D179" s="24" t="str">
        <f t="shared" si="3"/>
        <v>Osi.TemplateAddTo("d106106a-3905-4acb-a24a-764940b61d9c", GetHostCharacter(), 1, 1);</v>
      </c>
      <c r="E179" s="15"/>
    </row>
    <row r="180">
      <c r="A180" s="21" t="str">
        <f>HYPERLINK("https://bg3.wiki/wiki/Elixir_of_Thunder_Resistance", "Elixir of Thunder Resistance")</f>
        <v>Elixir of Thunder Resistance</v>
      </c>
      <c r="B180" s="22" t="s">
        <v>11</v>
      </c>
      <c r="C180" s="23" t="s">
        <v>1608</v>
      </c>
      <c r="D180" s="24" t="str">
        <f t="shared" si="3"/>
        <v>Osi.TemplateAddTo("1ada79f3-5993-4be2-908e-d397c395905a", GetHostCharacter(), 1, 1);</v>
      </c>
      <c r="E180" s="15"/>
    </row>
    <row r="181">
      <c r="A181" s="21" t="str">
        <f>HYPERLINK("https://bg3.wiki/wiki/Elixir_of_Tiefling_Vice", "Elixir of Tiefling Vice")</f>
        <v>Elixir of Tiefling Vice</v>
      </c>
      <c r="B181" s="22" t="s">
        <v>24</v>
      </c>
      <c r="C181" s="23" t="s">
        <v>1609</v>
      </c>
      <c r="D181" s="24" t="str">
        <f t="shared" si="3"/>
        <v>Osi.TemplateAddTo("9cd26812-b428-45be-9fa9-8ef55856c52b", GetHostCharacter(), 1, 1);</v>
      </c>
      <c r="E181" s="15"/>
    </row>
    <row r="182">
      <c r="A182" s="21" t="str">
        <f>HYPERLINK("https://bg3.wiki/wiki/Elixir_of_Universal_Resistance", "Elixir of Universal Resistance")</f>
        <v>Elixir of Universal Resistance</v>
      </c>
      <c r="B182" s="22" t="s">
        <v>19</v>
      </c>
      <c r="C182" s="23" t="s">
        <v>1610</v>
      </c>
      <c r="D182" s="24" t="str">
        <f t="shared" si="3"/>
        <v>Osi.TemplateAddTo("7eb0b7b6-97fa-4ff5-a7bb-570ca11a3c64", GetHostCharacter(), 1, 1);</v>
      </c>
      <c r="E182" s="15"/>
    </row>
    <row r="183">
      <c r="A183" s="21" t="str">
        <f>HYPERLINK("https://bg3.wiki/wiki/Elixir_of_Viciousness", "Elixir of Viciousness")</f>
        <v>Elixir of Viciousness</v>
      </c>
      <c r="B183" s="22" t="s">
        <v>24</v>
      </c>
      <c r="C183" s="23" t="s">
        <v>1611</v>
      </c>
      <c r="D183" s="24" t="str">
        <f t="shared" si="3"/>
        <v>Osi.TemplateAddTo("44cd95a7-4791-4ace-bea0-a5ca4421171b", GetHostCharacter(), 1, 1);</v>
      </c>
      <c r="E183" s="15"/>
    </row>
    <row r="184">
      <c r="A184" s="21" t="str">
        <f>HYPERLINK("https://bg3.wiki/wiki/Elixir_of_Vigilance", "Elixir of Vigilance")</f>
        <v>Elixir of Vigilance</v>
      </c>
      <c r="B184" s="22" t="s">
        <v>17</v>
      </c>
      <c r="C184" s="23" t="s">
        <v>1612</v>
      </c>
      <c r="D184" s="24" t="str">
        <f t="shared" si="3"/>
        <v>Osi.TemplateAddTo("17066367-7b64-402e-951d-9dcc1407c278", GetHostCharacter(), 1, 1);</v>
      </c>
      <c r="E184" s="15"/>
    </row>
    <row r="185">
      <c r="A185" s="21" t="str">
        <f>HYPERLINK("https://bg3.wiki/wiki/Elixir_of_the_Colossus", "Elixir of the Colossus")</f>
        <v>Elixir of the Colossus</v>
      </c>
      <c r="B185" s="22" t="s">
        <v>17</v>
      </c>
      <c r="C185" s="23" t="s">
        <v>1613</v>
      </c>
      <c r="D185" s="24" t="str">
        <f t="shared" si="3"/>
        <v>Osi.TemplateAddTo("0aacb1f9-116a-45ec-9b0c-cb436301d4b2", GetHostCharacter(), 1, 1);</v>
      </c>
      <c r="E185" s="15"/>
    </row>
    <row r="186">
      <c r="A186" s="21" t="str">
        <f>HYPERLINK("https://bg3.wiki/wiki/Greater_Elixir_of_Arcane_Cultivation", "Greater Elixir of Arcane Cultivation")</f>
        <v>Greater Elixir of Arcane Cultivation</v>
      </c>
      <c r="B186" s="22" t="s">
        <v>17</v>
      </c>
      <c r="C186" s="23" t="s">
        <v>1614</v>
      </c>
      <c r="D186" s="24" t="str">
        <f t="shared" si="3"/>
        <v>Osi.TemplateAddTo("8c7656f5-507a-4cee-8e15-320c968539f0", GetHostCharacter(), 1, 1);</v>
      </c>
      <c r="E186" s="15"/>
    </row>
    <row r="187">
      <c r="A187" s="21" t="str">
        <f>HYPERLINK("https://bg3.wiki/wiki/Potion_of_Universal_Resistance", "Potion of Universal Resistance")</f>
        <v>Potion of Universal Resistance</v>
      </c>
      <c r="B187" s="22" t="s">
        <v>17</v>
      </c>
      <c r="C187" s="23" t="s">
        <v>158</v>
      </c>
      <c r="D187" s="24"/>
      <c r="E187" s="27" t="s">
        <v>1615</v>
      </c>
    </row>
    <row r="188">
      <c r="A188" s="21" t="str">
        <f>HYPERLINK("https://bg3.wiki/wiki/Superior_Elixir_of_Arcane_Cultivation", "Superior Elixir of Arcane Cultivation")</f>
        <v>Superior Elixir of Arcane Cultivation</v>
      </c>
      <c r="B188" s="22" t="s">
        <v>24</v>
      </c>
      <c r="C188" s="23" t="s">
        <v>1616</v>
      </c>
      <c r="D188" s="24" t="str">
        <f t="shared" ref="D188:D190" si="4">"Osi.TemplateAddTo("""&amp; C188 &amp;""", GetHostCharacter(), 1, 1);"</f>
        <v>Osi.TemplateAddTo("fb16d5a8-866f-4c17-9591-0df1372b49c9", GetHostCharacter(), 1, 1);</v>
      </c>
      <c r="E188" s="15"/>
    </row>
    <row r="189">
      <c r="A189" s="21" t="str">
        <f>HYPERLINK("https://bg3.wiki/wiki/Supreme_Elixir_of_Arcane_Cultivation", "Supreme Elixir of Arcane Cultivation")</f>
        <v>Supreme Elixir of Arcane Cultivation</v>
      </c>
      <c r="B189" s="22" t="s">
        <v>19</v>
      </c>
      <c r="C189" s="23" t="s">
        <v>1617</v>
      </c>
      <c r="D189" s="24" t="str">
        <f t="shared" si="4"/>
        <v>Osi.TemplateAddTo("4f17f210-9cde-4dad-80b5-fc4f9ddb1e1f", GetHostCharacter(), 1, 1);</v>
      </c>
      <c r="E189" s="15"/>
    </row>
    <row r="190">
      <c r="A190" s="38" t="str">
        <f>HYPERLINK("https://bg3.wiki/wiki/Tadpole_Elixir", "Tadpole Elixir")</f>
        <v>Tadpole Elixir</v>
      </c>
      <c r="B190" s="39" t="s">
        <v>24</v>
      </c>
      <c r="C190" s="40" t="s">
        <v>1618</v>
      </c>
      <c r="D190" s="41" t="str">
        <f t="shared" si="4"/>
        <v>Osi.TemplateAddTo("d44a454c-3a09-4b93-b982-79f7ee019703", GetHostCharacter(), 1, 1);</v>
      </c>
      <c r="E190" s="15"/>
    </row>
    <row r="191">
      <c r="C191" s="42"/>
    </row>
    <row r="192">
      <c r="A192" s="55" t="s">
        <v>1619</v>
      </c>
      <c r="B192" s="22"/>
      <c r="C192" s="23"/>
      <c r="D192" s="22"/>
    </row>
    <row r="193">
      <c r="A193" s="34" t="s">
        <v>7</v>
      </c>
      <c r="B193" s="35" t="s">
        <v>8</v>
      </c>
      <c r="C193" s="35" t="s">
        <v>9</v>
      </c>
      <c r="D193" s="36" t="s">
        <v>10</v>
      </c>
      <c r="E193" s="37"/>
    </row>
    <row r="194">
      <c r="A194" s="21" t="str">
        <f>HYPERLINK("https://bg3.wiki/wiki/A_Mother%27s_Loathing", "A Mother's Loathing")</f>
        <v>A Mother's Loathing</v>
      </c>
      <c r="B194" s="22" t="s">
        <v>11</v>
      </c>
      <c r="C194" s="23" t="s">
        <v>1620</v>
      </c>
      <c r="D194" s="24" t="str">
        <f t="shared" ref="D194:D234" si="5">"Osi.TemplateAddTo("""&amp; C194 &amp;""", GetHostCharacter(), 1, 1);"</f>
        <v>Osi.TemplateAddTo("d4fc499a-945e-4e0b-a4db-ba6157281616", GetHostCharacter(), 1, 1);</v>
      </c>
    </row>
    <row r="195">
      <c r="A195" s="21" t="str">
        <f>HYPERLINK("https://bg3.wiki/wiki/Antidote", "Antidote")</f>
        <v>Antidote</v>
      </c>
      <c r="B195" s="22" t="s">
        <v>11</v>
      </c>
      <c r="C195" s="23" t="s">
        <v>1621</v>
      </c>
      <c r="D195" s="24" t="str">
        <f t="shared" si="5"/>
        <v>Osi.TemplateAddTo("f0c7d8bb-85e9-4937-96bb-49ba69d28631", GetHostCharacter(), 1, 1);</v>
      </c>
    </row>
    <row r="196">
      <c r="A196" s="21" t="str">
        <f>HYPERLINK("https://bg3.wiki/wiki/Basilisk_Oil", "Basilisk Oil")</f>
        <v>Basilisk Oil</v>
      </c>
      <c r="B196" s="22" t="s">
        <v>11</v>
      </c>
      <c r="C196" s="23" t="s">
        <v>1622</v>
      </c>
      <c r="D196" s="24" t="str">
        <f t="shared" si="5"/>
        <v>Osi.TemplateAddTo("212ca846-4766-4370-8847-454e59751598", GetHostCharacter(), 1, 1);</v>
      </c>
    </row>
    <row r="197">
      <c r="A197" s="21" t="str">
        <f>HYPERLINK("https://bg3.wiki/wiki/Boon_of_the_Hag", "Boon of the Hag")</f>
        <v>Boon of the Hag</v>
      </c>
      <c r="B197" s="22" t="s">
        <v>11</v>
      </c>
      <c r="C197" s="23" t="s">
        <v>1623</v>
      </c>
      <c r="D197" s="24" t="str">
        <f t="shared" si="5"/>
        <v>Osi.TemplateAddTo("27d74bd9-b852-43fd-98ac-999f33e05aa9", GetHostCharacter(), 1, 1);</v>
      </c>
    </row>
    <row r="198">
      <c r="A198" s="21" t="str">
        <f>HYPERLINK("https://bg3.wiki/wiki/Bottled_Breath", "Bottled Breath")</f>
        <v>Bottled Breath</v>
      </c>
      <c r="B198" s="22" t="s">
        <v>11</v>
      </c>
      <c r="C198" s="23" t="s">
        <v>1624</v>
      </c>
      <c r="D198" s="24" t="str">
        <f t="shared" si="5"/>
        <v>Osi.TemplateAddTo("98ed535a-269e-42a9-a488-e57976729319", GetHostCharacter(), 1, 1);</v>
      </c>
    </row>
    <row r="199">
      <c r="A199" s="21" t="str">
        <f>HYPERLINK("https://bg3.wiki/wiki/Broken_Promises", "Broken Promises")</f>
        <v>Broken Promises</v>
      </c>
      <c r="B199" s="22" t="s">
        <v>11</v>
      </c>
      <c r="C199" s="23" t="s">
        <v>1625</v>
      </c>
      <c r="D199" s="24" t="str">
        <f t="shared" si="5"/>
        <v>Osi.TemplateAddTo("3575950d-c41a-448d-bb2d-cd08c78c88c6", GetHostCharacter(), 1, 1);</v>
      </c>
    </row>
    <row r="200">
      <c r="A200" s="21" t="str">
        <f>HYPERLINK("https://bg3.wiki/wiki/Butterflies_in_the_Stomach", "Butterflies in the Stomach")</f>
        <v>Butterflies in the Stomach</v>
      </c>
      <c r="B200" s="22" t="s">
        <v>11</v>
      </c>
      <c r="C200" s="23" t="s">
        <v>1626</v>
      </c>
      <c r="D200" s="24" t="str">
        <f t="shared" si="5"/>
        <v>Osi.TemplateAddTo("9d98eb5a-08c1-471a-84d5-76dbb098f160", GetHostCharacter(), 1, 1);</v>
      </c>
    </row>
    <row r="201">
      <c r="A201" s="21" t="str">
        <f>HYPERLINK("https://bg3.wiki/wiki/Cup_of_Water", "Cup of Water")</f>
        <v>Cup of Water</v>
      </c>
      <c r="B201" s="22" t="s">
        <v>11</v>
      </c>
      <c r="C201" s="23" t="s">
        <v>1627</v>
      </c>
      <c r="D201" s="24" t="str">
        <f t="shared" si="5"/>
        <v>Osi.TemplateAddTo("e25346e5-1a98-449c-80dd-8fcf4b086b50", GetHostCharacter(), 1, 1);</v>
      </c>
    </row>
    <row r="202">
      <c r="A202" s="21" t="str">
        <f>HYPERLINK("https://bg3.wiki/wiki/Duergar_Antidote", "Duergar Antidote")</f>
        <v>Duergar Antidote</v>
      </c>
      <c r="B202" s="22" t="s">
        <v>11</v>
      </c>
      <c r="C202" s="23" t="s">
        <v>1628</v>
      </c>
      <c r="D202" s="24" t="str">
        <f t="shared" si="5"/>
        <v>Osi.TemplateAddTo("d0e9a8cd-ca87-42bc-bc48-8bf20975a927", GetHostCharacter(), 1, 1);</v>
      </c>
    </row>
    <row r="203">
      <c r="A203" s="21" t="str">
        <f>HYPERLINK("https://bg3.wiki/wiki/Elixir_of_Health", "Elixir of Health")</f>
        <v>Elixir of Health</v>
      </c>
      <c r="B203" s="22" t="s">
        <v>11</v>
      </c>
      <c r="C203" s="23" t="s">
        <v>1629</v>
      </c>
      <c r="D203" s="24" t="str">
        <f t="shared" si="5"/>
        <v>Osi.TemplateAddTo("f75e153a-e357-49f9-9f51-0bfeffb8e00f", GetHostCharacter(), 1, 1);</v>
      </c>
    </row>
    <row r="204">
      <c r="A204" s="21" t="str">
        <f>HYPERLINK("https://bg3.wiki/wiki/Elixir_of_Silvanus", "Elixir of Silvanus")</f>
        <v>Elixir of Silvanus</v>
      </c>
      <c r="B204" s="22" t="s">
        <v>11</v>
      </c>
      <c r="C204" s="23" t="s">
        <v>1630</v>
      </c>
      <c r="D204" s="24" t="str">
        <f t="shared" si="5"/>
        <v>Osi.TemplateAddTo("25fea821-5ec1-4052-bd6c-60c249e72a79", GetHostCharacter(), 1, 1);</v>
      </c>
    </row>
    <row r="205">
      <c r="A205" s="21" t="str">
        <f>HYPERLINK("https://bg3.wiki/wiki/Elixir_of_Universal_Resistance", "Elixir of Universal Resistance")</f>
        <v>Elixir of Universal Resistance</v>
      </c>
      <c r="B205" s="22" t="s">
        <v>19</v>
      </c>
      <c r="C205" s="23" t="s">
        <v>1610</v>
      </c>
      <c r="D205" s="24" t="str">
        <f t="shared" si="5"/>
        <v>Osi.TemplateAddTo("7eb0b7b6-97fa-4ff5-a7bb-570ca11a3c64", GetHostCharacter(), 1, 1);</v>
      </c>
    </row>
    <row r="206">
      <c r="A206" s="21" t="str">
        <f>HYPERLINK("https://bg3.wiki/wiki/Eternal_Carafe_of_Wine_(Or_Sometimes_Acid)", "Eternal Carafe of Wine (Or Sometimes Acid)")</f>
        <v>Eternal Carafe of Wine (Or Sometimes Acid)</v>
      </c>
      <c r="B206" s="22" t="s">
        <v>17</v>
      </c>
      <c r="C206" s="23" t="s">
        <v>1631</v>
      </c>
      <c r="D206" s="24" t="str">
        <f t="shared" si="5"/>
        <v>Osi.TemplateAddTo("9ee5433b-ce71-4de4-871d-04f918c318ae", GetHostCharacter(), 1, 1);</v>
      </c>
    </row>
    <row r="207">
      <c r="A207" s="21" t="str">
        <f>HYPERLINK("https://bg3.wiki/wiki/Faltering_Will", "Faltering Will")</f>
        <v>Faltering Will</v>
      </c>
      <c r="B207" s="22" t="s">
        <v>11</v>
      </c>
      <c r="C207" s="23" t="s">
        <v>1632</v>
      </c>
      <c r="D207" s="24" t="str">
        <f t="shared" si="5"/>
        <v>Osi.TemplateAddTo("4d37061a-901d-47d7-9c11-4237e34b98a1", GetHostCharacter(), 1, 1);</v>
      </c>
    </row>
    <row r="208">
      <c r="A208" s="21" t="str">
        <f>HYPERLINK("https://bg3.wiki/wiki/Heart_of_Stone", "Heart of Stone")</f>
        <v>Heart of Stone</v>
      </c>
      <c r="B208" s="22" t="s">
        <v>11</v>
      </c>
      <c r="C208" s="23" t="s">
        <v>1633</v>
      </c>
      <c r="D208" s="24" t="str">
        <f t="shared" si="5"/>
        <v>Osi.TemplateAddTo("0e54d347-dffa-4d13-92c0-74c82decefba", GetHostCharacter(), 1, 1);</v>
      </c>
    </row>
    <row r="209">
      <c r="A209" s="21" t="str">
        <f>HYPERLINK("https://bg3.wiki/wiki/Insanity%27s_Kiss", "Insanity's Kiss")</f>
        <v>Insanity's Kiss</v>
      </c>
      <c r="B209" s="22" t="s">
        <v>11</v>
      </c>
      <c r="C209" s="23" t="s">
        <v>1634</v>
      </c>
      <c r="D209" s="24" t="str">
        <f t="shared" si="5"/>
        <v>Osi.TemplateAddTo("b1b5590b-e246-4e33-acaa-5984b2e2306f", GetHostCharacter(), 1, 1);</v>
      </c>
    </row>
    <row r="210">
      <c r="A210" s="21" t="str">
        <f>HYPERLINK("https://bg3.wiki/wiki/Lost_Time", "Lost Time")</f>
        <v>Lost Time</v>
      </c>
      <c r="B210" s="22" t="s">
        <v>11</v>
      </c>
      <c r="C210" s="23" t="s">
        <v>1635</v>
      </c>
      <c r="D210" s="24" t="str">
        <f t="shared" si="5"/>
        <v>Osi.TemplateAddTo("a46558fe-54a8-4720-a12e-7470e072a9d7", GetHostCharacter(), 1, 1);</v>
      </c>
    </row>
    <row r="211">
      <c r="A211" s="21" t="str">
        <f>HYPERLINK("https://bg3.wiki/wiki/Lover%27s_Avarice", "Lover's Avarice")</f>
        <v>Lover's Avarice</v>
      </c>
      <c r="B211" s="22" t="s">
        <v>11</v>
      </c>
      <c r="C211" s="23" t="s">
        <v>1636</v>
      </c>
      <c r="D211" s="24" t="str">
        <f t="shared" si="5"/>
        <v>Osi.TemplateAddTo("920dcb59-b732-4d97-ae1a-fadbb5955fe5", GetHostCharacter(), 1, 1);</v>
      </c>
    </row>
    <row r="212">
      <c r="A212" s="21" t="str">
        <f>HYPERLINK("https://bg3.wiki/wiki/Missing_Pets", "Missing Pets")</f>
        <v>Missing Pets</v>
      </c>
      <c r="B212" s="22" t="s">
        <v>11</v>
      </c>
      <c r="C212" s="23" t="s">
        <v>1637</v>
      </c>
      <c r="D212" s="24" t="str">
        <f t="shared" si="5"/>
        <v>Osi.TemplateAddTo("44da51b6-6d05-488c-9097-99dd6c795ed3", GetHostCharacter(), 1, 1);</v>
      </c>
    </row>
    <row r="213">
      <c r="A213" s="21" t="str">
        <f>HYPERLINK("https://bg3.wiki/wiki/Mysterious_Elixir", "Mysterious Elixir")</f>
        <v>Mysterious Elixir</v>
      </c>
      <c r="B213" s="22" t="s">
        <v>11</v>
      </c>
      <c r="C213" s="23" t="s">
        <v>1638</v>
      </c>
      <c r="D213" s="24" t="str">
        <f t="shared" si="5"/>
        <v>Osi.TemplateAddTo("9f8a0a1c-b1f0-4f09-93eb-de364f1063f1", GetHostCharacter(), 1, 1);</v>
      </c>
    </row>
    <row r="214">
      <c r="A214" s="21" t="str">
        <f>HYPERLINK("https://bg3.wiki/wiki/Oil_of_Slipperiness", "Oil of Slipperiness")</f>
        <v>Oil of Slipperiness</v>
      </c>
      <c r="B214" s="22" t="s">
        <v>11</v>
      </c>
      <c r="C214" s="23" t="s">
        <v>1639</v>
      </c>
      <c r="D214" s="24" t="str">
        <f t="shared" si="5"/>
        <v>Osi.TemplateAddTo("a61f62e4-fbf2-44aa-95c6-f0f0884e9023", GetHostCharacter(), 1, 1);</v>
      </c>
    </row>
    <row r="215">
      <c r="A215" s="21" t="str">
        <f>HYPERLINK("https://bg3.wiki/wiki/Potion_of_Angelic_Reprieve", "Potion of Angelic Reprieve")</f>
        <v>Potion of Angelic Reprieve</v>
      </c>
      <c r="B215" s="22" t="s">
        <v>24</v>
      </c>
      <c r="C215" s="23" t="s">
        <v>1640</v>
      </c>
      <c r="D215" s="24" t="str">
        <f t="shared" si="5"/>
        <v>Osi.TemplateAddTo("b0ff8d30-5825-49d4-8cd4-ebf3a3d0a024", GetHostCharacter(), 1, 1);</v>
      </c>
    </row>
    <row r="216">
      <c r="A216" s="21" t="str">
        <f>HYPERLINK("https://bg3.wiki/wiki/Potion_of_Angelic_Slumber", "Potion of Angelic Slumber")</f>
        <v>Potion of Angelic Slumber</v>
      </c>
      <c r="B216" s="22" t="s">
        <v>19</v>
      </c>
      <c r="C216" s="23" t="s">
        <v>1641</v>
      </c>
      <c r="D216" s="24" t="str">
        <f t="shared" si="5"/>
        <v>Osi.TemplateAddTo("4d801c1a-691e-47c8-88e7-78367b4e2c8e", GetHostCharacter(), 1, 1);</v>
      </c>
    </row>
    <row r="217">
      <c r="A217" s="21" t="str">
        <f>HYPERLINK("https://bg3.wiki/wiki/Potion_of_Animal_Speaking", "Potion of Animal Speaking")</f>
        <v>Potion of Animal Speaking</v>
      </c>
      <c r="B217" s="22" t="s">
        <v>11</v>
      </c>
      <c r="C217" s="23" t="s">
        <v>1642</v>
      </c>
      <c r="D217" s="24" t="str">
        <f t="shared" si="5"/>
        <v>Osi.TemplateAddTo("447ee8a9-9319-4758-9dc7-2d8ba94e45b5", GetHostCharacter(), 1, 1);</v>
      </c>
    </row>
    <row r="218">
      <c r="A218" s="21" t="str">
        <f>HYPERLINK("https://bg3.wiki/wiki/Potion_of_Everlasting_Vigour", "Potion of Everlasting Vigour")</f>
        <v>Potion of Everlasting Vigour</v>
      </c>
      <c r="B218" s="22" t="s">
        <v>11</v>
      </c>
      <c r="C218" s="23" t="s">
        <v>1643</v>
      </c>
      <c r="D218" s="24" t="str">
        <f t="shared" si="5"/>
        <v>Osi.TemplateAddTo("cc426fc4-a82e-4375-8a77-31f2344b71b4", GetHostCharacter(), 1, 1);</v>
      </c>
    </row>
    <row r="219">
      <c r="A219" s="21" t="str">
        <f>HYPERLINK("https://bg3.wiki/wiki/Potion_of_Feather_Fall", "Potion of Feather Fall")</f>
        <v>Potion of Feather Fall</v>
      </c>
      <c r="B219" s="22" t="s">
        <v>11</v>
      </c>
      <c r="C219" s="23" t="s">
        <v>1644</v>
      </c>
      <c r="D219" s="24" t="str">
        <f t="shared" si="5"/>
        <v>Osi.TemplateAddTo("179cfdd4-40ef-4f5c-ba6e-8c13f20aadc9", GetHostCharacter(), 1, 1);</v>
      </c>
    </row>
    <row r="220">
      <c r="A220" s="21" t="str">
        <f>HYPERLINK("https://bg3.wiki/wiki/Potion_of_Flying", "Potion of Flying")</f>
        <v>Potion of Flying</v>
      </c>
      <c r="B220" s="22" t="s">
        <v>24</v>
      </c>
      <c r="C220" s="23" t="s">
        <v>1645</v>
      </c>
      <c r="D220" s="24" t="str">
        <f t="shared" si="5"/>
        <v>Osi.TemplateAddTo("8b870692-8491-4f1b-9b5c-58cb0b47a62b", GetHostCharacter(), 1, 1);</v>
      </c>
    </row>
    <row r="221">
      <c r="A221" s="21" t="str">
        <f>HYPERLINK("https://bg3.wiki/wiki/Potion_of_Gaseous_Form", "Potion of Gaseous Form")</f>
        <v>Potion of Gaseous Form</v>
      </c>
      <c r="B221" s="22" t="s">
        <v>11</v>
      </c>
      <c r="C221" s="23" t="s">
        <v>1646</v>
      </c>
      <c r="D221" s="24" t="str">
        <f t="shared" si="5"/>
        <v>Osi.TemplateAddTo("0138e3a4-4576-45a8-8592-85fa9adaee59", GetHostCharacter(), 1, 1);</v>
      </c>
    </row>
    <row r="222">
      <c r="A222" s="21" t="str">
        <f>HYPERLINK("https://bg3.wiki/wiki/Potion_of_Glorious_Vaulting", "Potion of Glorious Vaulting")</f>
        <v>Potion of Glorious Vaulting</v>
      </c>
      <c r="B222" s="22" t="s">
        <v>11</v>
      </c>
      <c r="C222" s="23" t="s">
        <v>1647</v>
      </c>
      <c r="D222" s="24" t="str">
        <f t="shared" si="5"/>
        <v>Osi.TemplateAddTo("7406ffa4-930c-437f-b201-57b951e5165f", GetHostCharacter(), 1, 1);</v>
      </c>
    </row>
    <row r="223">
      <c r="A223" s="21" t="str">
        <f>HYPERLINK("https://bg3.wiki/wiki/Potion_of_Greater_Healing", "Potion of Greater Healing")</f>
        <v>Potion of Greater Healing</v>
      </c>
      <c r="B223" s="22" t="s">
        <v>11</v>
      </c>
      <c r="C223" s="23" t="s">
        <v>1648</v>
      </c>
      <c r="D223" s="24" t="str">
        <f t="shared" si="5"/>
        <v>Osi.TemplateAddTo("e3b95c96-dc26-40fe-bfc0-baa05e1abd20", GetHostCharacter(), 1, 1);</v>
      </c>
    </row>
    <row r="224">
      <c r="A224" s="21" t="str">
        <f>HYPERLINK("https://bg3.wiki/wiki/Potion_of_Healing", "Potion of Healing")</f>
        <v>Potion of Healing</v>
      </c>
      <c r="B224" s="22" t="s">
        <v>11</v>
      </c>
      <c r="C224" s="23" t="s">
        <v>1649</v>
      </c>
      <c r="D224" s="24" t="str">
        <f t="shared" si="5"/>
        <v>Osi.TemplateAddTo("d47006e9-8a51-453d-b200-9e0d42e9bbab", GetHostCharacter(), 1, 1);</v>
      </c>
    </row>
    <row r="225">
      <c r="A225" s="21" t="str">
        <f>HYPERLINK("https://bg3.wiki/wiki/Potion_of_Invisibility", "Potion of Invisibility")</f>
        <v>Potion of Invisibility</v>
      </c>
      <c r="B225" s="22" t="s">
        <v>24</v>
      </c>
      <c r="C225" s="23" t="s">
        <v>1650</v>
      </c>
      <c r="D225" s="24" t="str">
        <f t="shared" si="5"/>
        <v>Osi.TemplateAddTo("809d5026-4896-4b3a-986e-95da58da77e2", GetHostCharacter(), 1, 1);</v>
      </c>
    </row>
    <row r="226">
      <c r="A226" s="21" t="str">
        <f>HYPERLINK("https://bg3.wiki/wiki/Potion_of_Mind_Reading", "Potion of Mind Reading")</f>
        <v>Potion of Mind Reading</v>
      </c>
      <c r="B226" s="22" t="s">
        <v>11</v>
      </c>
      <c r="C226" s="23" t="s">
        <v>1651</v>
      </c>
      <c r="D226" s="24" t="str">
        <f t="shared" si="5"/>
        <v>Osi.TemplateAddTo("91da7fe8-a5f7-4132-9096-e8da4916a42e", GetHostCharacter(), 1, 1);</v>
      </c>
    </row>
    <row r="227">
      <c r="A227" s="21" t="str">
        <f>HYPERLINK("https://bg3.wiki/wiki/Potion_of_Sleep", "Potion of Sleep")</f>
        <v>Potion of Sleep</v>
      </c>
      <c r="B227" s="22" t="s">
        <v>11</v>
      </c>
      <c r="C227" s="23" t="s">
        <v>1652</v>
      </c>
      <c r="D227" s="24" t="str">
        <f t="shared" si="5"/>
        <v>Osi.TemplateAddTo("7090a500-c392-4566-a79f-0c9453323bc8", GetHostCharacter(), 1, 1);</v>
      </c>
    </row>
    <row r="228">
      <c r="A228" s="21" t="str">
        <f>HYPERLINK("https://bg3.wiki/wiki/Potion_of_Speed", "Potion of Speed")</f>
        <v>Potion of Speed</v>
      </c>
      <c r="B228" s="22" t="s">
        <v>17</v>
      </c>
      <c r="C228" s="23" t="s">
        <v>1653</v>
      </c>
      <c r="D228" s="24" t="str">
        <f t="shared" si="5"/>
        <v>Osi.TemplateAddTo("ad9f3f24-d755-48b6-aa7b-c34da068209f", GetHostCharacter(), 1, 1);</v>
      </c>
    </row>
    <row r="229">
      <c r="A229" s="21" t="str">
        <f>HYPERLINK("https://bg3.wiki/wiki/Potion_of_Superior_Healing", "Potion of Superior Healing")</f>
        <v>Potion of Superior Healing</v>
      </c>
      <c r="B229" s="22" t="s">
        <v>11</v>
      </c>
      <c r="C229" s="23" t="s">
        <v>1654</v>
      </c>
      <c r="D229" s="24" t="str">
        <f t="shared" si="5"/>
        <v>Osi.TemplateAddTo("df4f3495-abaf-4732-b82f-55bcccd561db", GetHostCharacter(), 1, 1);</v>
      </c>
    </row>
    <row r="230">
      <c r="A230" s="21" t="str">
        <f>HYPERLINK("https://bg3.wiki/wiki/Potion_of_Supreme_Healing", "Potion of Supreme Healing")</f>
        <v>Potion of Supreme Healing</v>
      </c>
      <c r="B230" s="22" t="s">
        <v>17</v>
      </c>
      <c r="C230" s="23" t="s">
        <v>1655</v>
      </c>
      <c r="D230" s="24" t="str">
        <f t="shared" si="5"/>
        <v>Osi.TemplateAddTo("7d78f227-e8d4-486d-8121-25cf0bee751d", GetHostCharacter(), 1, 1);</v>
      </c>
    </row>
    <row r="231">
      <c r="A231" s="21" t="str">
        <f>HYPERLINK("https://bg3.wiki/wiki/Potion_of_Vitality", "Potion of Vitality")</f>
        <v>Potion of Vitality</v>
      </c>
      <c r="B231" s="22" t="s">
        <v>11</v>
      </c>
      <c r="C231" s="23" t="s">
        <v>1656</v>
      </c>
      <c r="D231" s="24" t="str">
        <f t="shared" si="5"/>
        <v>Osi.TemplateAddTo("0df06118-c4c3-4521-a6f5-f94ead4abb6c", GetHostCharacter(), 1, 1);</v>
      </c>
    </row>
    <row r="232">
      <c r="A232" s="21" t="str">
        <f>HYPERLINK("https://bg3.wiki/wiki/Remedial_Potion", "Remedial Potion")</f>
        <v>Remedial Potion</v>
      </c>
      <c r="B232" s="22" t="s">
        <v>17</v>
      </c>
      <c r="C232" s="23" t="s">
        <v>1657</v>
      </c>
      <c r="D232" s="24" t="str">
        <f t="shared" si="5"/>
        <v>Osi.TemplateAddTo("ae9a9360-7cbe-4f72-8bea-1dd5747c180d", GetHostCharacter(), 1, 1);</v>
      </c>
    </row>
    <row r="233">
      <c r="A233" s="21" t="str">
        <f>HYPERLINK("https://bg3.wiki/wiki/Spoiled_Treacle_Tart", "Spoiled Treacle Tart")</f>
        <v>Spoiled Treacle Tart</v>
      </c>
      <c r="B233" s="22" t="s">
        <v>11</v>
      </c>
      <c r="C233" s="23" t="s">
        <v>1658</v>
      </c>
      <c r="D233" s="24" t="str">
        <f t="shared" si="5"/>
        <v>Osi.TemplateAddTo("c5c39373-6a83-4a74-818a-da1642b9dfd0", GetHostCharacter(), 1, 1);</v>
      </c>
    </row>
    <row r="234">
      <c r="A234" s="38" t="str">
        <f>HYPERLINK("https://bg3.wiki/wiki/Wilted_Dreams", "Wilted Dreams")</f>
        <v>Wilted Dreams</v>
      </c>
      <c r="B234" s="39" t="s">
        <v>11</v>
      </c>
      <c r="C234" s="40" t="s">
        <v>1659</v>
      </c>
      <c r="D234" s="41" t="str">
        <f t="shared" si="5"/>
        <v>Osi.TemplateAddTo("2a507888-cf2b-425a-8920-dc0ca35cfa2e", GetHostCharacter(), 1, 1);</v>
      </c>
    </row>
    <row r="235">
      <c r="C235" s="42"/>
    </row>
    <row r="236">
      <c r="A236" s="55" t="s">
        <v>1660</v>
      </c>
      <c r="B236" s="22"/>
      <c r="C236" s="23"/>
      <c r="D236" s="22"/>
    </row>
    <row r="237">
      <c r="A237" s="34" t="s">
        <v>7</v>
      </c>
      <c r="B237" s="35" t="s">
        <v>8</v>
      </c>
      <c r="C237" s="35" t="s">
        <v>9</v>
      </c>
      <c r="D237" s="36" t="s">
        <v>10</v>
      </c>
      <c r="E237" s="37"/>
    </row>
    <row r="238">
      <c r="A238" s="21" t="str">
        <f>HYPERLINK("https://bg3.wiki/wiki/Bagel", "Bagel")</f>
        <v>Bagel</v>
      </c>
      <c r="B238" s="22" t="s">
        <v>11</v>
      </c>
      <c r="C238" s="23" t="s">
        <v>1661</v>
      </c>
      <c r="D238" s="24" t="str">
        <f t="shared" ref="D238:D245" si="6">"Osi.TemplateAddTo("""&amp; C238 &amp;""", GetHostCharacter(), 1, 1);"</f>
        <v>Osi.TemplateAddTo("d2d0d39b-9269-46d1-855d-dc25e18b1a6e", GetHostCharacter(), 1, 1);</v>
      </c>
    </row>
    <row r="239">
      <c r="A239" s="21" t="str">
        <f>HYPERLINK("https://bg3.wiki/wiki/Baguette", "Baguette")</f>
        <v>Baguette</v>
      </c>
      <c r="B239" s="22" t="s">
        <v>11</v>
      </c>
      <c r="C239" s="23" t="s">
        <v>1662</v>
      </c>
      <c r="D239" s="24" t="str">
        <f t="shared" si="6"/>
        <v>Osi.TemplateAddTo("7481a74a-d167-4205-b6a6-4e79ec2e17d9", GetHostCharacter(), 1, 1);</v>
      </c>
    </row>
    <row r="240">
      <c r="A240" s="21" t="str">
        <f>HYPERLINK("https://bg3.wiki/wiki/Baldurian_Mash", "Baldurian Mash")</f>
        <v>Baldurian Mash</v>
      </c>
      <c r="B240" s="22" t="s">
        <v>11</v>
      </c>
      <c r="C240" s="23" t="s">
        <v>1663</v>
      </c>
      <c r="D240" s="24" t="str">
        <f t="shared" si="6"/>
        <v>Osi.TemplateAddTo("2d657045-d6d4-4f03-9e5e-0bdf63cc48bf", GetHostCharacter(), 1, 1);</v>
      </c>
    </row>
    <row r="241">
      <c r="A241" s="21" t="str">
        <f>HYPERLINK("https://bg3.wiki/wiki/Baldurian_Seafood_Stew", "Baldurian Seafood Stew")</f>
        <v>Baldurian Seafood Stew</v>
      </c>
      <c r="B241" s="22" t="s">
        <v>11</v>
      </c>
      <c r="C241" s="23" t="s">
        <v>1664</v>
      </c>
      <c r="D241" s="24" t="str">
        <f t="shared" si="6"/>
        <v>Osi.TemplateAddTo("f551fd03-7e8f-4395-bc9e-0a27689058df", GetHostCharacter(), 1, 1);</v>
      </c>
    </row>
    <row r="242">
      <c r="A242" s="21" t="str">
        <f>HYPERLINK("https://bg3.wiki/wiki/Banana", "Banana")</f>
        <v>Banana</v>
      </c>
      <c r="B242" s="22" t="s">
        <v>11</v>
      </c>
      <c r="C242" s="23" t="s">
        <v>1665</v>
      </c>
      <c r="D242" s="24" t="str">
        <f t="shared" si="6"/>
        <v>Osi.TemplateAddTo("9ff71d3a-1c01-4e16-b151-6219ae376087", GetHostCharacter(), 1, 1);</v>
      </c>
    </row>
    <row r="243">
      <c r="A243" s="21" t="str">
        <f>HYPERLINK("https://bg3.wiki/wiki/Beregost_Blue_Wedge", "Beregost Blue Wedge")</f>
        <v>Beregost Blue Wedge</v>
      </c>
      <c r="B243" s="22" t="s">
        <v>11</v>
      </c>
      <c r="C243" s="23" t="s">
        <v>1666</v>
      </c>
      <c r="D243" s="24" t="str">
        <f t="shared" si="6"/>
        <v>Osi.TemplateAddTo("6c4f585b-c6d1-42fe-b3ea-282d0d3ac3a3", GetHostCharacter(), 1, 1);</v>
      </c>
    </row>
    <row r="244">
      <c r="A244" s="21" t="str">
        <f>HYPERLINK("https://bg3.wiki/wiki/Beregost_Blue_Wheel", "Beregost Blue Wheel")</f>
        <v>Beregost Blue Wheel</v>
      </c>
      <c r="B244" s="22" t="s">
        <v>11</v>
      </c>
      <c r="C244" s="23" t="s">
        <v>1667</v>
      </c>
      <c r="D244" s="24" t="str">
        <f t="shared" si="6"/>
        <v>Osi.TemplateAddTo("1a3fa26c-f97d-4106-a0c9-c1123ca8dcbc", GetHostCharacter(), 1, 1);</v>
      </c>
    </row>
    <row r="245">
      <c r="A245" s="21" t="str">
        <f>HYPERLINK("https://bg3.wiki/wiki/Berry_Tart", "Berry Tart")</f>
        <v>Berry Tart</v>
      </c>
      <c r="B245" s="22" t="s">
        <v>11</v>
      </c>
      <c r="C245" s="23" t="s">
        <v>1668</v>
      </c>
      <c r="D245" s="24" t="str">
        <f t="shared" si="6"/>
        <v>Osi.TemplateAddTo("f32dd8e1-cf81-4995-9868-0fe5c23428a7", GetHostCharacter(), 1, 1);</v>
      </c>
    </row>
    <row r="246">
      <c r="A246" s="21" t="str">
        <f>HYPERLINK("https://bg3.wiki/wiki/Bex%27s_Handmade_Cookies", "Bex's Handmade Cookies")</f>
        <v>Bex's Handmade Cookies</v>
      </c>
      <c r="B246" s="22" t="s">
        <v>11</v>
      </c>
      <c r="C246" s="23" t="s">
        <v>158</v>
      </c>
      <c r="D246" s="24"/>
    </row>
    <row r="247">
      <c r="A247" s="21" t="str">
        <f>HYPERLINK("https://bg3.wiki/wiki/Biscuit", "Biscuit")</f>
        <v>Biscuit</v>
      </c>
      <c r="B247" s="22" t="s">
        <v>11</v>
      </c>
      <c r="C247" s="23" t="s">
        <v>1669</v>
      </c>
      <c r="D247" s="24" t="str">
        <f t="shared" ref="D247:D250" si="7">"Osi.TemplateAddTo("""&amp; C247 &amp;""", GetHostCharacter(), 1, 1);"</f>
        <v>Osi.TemplateAddTo("a5242a01-c4c6-4767-a996-eb4779484539", GetHostCharacter(), 1, 1);</v>
      </c>
    </row>
    <row r="248">
      <c r="A248" s="21" t="str">
        <f>HYPERLINK("https://bg3.wiki/wiki/Black_Pudding_Platter", "Black Pudding Platter")</f>
        <v>Black Pudding Platter</v>
      </c>
      <c r="B248" s="22" t="s">
        <v>11</v>
      </c>
      <c r="C248" s="23" t="s">
        <v>1670</v>
      </c>
      <c r="D248" s="24" t="str">
        <f t="shared" si="7"/>
        <v>Osi.TemplateAddTo("36fc6c55-478c-464f-86a2-910573fd8d4b", GetHostCharacter(), 1, 1);</v>
      </c>
    </row>
    <row r="249">
      <c r="A249" s="21" t="str">
        <f>HYPERLINK("https://bg3.wiki/wiki/Bloodless_Pig_Meat", "Bloodless Pig Meat")</f>
        <v>Bloodless Pig Meat</v>
      </c>
      <c r="B249" s="22" t="s">
        <v>11</v>
      </c>
      <c r="C249" s="23" t="s">
        <v>1671</v>
      </c>
      <c r="D249" s="24" t="str">
        <f t="shared" si="7"/>
        <v>Osi.TemplateAddTo("136e4730-77d7-4985-8d1a-e58cc64ed690", GetHostCharacter(), 1, 1);</v>
      </c>
    </row>
    <row r="250">
      <c r="A250" s="21" t="str">
        <f>HYPERLINK("https://bg3.wiki/wiki/Bluecap", "Bluecap")</f>
        <v>Bluecap</v>
      </c>
      <c r="B250" s="22" t="s">
        <v>11</v>
      </c>
      <c r="C250" s="23" t="s">
        <v>1672</v>
      </c>
      <c r="D250" s="24" t="str">
        <f t="shared" si="7"/>
        <v>Osi.TemplateAddTo("87e53fac-efc7-4d4a-b28d-675afa7bd564", GetHostCharacter(), 1, 1);</v>
      </c>
    </row>
    <row r="251">
      <c r="A251" s="21" t="str">
        <f>HYPERLINK("https://bg3.wiki/wiki/Bluejay_corpse", "Bluejay corpse")</f>
        <v>Bluejay corpse</v>
      </c>
      <c r="B251" s="22" t="s">
        <v>11</v>
      </c>
      <c r="C251" s="23" t="s">
        <v>158</v>
      </c>
      <c r="D251" s="24"/>
    </row>
    <row r="252">
      <c r="A252" s="21" t="str">
        <f>HYPERLINK("https://bg3.wiki/wiki/Blushcap_Mushroom", "Blushcap Mushroom")</f>
        <v>Blushcap Mushroom</v>
      </c>
      <c r="B252" s="22" t="s">
        <v>11</v>
      </c>
      <c r="C252" s="23" t="s">
        <v>1673</v>
      </c>
      <c r="D252" s="24" t="str">
        <f t="shared" ref="D252:D376" si="8">"Osi.TemplateAddTo("""&amp; C252 &amp;""", GetHostCharacter(), 1, 1);"</f>
        <v>Osi.TemplateAddTo("f55f45ec-e30b-4745-9f22-431af1b308f6", GetHostCharacter(), 1, 1);</v>
      </c>
    </row>
    <row r="253">
      <c r="A253" s="21" t="str">
        <f>HYPERLINK("https://bg3.wiki/wiki/Boiled_Beholder_Eyestalks", "Boiled Beholder Eyestalks")</f>
        <v>Boiled Beholder Eyestalks</v>
      </c>
      <c r="B253" s="22" t="s">
        <v>11</v>
      </c>
      <c r="C253" s="23" t="s">
        <v>1674</v>
      </c>
      <c r="D253" s="24" t="str">
        <f t="shared" si="8"/>
        <v>Osi.TemplateAddTo("d0e9c5c0-4757-45d9-9311-0f178139c181", GetHostCharacter(), 1, 1);</v>
      </c>
    </row>
    <row r="254">
      <c r="A254" s="21" t="str">
        <f>HYPERLINK("https://bg3.wiki/wiki/Boiled_Potato", "Boiled Potato")</f>
        <v>Boiled Potato</v>
      </c>
      <c r="B254" s="22" t="s">
        <v>11</v>
      </c>
      <c r="C254" s="23" t="s">
        <v>1675</v>
      </c>
      <c r="D254" s="24" t="str">
        <f t="shared" si="8"/>
        <v>Osi.TemplateAddTo("adefd765-cc35-4289-9468-4a1fef893f52", GetHostCharacter(), 1, 1);</v>
      </c>
    </row>
    <row r="255">
      <c r="A255" s="21" t="str">
        <f>HYPERLINK("https://bg3.wiki/wiki/Bunch_of_Horseradish", "Bunch of Horseradish")</f>
        <v>Bunch of Horseradish</v>
      </c>
      <c r="B255" s="22" t="s">
        <v>11</v>
      </c>
      <c r="C255" s="23" t="s">
        <v>1676</v>
      </c>
      <c r="D255" s="24" t="str">
        <f t="shared" si="8"/>
        <v>Osi.TemplateAddTo("0e23a410-d7e6-454f-9061-abe3c60c6f5f", GetHostCharacter(), 1, 1);</v>
      </c>
    </row>
    <row r="256">
      <c r="A256" s="21" t="str">
        <f>HYPERLINK("https://bg3.wiki/wiki/Butter_Bun", "Butter Bun")</f>
        <v>Butter Bun</v>
      </c>
      <c r="B256" s="22" t="s">
        <v>11</v>
      </c>
      <c r="C256" s="23" t="s">
        <v>1677</v>
      </c>
      <c r="D256" s="24" t="str">
        <f t="shared" si="8"/>
        <v>Osi.TemplateAddTo("e604f4cc-4c17-4f40-9864-c7de41d9c211", GetHostCharacter(), 1, 1);</v>
      </c>
    </row>
    <row r="257">
      <c r="A257" s="21" t="str">
        <f>HYPERLINK("https://bg3.wiki/wiki/Cabbage", "Cabbage")</f>
        <v>Cabbage</v>
      </c>
      <c r="B257" s="22" t="s">
        <v>11</v>
      </c>
      <c r="C257" s="23" t="s">
        <v>1678</v>
      </c>
      <c r="D257" s="24" t="str">
        <f t="shared" si="8"/>
        <v>Osi.TemplateAddTo("f8d8d0fa-a933-47eb-a409-901f6eeb5a57", GetHostCharacter(), 1, 1);</v>
      </c>
    </row>
    <row r="258">
      <c r="A258" s="21" t="str">
        <f>HYPERLINK("https://bg3.wiki/wiki/Carnival_Squash", "Carnival Squash")</f>
        <v>Carnival Squash</v>
      </c>
      <c r="B258" s="22" t="s">
        <v>11</v>
      </c>
      <c r="C258" s="23" t="s">
        <v>1679</v>
      </c>
      <c r="D258" s="24" t="str">
        <f t="shared" si="8"/>
        <v>Osi.TemplateAddTo("381bf137-0b92-4035-a1ae-6c9c6fb65762", GetHostCharacter(), 1, 1);</v>
      </c>
    </row>
    <row r="259">
      <c r="A259" s="21" t="str">
        <f>HYPERLINK("https://bg3.wiki/wiki/Carrot", "Carrot")</f>
        <v>Carrot</v>
      </c>
      <c r="B259" s="22" t="s">
        <v>11</v>
      </c>
      <c r="C259" s="23" t="s">
        <v>1680</v>
      </c>
      <c r="D259" s="24" t="str">
        <f t="shared" si="8"/>
        <v>Osi.TemplateAddTo("a0aea0ba-0859-4352-a069-69a16e1e4401", GetHostCharacter(), 1, 1);</v>
      </c>
    </row>
    <row r="260">
      <c r="A260" s="21" t="str">
        <f>HYPERLINK("https://bg3.wiki/wiki/Charming_Little_Egg", "Charming Little Egg")</f>
        <v>Charming Little Egg</v>
      </c>
      <c r="B260" s="22" t="s">
        <v>11</v>
      </c>
      <c r="C260" s="23" t="s">
        <v>1681</v>
      </c>
      <c r="D260" s="24" t="str">
        <f t="shared" si="8"/>
        <v>Osi.TemplateAddTo("be712366-a008-4099-b95e-393ffa808610", GetHostCharacter(), 1, 1);</v>
      </c>
    </row>
    <row r="261">
      <c r="A261" s="21" t="str">
        <f>HYPERLINK("https://bg3.wiki/wiki/Chelo_Khoresh", "Chelo Khoresh")</f>
        <v>Chelo Khoresh</v>
      </c>
      <c r="B261" s="22" t="s">
        <v>11</v>
      </c>
      <c r="C261" s="23" t="s">
        <v>1682</v>
      </c>
      <c r="D261" s="24" t="str">
        <f t="shared" si="8"/>
        <v>Osi.TemplateAddTo("31c64c2b-fafb-4d53-8f46-303571508775", GetHostCharacter(), 1, 1);</v>
      </c>
    </row>
    <row r="262">
      <c r="A262" s="21" t="str">
        <f>HYPERLINK("https://bg3.wiki/wiki/Chevon", "Chevon")</f>
        <v>Chevon</v>
      </c>
      <c r="B262" s="22" t="s">
        <v>11</v>
      </c>
      <c r="C262" s="23" t="s">
        <v>1683</v>
      </c>
      <c r="D262" s="24" t="str">
        <f t="shared" si="8"/>
        <v>Osi.TemplateAddTo("4b97e595-993d-403a-971c-19723bf0a6d0", GetHostCharacter(), 1, 1);</v>
      </c>
    </row>
    <row r="263">
      <c r="A263" s="21" t="str">
        <f>HYPERLINK("https://bg3.wiki/wiki/Chicken_Egg", "Chicken Egg")</f>
        <v>Chicken Egg</v>
      </c>
      <c r="B263" s="22" t="s">
        <v>11</v>
      </c>
      <c r="C263" s="23" t="s">
        <v>1684</v>
      </c>
      <c r="D263" s="24" t="str">
        <f t="shared" si="8"/>
        <v>Osi.TemplateAddTo("86849852-69de-482e-b7f6-ddc7f607c517", GetHostCharacter(), 1, 1);</v>
      </c>
    </row>
    <row r="264">
      <c r="A264" s="21" t="str">
        <f>HYPERLINK("https://bg3.wiki/wiki/Chopped-Up_Pig", "Chopped-Up Pig")</f>
        <v>Chopped-Up Pig</v>
      </c>
      <c r="B264" s="22" t="s">
        <v>11</v>
      </c>
      <c r="C264" s="23" t="s">
        <v>1685</v>
      </c>
      <c r="D264" s="24" t="str">
        <f t="shared" si="8"/>
        <v>Osi.TemplateAddTo("7836d86c-9bac-4a18-85b2-a90496d1a7a8", GetHostCharacter(), 1, 1);</v>
      </c>
    </row>
    <row r="265">
      <c r="A265" s="21" t="str">
        <f>HYPERLINK("https://bg3.wiki/wiki/Cinnamon_Roll", "Cinnamon Roll")</f>
        <v>Cinnamon Roll</v>
      </c>
      <c r="B265" s="22" t="s">
        <v>11</v>
      </c>
      <c r="C265" s="23" t="s">
        <v>1686</v>
      </c>
      <c r="D265" s="24" t="str">
        <f t="shared" si="8"/>
        <v>Osi.TemplateAddTo("cb3b0f7e-1dc0-48de-badc-06625eb9dbd4", GetHostCharacter(), 1, 1);</v>
      </c>
    </row>
    <row r="266">
      <c r="A266" s="21" t="str">
        <f>HYPERLINK("https://bg3.wiki/wiki/Coffee", "Coffee")</f>
        <v>Coffee</v>
      </c>
      <c r="B266" s="22" t="s">
        <v>11</v>
      </c>
      <c r="C266" s="23" t="s">
        <v>1687</v>
      </c>
      <c r="D266" s="24" t="str">
        <f t="shared" si="8"/>
        <v>Osi.TemplateAddTo("6b059833-31ec-481b-88b5-9c71c82340ec", GetHostCharacter(), 1, 1);</v>
      </c>
    </row>
    <row r="267">
      <c r="A267" s="21" t="str">
        <f>HYPERLINK("https://bg3.wiki/wiki/Cormyrian_Seafood_Soup", "Cormyrian Seafood Soup")</f>
        <v>Cormyrian Seafood Soup</v>
      </c>
      <c r="B267" s="22" t="s">
        <v>11</v>
      </c>
      <c r="C267" s="23" t="s">
        <v>1688</v>
      </c>
      <c r="D267" s="24" t="str">
        <f t="shared" si="8"/>
        <v>Osi.TemplateAddTo("b22952f3-1874-4320-907f-5ca2219c6f63", GetHostCharacter(), 1, 1);</v>
      </c>
    </row>
    <row r="268">
      <c r="A268" s="21" t="str">
        <f>HYPERLINK("https://bg3.wiki/wiki/Courgette", "Courgette")</f>
        <v>Courgette</v>
      </c>
      <c r="B268" s="22" t="s">
        <v>11</v>
      </c>
      <c r="C268" s="23" t="s">
        <v>1689</v>
      </c>
      <c r="D268" s="24" t="str">
        <f t="shared" si="8"/>
        <v>Osi.TemplateAddTo("74110a00-80ac-43c1-b727-c19f8c0c2e78", GetHostCharacter(), 1, 1);</v>
      </c>
    </row>
    <row r="269">
      <c r="A269" s="21" t="str">
        <f>HYPERLINK("https://bg3.wiki/wiki/Dried_Beef_Sausage", "Dried Beef Sausage")</f>
        <v>Dried Beef Sausage</v>
      </c>
      <c r="B269" s="22" t="s">
        <v>11</v>
      </c>
      <c r="C269" s="23" t="s">
        <v>1690</v>
      </c>
      <c r="D269" s="24" t="str">
        <f t="shared" si="8"/>
        <v>Osi.TemplateAddTo("ac1879a6-ad3e-4b7a-bcb4-f6477fc36882", GetHostCharacter(), 1, 1);</v>
      </c>
    </row>
    <row r="270">
      <c r="A270" s="21" t="str">
        <f>HYPERLINK("https://bg3.wiki/wiki/Dried_Pork_Sausage", "Dried Pork Sausage")</f>
        <v>Dried Pork Sausage</v>
      </c>
      <c r="B270" s="22" t="s">
        <v>11</v>
      </c>
      <c r="C270" s="23" t="s">
        <v>1691</v>
      </c>
      <c r="D270" s="24" t="str">
        <f t="shared" si="8"/>
        <v>Osi.TemplateAddTo("3c35d25a-0d61-4071-b35b-9359f52c2d46", GetHostCharacter(), 1, 1);</v>
      </c>
    </row>
    <row r="271">
      <c r="A271" s="21" t="str">
        <f>HYPERLINK("https://bg3.wiki/wiki/Dried_Rope_Sausage", "Dried Rope Sausage")</f>
        <v>Dried Rope Sausage</v>
      </c>
      <c r="B271" s="22" t="s">
        <v>11</v>
      </c>
      <c r="C271" s="23" t="s">
        <v>1692</v>
      </c>
      <c r="D271" s="24" t="str">
        <f t="shared" si="8"/>
        <v>Osi.TemplateAddTo("4272edf7-8343-4ab0-be42-cb21fba13d30", GetHostCharacter(), 1, 1);</v>
      </c>
    </row>
    <row r="272">
      <c r="A272" s="21" t="str">
        <f>HYPERLINK("https://bg3.wiki/wiki/Dried_Sausage_Links", "Dried Sausage Links")</f>
        <v>Dried Sausage Links</v>
      </c>
      <c r="B272" s="22" t="s">
        <v>11</v>
      </c>
      <c r="C272" s="23" t="s">
        <v>1693</v>
      </c>
      <c r="D272" s="24" t="str">
        <f t="shared" si="8"/>
        <v>Osi.TemplateAddTo("b34d7f0b-8d6b-4e09-998a-591f4d39e872", GetHostCharacter(), 1, 1);</v>
      </c>
    </row>
    <row r="273">
      <c r="A273" s="21" t="str">
        <f>HYPERLINK("https://bg3.wiki/wiki/Durinbold_Cheese_Wedge", "Durinbold Cheese Wedge")</f>
        <v>Durinbold Cheese Wedge</v>
      </c>
      <c r="B273" s="22" t="s">
        <v>11</v>
      </c>
      <c r="C273" s="23" t="s">
        <v>1694</v>
      </c>
      <c r="D273" s="24" t="str">
        <f t="shared" si="8"/>
        <v>Osi.TemplateAddTo("cb0039bf-dd5e-41f2-8241-a52fa45e5ef6", GetHostCharacter(), 1, 1);</v>
      </c>
    </row>
    <row r="274">
      <c r="A274" s="21" t="str">
        <f>HYPERLINK("https://bg3.wiki/wiki/Everything_Soup", "Everything Soup")</f>
        <v>Everything Soup</v>
      </c>
      <c r="B274" s="22" t="s">
        <v>11</v>
      </c>
      <c r="C274" s="23" t="s">
        <v>1695</v>
      </c>
      <c r="D274" s="24" t="str">
        <f t="shared" si="8"/>
        <v>Osi.TemplateAddTo("a2a38210-b3ad-402e-9b63-3a4c272cebc7", GetHostCharacter(), 1, 1);</v>
      </c>
    </row>
    <row r="275">
      <c r="A275" s="21" t="str">
        <f>HYPERLINK("https://bg3.wiki/wiki/Fire-Spiced_Chicken_Sausages", "Fire-Spiced Chicken Sausages")</f>
        <v>Fire-Spiced Chicken Sausages</v>
      </c>
      <c r="B275" s="22" t="s">
        <v>11</v>
      </c>
      <c r="C275" s="23" t="s">
        <v>1696</v>
      </c>
      <c r="D275" s="24" t="str">
        <f t="shared" si="8"/>
        <v>Osi.TemplateAddTo("1c4bbacf-20f5-46c0-a1d5-0cf0a013981a", GetHostCharacter(), 1, 1);</v>
      </c>
    </row>
    <row r="276">
      <c r="A276" s="21" t="str">
        <f>HYPERLINK("https://bg3.wiki/wiki/Fish", "Fish")</f>
        <v>Fish</v>
      </c>
      <c r="B276" s="22" t="s">
        <v>11</v>
      </c>
      <c r="C276" s="23" t="s">
        <v>1697</v>
      </c>
      <c r="D276" s="24" t="str">
        <f t="shared" si="8"/>
        <v>Osi.TemplateAddTo("45a43504-e639-4c85-a901-da1de6cf4ee9", GetHostCharacter(), 1, 1);</v>
      </c>
    </row>
    <row r="277">
      <c r="A277" s="21" t="str">
        <f>HYPERLINK("https://bg3.wiki/wiki/Fish_(Big)", "Fish (Big)")</f>
        <v>Fish (Big)</v>
      </c>
      <c r="B277" s="22" t="s">
        <v>11</v>
      </c>
      <c r="C277" s="23" t="s">
        <v>1698</v>
      </c>
      <c r="D277" s="24" t="str">
        <f t="shared" si="8"/>
        <v>Osi.TemplateAddTo("d23adb3a-7722-4877-89fe-eceda296b25f", GetHostCharacter(), 1, 1);</v>
      </c>
    </row>
    <row r="278">
      <c r="A278" s="21" t="str">
        <f>HYPERLINK("https://bg3.wiki/wiki/Fish_Fillet", "Fish Fillet")</f>
        <v>Fish Fillet</v>
      </c>
      <c r="B278" s="22" t="s">
        <v>11</v>
      </c>
      <c r="C278" s="23" t="s">
        <v>1699</v>
      </c>
      <c r="D278" s="24" t="str">
        <f t="shared" si="8"/>
        <v>Osi.TemplateAddTo("577145f3-cadc-4bb7-afd8-9025ff0fcef6", GetHostCharacter(), 1, 1);</v>
      </c>
    </row>
    <row r="279">
      <c r="A279" s="21" t="str">
        <f>HYPERLINK("https://bg3.wiki/wiki/Fish_Head", "Fish Head")</f>
        <v>Fish Head</v>
      </c>
      <c r="B279" s="22" t="s">
        <v>11</v>
      </c>
      <c r="C279" s="23" t="s">
        <v>1700</v>
      </c>
      <c r="D279" s="24" t="str">
        <f t="shared" si="8"/>
        <v>Osi.TemplateAddTo("0db2c814-7825-4b14-979a-b3b8bfee0dd4", GetHostCharacter(), 1, 1);</v>
      </c>
    </row>
    <row r="280">
      <c r="A280" s="21" t="str">
        <f>HYPERLINK("https://bg3.wiki/wiki/Fragrant_Fungus_Stew", "Fragrant Fungus Stew")</f>
        <v>Fragrant Fungus Stew</v>
      </c>
      <c r="B280" s="22" t="s">
        <v>11</v>
      </c>
      <c r="C280" s="23" t="s">
        <v>1701</v>
      </c>
      <c r="D280" s="24" t="str">
        <f t="shared" si="8"/>
        <v>Osi.TemplateAddTo("f1362bfb-6fe3-46f3-b164-135a034572cb", GetHostCharacter(), 1, 1);</v>
      </c>
    </row>
    <row r="281">
      <c r="A281" s="21" t="str">
        <f>HYPERLINK("https://bg3.wiki/wiki/Fried_Rat_Skewer", "Fried Rat Skewer")</f>
        <v>Fried Rat Skewer</v>
      </c>
      <c r="B281" s="22" t="s">
        <v>11</v>
      </c>
      <c r="C281" s="23" t="s">
        <v>1702</v>
      </c>
      <c r="D281" s="24" t="str">
        <f t="shared" si="8"/>
        <v>Osi.TemplateAddTo("5d7f94c0-2748-45af-b1b4-2ad3dabb8a76", GetHostCharacter(), 1, 1);</v>
      </c>
    </row>
    <row r="282">
      <c r="A282" s="21" t="str">
        <f>HYPERLINK("https://bg3.wiki/wiki/Frites", "Frites")</f>
        <v>Frites</v>
      </c>
      <c r="B282" s="22" t="s">
        <v>11</v>
      </c>
      <c r="C282" s="23" t="s">
        <v>1703</v>
      </c>
      <c r="D282" s="24" t="str">
        <f t="shared" si="8"/>
        <v>Osi.TemplateAddTo("e454329b-b8ce-4318-b2b6-c54638b8d857", GetHostCharacter(), 1, 1);</v>
      </c>
    </row>
    <row r="283">
      <c r="A283" s="21" t="str">
        <f>HYPERLINK("https://bg3.wiki/wiki/Fruit_Porridge", "Fruit Porridge")</f>
        <v>Fruit Porridge</v>
      </c>
      <c r="B283" s="22" t="s">
        <v>11</v>
      </c>
      <c r="C283" s="23" t="s">
        <v>1704</v>
      </c>
      <c r="D283" s="24" t="str">
        <f t="shared" si="8"/>
        <v>Osi.TemplateAddTo("ac2561bf-1cb9-4f14-b4c0-0bf740fe9d46", GetHostCharacter(), 1, 1);</v>
      </c>
    </row>
    <row r="284">
      <c r="A284" s="21" t="str">
        <f>HYPERLINK("https://bg3.wiki/wiki/Garlic", "Garlic")</f>
        <v>Garlic</v>
      </c>
      <c r="B284" s="22" t="s">
        <v>11</v>
      </c>
      <c r="C284" s="23" t="s">
        <v>1705</v>
      </c>
      <c r="D284" s="24" t="str">
        <f t="shared" si="8"/>
        <v>Osi.TemplateAddTo("743428c1-f916-4188-9162-20d38bfc166b", GetHostCharacter(), 1, 1);</v>
      </c>
    </row>
    <row r="285">
      <c r="A285" s="21" t="str">
        <f>HYPERLINK("https://bg3.wiki/wiki/Glowcap_Mushroom", "Glowcap Mushroom")</f>
        <v>Glowcap Mushroom</v>
      </c>
      <c r="B285" s="22" t="s">
        <v>11</v>
      </c>
      <c r="C285" s="23" t="s">
        <v>1706</v>
      </c>
      <c r="D285" s="24" t="str">
        <f t="shared" si="8"/>
        <v>Osi.TemplateAddTo("1463c8da-2f73-4768-b5e3-3b9048901d93", GetHostCharacter(), 1, 1);</v>
      </c>
    </row>
    <row r="286">
      <c r="A286" s="21" t="str">
        <f>HYPERLINK("https://bg3.wiki/wiki/Goodberry_(Item)", "Goodberry (Item)")</f>
        <v>Goodberry (Item)</v>
      </c>
      <c r="B286" s="22" t="s">
        <v>11</v>
      </c>
      <c r="C286" s="23" t="s">
        <v>1707</v>
      </c>
      <c r="D286" s="24" t="str">
        <f t="shared" si="8"/>
        <v>Osi.TemplateAddTo("de6b186e-839e-41d0-87af-a1a9d9327785", GetHostCharacter(), 1, 1);</v>
      </c>
    </row>
    <row r="287">
      <c r="A287" s="21" t="str">
        <f>HYPERLINK("https://bg3.wiki/wiki/Green_Grapes", "Green Grapes")</f>
        <v>Green Grapes</v>
      </c>
      <c r="B287" s="22" t="s">
        <v>11</v>
      </c>
      <c r="C287" s="23" t="s">
        <v>1708</v>
      </c>
      <c r="D287" s="24" t="str">
        <f t="shared" si="8"/>
        <v>Osi.TemplateAddTo("9d9665eb-89d4-4cdd-aa04-235a8ac51205", GetHostCharacter(), 1, 1);</v>
      </c>
    </row>
    <row r="288">
      <c r="A288" s="21" t="str">
        <f>HYPERLINK("https://bg3.wiki/wiki/Grilled_Cormorant", "Grilled Cormorant")</f>
        <v>Grilled Cormorant</v>
      </c>
      <c r="B288" s="22" t="s">
        <v>11</v>
      </c>
      <c r="C288" s="23" t="s">
        <v>1709</v>
      </c>
      <c r="D288" s="24" t="str">
        <f t="shared" si="8"/>
        <v>Osi.TemplateAddTo("edfd76e0-17b9-4f52-a5f9-5a4e441ddca1", GetHostCharacter(), 1, 1);</v>
      </c>
    </row>
    <row r="289">
      <c r="A289" s="21" t="str">
        <f>HYPERLINK("https://bg3.wiki/wiki/Grilled_Miniature_Giant_Space_Hamster", "Grilled Miniature Giant Space Hamster")</f>
        <v>Grilled Miniature Giant Space Hamster</v>
      </c>
      <c r="B289" s="22" t="s">
        <v>11</v>
      </c>
      <c r="C289" s="23" t="s">
        <v>1710</v>
      </c>
      <c r="D289" s="24" t="str">
        <f t="shared" si="8"/>
        <v>Osi.TemplateAddTo("c6910189-d120-42cd-9277-1e6c7d7bb772", GetHostCharacter(), 1, 1);</v>
      </c>
    </row>
    <row r="290">
      <c r="A290" s="21" t="str">
        <f>HYPERLINK("https://bg3.wiki/wiki/Grilled_Pork_Belly", "Grilled Pork Belly")</f>
        <v>Grilled Pork Belly</v>
      </c>
      <c r="B290" s="22" t="s">
        <v>11</v>
      </c>
      <c r="C290" s="23" t="s">
        <v>1711</v>
      </c>
      <c r="D290" s="24" t="str">
        <f t="shared" si="8"/>
        <v>Osi.TemplateAddTo("df26272e-84ce-46b6-9ec7-ed4d300c3ac0", GetHostCharacter(), 1, 1);</v>
      </c>
    </row>
    <row r="291">
      <c r="A291" s="21" t="str">
        <f>HYPERLINK("https://bg3.wiki/wiki/Grilled_Pork_Leg", "Grilled Pork Leg")</f>
        <v>Grilled Pork Leg</v>
      </c>
      <c r="B291" s="22" t="s">
        <v>11</v>
      </c>
      <c r="C291" s="23" t="s">
        <v>1712</v>
      </c>
      <c r="D291" s="24" t="str">
        <f t="shared" si="8"/>
        <v>Osi.TemplateAddTo("1accb89d-27b7-486b-87a9-05a04239e239", GetHostCharacter(), 1, 1);</v>
      </c>
    </row>
    <row r="292">
      <c r="A292" s="21" t="str">
        <f>HYPERLINK("https://bg3.wiki/wiki/Grilled_Roth%C3%A9_Ribs", "Grilled Rothé Ribs")</f>
        <v>Grilled Rothé Ribs</v>
      </c>
      <c r="B292" s="22" t="s">
        <v>11</v>
      </c>
      <c r="C292" s="23" t="s">
        <v>1713</v>
      </c>
      <c r="D292" s="24" t="str">
        <f t="shared" si="8"/>
        <v>Osi.TemplateAddTo("c5af4dab-0cd4-4f84-8c2a-1e1987016099", GetHostCharacter(), 1, 1);</v>
      </c>
    </row>
    <row r="293">
      <c r="A293" s="21" t="str">
        <f>HYPERLINK("https://bg3.wiki/wiki/Grilled_Steak", "Grilled Steak")</f>
        <v>Grilled Steak</v>
      </c>
      <c r="B293" s="22" t="s">
        <v>11</v>
      </c>
      <c r="C293" s="23" t="s">
        <v>1714</v>
      </c>
      <c r="D293" s="24" t="str">
        <f t="shared" si="8"/>
        <v>Osi.TemplateAddTo("e64e5de6-9c13-4d0b-9d23-ec404a34a469", GetHostCharacter(), 1, 1);</v>
      </c>
    </row>
    <row r="294">
      <c r="A294" s="21" t="str">
        <f>HYPERLINK("https://bg3.wiki/wiki/Gruel", "Gruel")</f>
        <v>Gruel</v>
      </c>
      <c r="B294" s="22" t="s">
        <v>11</v>
      </c>
      <c r="C294" s="23" t="s">
        <v>1715</v>
      </c>
      <c r="D294" s="24" t="str">
        <f t="shared" si="8"/>
        <v>Osi.TemplateAddTo("f91f8f13-44d0-4fd0-8cc1-1ec08356f98a", GetHostCharacter(), 1, 1);</v>
      </c>
    </row>
    <row r="295">
      <c r="A295" s="21" t="str">
        <f>HYPERLINK("https://bg3.wiki/wiki/Haggis", "Haggis")</f>
        <v>Haggis</v>
      </c>
      <c r="B295" s="22" t="s">
        <v>11</v>
      </c>
      <c r="C295" s="23" t="s">
        <v>1716</v>
      </c>
      <c r="D295" s="24" t="str">
        <f t="shared" si="8"/>
        <v>Osi.TemplateAddTo("c97edbc4-66ce-442d-8f61-d406f6c176bf", GetHostCharacter(), 1, 1);</v>
      </c>
    </row>
    <row r="296">
      <c r="A296" s="21" t="str">
        <f>HYPERLINK("https://bg3.wiki/wiki/Half-Eaten_Apple", "Half-Eaten Apple")</f>
        <v>Half-Eaten Apple</v>
      </c>
      <c r="B296" s="22" t="s">
        <v>11</v>
      </c>
      <c r="C296" s="23" t="s">
        <v>1717</v>
      </c>
      <c r="D296" s="24" t="str">
        <f t="shared" si="8"/>
        <v>Osi.TemplateAddTo("2ca3cb11-2271-461a-9096-c425c0bd3b12", GetHostCharacter(), 1, 1);</v>
      </c>
    </row>
    <row r="297">
      <c r="A297" s="21" t="str">
        <f>HYPERLINK("https://bg3.wiki/wiki/Head_of_Lettuce", "Head of Lettuce")</f>
        <v>Head of Lettuce</v>
      </c>
      <c r="B297" s="22" t="s">
        <v>11</v>
      </c>
      <c r="C297" s="23" t="s">
        <v>1718</v>
      </c>
      <c r="D297" s="24" t="str">
        <f t="shared" si="8"/>
        <v>Osi.TemplateAddTo("1d078894-ac38-4add-aac8-fcdf0aca4d4b", GetHostCharacter(), 1, 1);</v>
      </c>
    </row>
    <row r="298">
      <c r="A298" s="21" t="str">
        <f>HYPERLINK("https://bg3.wiki/wiki/Headless_Fish", "Headless Fish")</f>
        <v>Headless Fish</v>
      </c>
      <c r="B298" s="22" t="s">
        <v>11</v>
      </c>
      <c r="C298" s="23" t="s">
        <v>1719</v>
      </c>
      <c r="D298" s="24" t="str">
        <f t="shared" si="8"/>
        <v>Osi.TemplateAddTo("312f18f7-fe4b-49c8-bc81-c4042b99f897", GetHostCharacter(), 1, 1);</v>
      </c>
    </row>
    <row r="299">
      <c r="A299" s="21" t="str">
        <f>HYPERLINK("https://bg3.wiki/wiki/Hearty_Dinner", "Hearty Dinner")</f>
        <v>Hearty Dinner</v>
      </c>
      <c r="B299" s="22" t="s">
        <v>11</v>
      </c>
      <c r="C299" s="23" t="s">
        <v>1720</v>
      </c>
      <c r="D299" s="24" t="str">
        <f t="shared" si="8"/>
        <v>Osi.TemplateAddTo("98fef0a1-726e-410b-867f-808915741d2f", GetHostCharacter(), 1, 1);</v>
      </c>
    </row>
    <row r="300">
      <c r="A300" s="21" t="str">
        <f>HYPERLINK("https://bg3.wiki/wiki/Heavy_Supply_Pack", "Heavy Supply Pack")</f>
        <v>Heavy Supply Pack</v>
      </c>
      <c r="B300" s="22" t="s">
        <v>11</v>
      </c>
      <c r="C300" s="23" t="s">
        <v>1721</v>
      </c>
      <c r="D300" s="24" t="str">
        <f t="shared" si="8"/>
        <v>Osi.TemplateAddTo("a24a2ca2-a213-424c-833d-47c79934c0ce", GetHostCharacter(), 1, 1);</v>
      </c>
    </row>
    <row r="301">
      <c r="A301" s="21" t="str">
        <f>HYPERLINK("https://bg3.wiki/wiki/Honey_Comb", "Honey Comb")</f>
        <v>Honey Comb</v>
      </c>
      <c r="B301" s="22" t="s">
        <v>11</v>
      </c>
      <c r="C301" s="23" t="s">
        <v>1722</v>
      </c>
      <c r="D301" s="24" t="str">
        <f t="shared" si="8"/>
        <v>Osi.TemplateAddTo("471dfbc7-a7f1-4fa3-8ce4-2c15c2815bcd", GetHostCharacter(), 1, 1);</v>
      </c>
    </row>
    <row r="302">
      <c r="A302" s="21" t="str">
        <f>HYPERLINK("https://bg3.wiki/wiki/Honeyed_Ham", "Honeyed Ham")</f>
        <v>Honeyed Ham</v>
      </c>
      <c r="B302" s="22" t="s">
        <v>11</v>
      </c>
      <c r="C302" s="23" t="s">
        <v>1723</v>
      </c>
      <c r="D302" s="24" t="str">
        <f t="shared" si="8"/>
        <v>Osi.TemplateAddTo("01852753-22b9-4724-986b-8c9786b04010", GetHostCharacter(), 1, 1);</v>
      </c>
    </row>
    <row r="303">
      <c r="A303" s="21" t="str">
        <f>HYPERLINK("https://bg3.wiki/wiki/Horseradish", "Horseradish")</f>
        <v>Horseradish</v>
      </c>
      <c r="B303" s="22" t="s">
        <v>11</v>
      </c>
      <c r="C303" s="23" t="s">
        <v>1724</v>
      </c>
      <c r="D303" s="24" t="str">
        <f t="shared" si="8"/>
        <v>Osi.TemplateAddTo("5bd00d87-c85e-4796-9de2-877b41a945b2", GetHostCharacter(), 1, 1);</v>
      </c>
    </row>
    <row r="304">
      <c r="A304" s="21" t="str">
        <f>HYPERLINK("https://bg3.wiki/wiki/Kiwi", "Kiwi")</f>
        <v>Kiwi</v>
      </c>
      <c r="B304" s="22" t="s">
        <v>11</v>
      </c>
      <c r="C304" s="23" t="s">
        <v>1725</v>
      </c>
      <c r="D304" s="24" t="str">
        <f t="shared" si="8"/>
        <v>Osi.TemplateAddTo("5e352346-e89f-4af8-a668-72f718274f62", GetHostCharacter(), 1, 1);</v>
      </c>
    </row>
    <row r="305">
      <c r="A305" s="21" t="str">
        <f>HYPERLINK("https://bg3.wiki/wiki/Leg_of_Mutton", "Leg of Mutton")</f>
        <v>Leg of Mutton</v>
      </c>
      <c r="B305" s="22" t="s">
        <v>11</v>
      </c>
      <c r="C305" s="23" t="s">
        <v>1726</v>
      </c>
      <c r="D305" s="24" t="str">
        <f t="shared" si="8"/>
        <v>Osi.TemplateAddTo("12fac942-2d7c-4ec4-83bd-1a5013df1b94", GetHostCharacter(), 1, 1);</v>
      </c>
    </row>
    <row r="306">
      <c r="A306" s="21" t="str">
        <f>HYPERLINK("https://bg3.wiki/wiki/Lemon", "Lemon")</f>
        <v>Lemon</v>
      </c>
      <c r="B306" s="22" t="s">
        <v>11</v>
      </c>
      <c r="C306" s="23" t="s">
        <v>1727</v>
      </c>
      <c r="D306" s="24" t="str">
        <f t="shared" si="8"/>
        <v>Osi.TemplateAddTo("6cd7804b-31c3-4eac-b9fd-c8692d609a08", GetHostCharacter(), 1, 1);</v>
      </c>
    </row>
    <row r="307">
      <c r="A307" s="21" t="str">
        <f>HYPERLINK("https://bg3.wiki/wiki/Mashed_Potatoes", "Mashed Potatoes")</f>
        <v>Mashed Potatoes</v>
      </c>
      <c r="B307" s="22" t="s">
        <v>11</v>
      </c>
      <c r="C307" s="23" t="s">
        <v>1728</v>
      </c>
      <c r="D307" s="24" t="str">
        <f t="shared" si="8"/>
        <v>Osi.TemplateAddTo("ee4025e5-11f2-401a-8198-885120af0b6b", GetHostCharacter(), 1, 1);</v>
      </c>
    </row>
    <row r="308">
      <c r="A308" s="21" t="str">
        <f>HYPERLINK("https://bg3.wiki/wiki/Milk", "Milk")</f>
        <v>Milk</v>
      </c>
      <c r="B308" s="22" t="s">
        <v>11</v>
      </c>
      <c r="C308" s="23" t="s">
        <v>1729</v>
      </c>
      <c r="D308" s="24" t="str">
        <f t="shared" si="8"/>
        <v>Osi.TemplateAddTo("83133248-3c85-4b6d-adf3-2c6985146875", GetHostCharacter(), 1, 1);</v>
      </c>
    </row>
    <row r="309">
      <c r="A309" s="21" t="str">
        <f>HYPERLINK("https://bg3.wiki/wiki/Milk_bowl", "Milk bowl")</f>
        <v>Milk bowl</v>
      </c>
      <c r="B309" s="22" t="s">
        <v>11</v>
      </c>
      <c r="C309" s="23" t="s">
        <v>1730</v>
      </c>
      <c r="D309" s="24" t="str">
        <f t="shared" si="8"/>
        <v>Osi.TemplateAddTo("99da895b-19d9-46e4-be4d-7d0ffa8ad350", GetHostCharacter(), 1, 1);</v>
      </c>
    </row>
    <row r="310">
      <c r="A310" s="21" t="str">
        <f>HYPERLINK("https://bg3.wiki/wiki/Mixed_Coffee", "Mixed Coffee")</f>
        <v>Mixed Coffee</v>
      </c>
      <c r="B310" s="22" t="s">
        <v>11</v>
      </c>
      <c r="C310" s="23" t="s">
        <v>1731</v>
      </c>
      <c r="D310" s="24" t="str">
        <f t="shared" si="8"/>
        <v>Osi.TemplateAddTo("2fb236a2-0714-4a66-9e4d-a031b680d6e2", GetHostCharacter(), 1, 1);</v>
      </c>
    </row>
    <row r="311">
      <c r="A311" s="21" t="str">
        <f>HYPERLINK("https://bg3.wiki/wiki/Moulded_Cheese_Wedge", "Moulded Cheese Wedge")</f>
        <v>Moulded Cheese Wedge</v>
      </c>
      <c r="B311" s="22" t="s">
        <v>11</v>
      </c>
      <c r="C311" s="23" t="s">
        <v>1732</v>
      </c>
      <c r="D311" s="24" t="str">
        <f t="shared" si="8"/>
        <v>Osi.TemplateAddTo("48f47287-908b-49aa-ab6a-5d4679ca4117", GetHostCharacter(), 1, 1);</v>
      </c>
    </row>
    <row r="312">
      <c r="A312" s="21" t="str">
        <f>HYPERLINK("https://bg3.wiki/wiki/Murky_Stew", "Murky Stew")</f>
        <v>Murky Stew</v>
      </c>
      <c r="B312" s="22" t="s">
        <v>11</v>
      </c>
      <c r="C312" s="23" t="s">
        <v>1733</v>
      </c>
      <c r="D312" s="24" t="str">
        <f t="shared" si="8"/>
        <v>Osi.TemplateAddTo("20a42fb8-cb01-47c5-9fa0-1ddfc09b032d", GetHostCharacter(), 1, 1);</v>
      </c>
    </row>
    <row r="313">
      <c r="A313" s="21" t="str">
        <f>HYPERLINK("https://bg3.wiki/wiki/Mushroom_Soup", "Mushroom Soup")</f>
        <v>Mushroom Soup</v>
      </c>
      <c r="B313" s="22" t="s">
        <v>11</v>
      </c>
      <c r="C313" s="23" t="s">
        <v>1734</v>
      </c>
      <c r="D313" s="24" t="str">
        <f t="shared" si="8"/>
        <v>Osi.TemplateAddTo("f7a37058-43ef-4575-aa07-5e1e42eee8fd", GetHostCharacter(), 1, 1);</v>
      </c>
    </row>
    <row r="314">
      <c r="A314" s="21" t="str">
        <f>HYPERLINK("https://bg3.wiki/wiki/Neogi_Claws", "Neogi Claws")</f>
        <v>Neogi Claws</v>
      </c>
      <c r="B314" s="22" t="s">
        <v>11</v>
      </c>
      <c r="C314" s="23" t="s">
        <v>1735</v>
      </c>
      <c r="D314" s="24" t="str">
        <f t="shared" si="8"/>
        <v>Osi.TemplateAddTo("dca82ed8-5b3d-40dd-b3c1-9521b30f04b8", GetHostCharacter(), 1, 1);</v>
      </c>
    </row>
    <row r="315">
      <c r="A315" s="21" t="str">
        <f>HYPERLINK("https://bg3.wiki/wiki/Neogi_Rolls", "Neogi Rolls")</f>
        <v>Neogi Rolls</v>
      </c>
      <c r="B315" s="22" t="s">
        <v>11</v>
      </c>
      <c r="C315" s="23" t="s">
        <v>1736</v>
      </c>
      <c r="D315" s="24" t="str">
        <f t="shared" si="8"/>
        <v>Osi.TemplateAddTo("31d10a5c-078a-48c9-a48e-17cedae39c35", GetHostCharacter(), 1, 1);</v>
      </c>
    </row>
    <row r="316">
      <c r="A316" s="21" t="str">
        <f>HYPERLINK("https://bg3.wiki/wiki/Neverwinter_Stew", "Neverwinter Stew")</f>
        <v>Neverwinter Stew</v>
      </c>
      <c r="B316" s="22" t="s">
        <v>11</v>
      </c>
      <c r="C316" s="23" t="s">
        <v>1737</v>
      </c>
      <c r="D316" s="24" t="str">
        <f t="shared" si="8"/>
        <v>Osi.TemplateAddTo("70e0c819-5c33-4708-8250-3d5c9bfbfed0", GetHostCharacter(), 1, 1);</v>
      </c>
    </row>
    <row r="317">
      <c r="A317" s="21" t="str">
        <f>HYPERLINK("https://bg3.wiki/wiki/Okta%27s_Alternative_Meal", "Okta's Alternative Meal")</f>
        <v>Okta's Alternative Meal</v>
      </c>
      <c r="B317" s="22" t="s">
        <v>11</v>
      </c>
      <c r="C317" s="23" t="s">
        <v>1738</v>
      </c>
      <c r="D317" s="24" t="str">
        <f t="shared" si="8"/>
        <v>Osi.TemplateAddTo("8ae93c63-7345-4ff4-8a7f-2c7cd23cbe10", GetHostCharacter(), 1, 1);</v>
      </c>
    </row>
    <row r="318">
      <c r="A318" s="21" t="str">
        <f>HYPERLINK("https://bg3.wiki/wiki/Onion", "Onion")</f>
        <v>Onion</v>
      </c>
      <c r="B318" s="22" t="s">
        <v>11</v>
      </c>
      <c r="C318" s="23" t="s">
        <v>1739</v>
      </c>
      <c r="D318" s="24" t="str">
        <f t="shared" si="8"/>
        <v>Osi.TemplateAddTo("746153c2-5aa1-440d-819d-b93dc31b7e10", GetHostCharacter(), 1, 1);</v>
      </c>
    </row>
    <row r="319">
      <c r="A319" s="21" t="str">
        <f>HYPERLINK("https://bg3.wiki/wiki/Onion_Soup", "Onion Soup")</f>
        <v>Onion Soup</v>
      </c>
      <c r="B319" s="22" t="s">
        <v>11</v>
      </c>
      <c r="C319" s="23" t="s">
        <v>1740</v>
      </c>
      <c r="D319" s="24" t="str">
        <f t="shared" si="8"/>
        <v>Osi.TemplateAddTo("d5443960-1383-4a32-a07b-d0031c9872a3", GetHostCharacter(), 1, 1);</v>
      </c>
    </row>
    <row r="320">
      <c r="A320" s="21" t="str">
        <f>HYPERLINK("https://bg3.wiki/wiki/Orange", "Orange")</f>
        <v>Orange</v>
      </c>
      <c r="B320" s="22" t="s">
        <v>11</v>
      </c>
      <c r="C320" s="23" t="s">
        <v>1741</v>
      </c>
      <c r="D320" s="24" t="str">
        <f t="shared" si="8"/>
        <v>Osi.TemplateAddTo("0206650c-76b0-4ca3-9060-8efb5b739ede", GetHostCharacter(), 1, 1);</v>
      </c>
    </row>
    <row r="321">
      <c r="A321" s="21" t="str">
        <f>HYPERLINK("https://bg3.wiki/wiki/Owlbear_Egg", "Owlbear Egg")</f>
        <v>Owlbear Egg</v>
      </c>
      <c r="B321" s="22" t="s">
        <v>11</v>
      </c>
      <c r="C321" s="23" t="s">
        <v>1742</v>
      </c>
      <c r="D321" s="24" t="str">
        <f t="shared" si="8"/>
        <v>Osi.TemplateAddTo("374111f7-6756-4f5f-b6e3-e45e8d25def0", GetHostCharacter(), 1, 1);</v>
      </c>
    </row>
    <row r="322">
      <c r="A322" s="21" t="str">
        <f>HYPERLINK("https://bg3.wiki/wiki/Pale_Mint", "Pale Mint")</f>
        <v>Pale Mint</v>
      </c>
      <c r="B322" s="22" t="s">
        <v>11</v>
      </c>
      <c r="C322" s="23" t="s">
        <v>1743</v>
      </c>
      <c r="D322" s="24" t="str">
        <f t="shared" si="8"/>
        <v>Osi.TemplateAddTo("f35fb09a-696a-41f6-ac04-f9447332d56e", GetHostCharacter(), 1, 1);</v>
      </c>
    </row>
    <row r="323">
      <c r="A323" s="21" t="str">
        <f>HYPERLINK("https://bg3.wiki/wiki/Pear", "Pear")</f>
        <v>Pear</v>
      </c>
      <c r="B323" s="22" t="s">
        <v>11</v>
      </c>
      <c r="C323" s="23" t="s">
        <v>1744</v>
      </c>
      <c r="D323" s="24" t="str">
        <f t="shared" si="8"/>
        <v>Osi.TemplateAddTo("1a0fe0fc-08e4-4e9c-aba8-5312ddd4e0ae", GetHostCharacter(), 1, 1);</v>
      </c>
    </row>
    <row r="324">
      <c r="A324" s="21" t="str">
        <f>HYPERLINK("https://bg3.wiki/wiki/Pig%27s_Head", "Pig's Head")</f>
        <v>Pig's Head</v>
      </c>
      <c r="B324" s="22" t="s">
        <v>11</v>
      </c>
      <c r="C324" s="23" t="s">
        <v>1745</v>
      </c>
      <c r="D324" s="24" t="str">
        <f t="shared" si="8"/>
        <v>Osi.TemplateAddTo("fcfff2e8-d914-4731-a694-73f770e2f900", GetHostCharacter(), 1, 1);</v>
      </c>
    </row>
    <row r="325">
      <c r="A325" s="21" t="str">
        <f>HYPERLINK("https://bg3.wiki/wiki/Pizza", "Pizza")</f>
        <v>Pizza</v>
      </c>
      <c r="B325" s="22" t="s">
        <v>11</v>
      </c>
      <c r="C325" s="23" t="s">
        <v>1746</v>
      </c>
      <c r="D325" s="24" t="str">
        <f t="shared" si="8"/>
        <v>Osi.TemplateAddTo("1267816d-2074-41e6-be8f-bfdf20b5f04f", GetHostCharacter(), 1, 1);</v>
      </c>
    </row>
    <row r="326">
      <c r="A326" s="21" t="str">
        <f>HYPERLINK("https://bg3.wiki/wiki/Pork_Loin", "Pork Loin")</f>
        <v>Pork Loin</v>
      </c>
      <c r="B326" s="22" t="s">
        <v>11</v>
      </c>
      <c r="C326" s="23" t="s">
        <v>1747</v>
      </c>
      <c r="D326" s="24" t="str">
        <f t="shared" si="8"/>
        <v>Osi.TemplateAddTo("52640540-c541-413d-8606-d0c83d670fe2", GetHostCharacter(), 1, 1);</v>
      </c>
    </row>
    <row r="327">
      <c r="A327" s="21" t="str">
        <f>HYPERLINK("https://bg3.wiki/wiki/Pork_Shoulder", "Pork Shoulder")</f>
        <v>Pork Shoulder</v>
      </c>
      <c r="B327" s="22" t="s">
        <v>11</v>
      </c>
      <c r="C327" s="23" t="s">
        <v>1748</v>
      </c>
      <c r="D327" s="24" t="str">
        <f t="shared" si="8"/>
        <v>Osi.TemplateAddTo("9981e7b4-13ff-42ff-8078-023396fc2221", GetHostCharacter(), 1, 1);</v>
      </c>
    </row>
    <row r="328">
      <c r="A328" s="21" t="str">
        <f>HYPERLINK("https://bg3.wiki/wiki/Potato", "Potato")</f>
        <v>Potato</v>
      </c>
      <c r="B328" s="22" t="s">
        <v>11</v>
      </c>
      <c r="C328" s="23" t="s">
        <v>1749</v>
      </c>
      <c r="D328" s="24" t="str">
        <f t="shared" si="8"/>
        <v>Osi.TemplateAddTo("d881ea26-7210-437f-a449-74e23f8a1301", GetHostCharacter(), 1, 1);</v>
      </c>
    </row>
    <row r="329">
      <c r="A329" s="21" t="str">
        <f>HYPERLINK("https://bg3.wiki/wiki/Potato_Porridge", "Potato Porridge")</f>
        <v>Potato Porridge</v>
      </c>
      <c r="B329" s="22" t="s">
        <v>11</v>
      </c>
      <c r="C329" s="23" t="s">
        <v>1750</v>
      </c>
      <c r="D329" s="24" t="str">
        <f t="shared" si="8"/>
        <v>Osi.TemplateAddTo("d3635b1b-4898-4eaa-8042-1aadfd7b56a7", GetHostCharacter(), 1, 1);</v>
      </c>
    </row>
    <row r="330">
      <c r="A330" s="21" t="str">
        <f>HYPERLINK("https://bg3.wiki/wiki/Potato_Scone_Platter", "Potato Scone Platter")</f>
        <v>Potato Scone Platter</v>
      </c>
      <c r="B330" s="22" t="s">
        <v>11</v>
      </c>
      <c r="C330" s="23" t="s">
        <v>1751</v>
      </c>
      <c r="D330" s="24" t="str">
        <f t="shared" si="8"/>
        <v>Osi.TemplateAddTo("f59f02dd-245b-473d-a401-80de43e207a4", GetHostCharacter(), 1, 1);</v>
      </c>
    </row>
    <row r="331">
      <c r="A331" s="21" t="str">
        <f>HYPERLINK("https://bg3.wiki/wiki/Potato_Wedges", "Potato Wedges")</f>
        <v>Potato Wedges</v>
      </c>
      <c r="B331" s="22" t="s">
        <v>11</v>
      </c>
      <c r="C331" s="23" t="s">
        <v>1752</v>
      </c>
      <c r="D331" s="24" t="str">
        <f t="shared" si="8"/>
        <v>Osi.TemplateAddTo("bc2543fc-da0f-423a-9607-27f410c14c27", GetHostCharacter(), 1, 1);</v>
      </c>
    </row>
    <row r="332">
      <c r="A332" s="21" t="str">
        <f>HYPERLINK("https://bg3.wiki/wiki/Poutine", "Poutine")</f>
        <v>Poutine</v>
      </c>
      <c r="B332" s="22" t="s">
        <v>11</v>
      </c>
      <c r="C332" s="23" t="s">
        <v>1753</v>
      </c>
      <c r="D332" s="24" t="str">
        <f t="shared" si="8"/>
        <v>Osi.TemplateAddTo("a845453d-5078-479d-9ec4-d7953e6da8c9", GetHostCharacter(), 1, 1);</v>
      </c>
    </row>
    <row r="333">
      <c r="A333" s="21" t="str">
        <f>HYPERLINK("https://bg3.wiki/wiki/Puff_Pastry_Braid", "Puff Pastry Braid")</f>
        <v>Puff Pastry Braid</v>
      </c>
      <c r="B333" s="22" t="s">
        <v>11</v>
      </c>
      <c r="C333" s="23" t="s">
        <v>1754</v>
      </c>
      <c r="D333" s="24" t="str">
        <f t="shared" si="8"/>
        <v>Osi.TemplateAddTo("99921c5b-5e58-4ff6-aeac-1e17f3861d96", GetHostCharacter(), 1, 1);</v>
      </c>
    </row>
    <row r="334">
      <c r="A334" s="21" t="str">
        <f>HYPERLINK("https://bg3.wiki/wiki/Pumpkin", "Pumpkin")</f>
        <v>Pumpkin</v>
      </c>
      <c r="B334" s="22" t="s">
        <v>11</v>
      </c>
      <c r="C334" s="23" t="s">
        <v>1755</v>
      </c>
      <c r="D334" s="24" t="str">
        <f t="shared" si="8"/>
        <v>Osi.TemplateAddTo("4a243e31-87aa-4490-b42f-a0403caf0230", GetHostCharacter(), 1, 1);</v>
      </c>
    </row>
    <row r="335">
      <c r="A335" s="21" t="str">
        <f>HYPERLINK("https://bg3.wiki/wiki/Pumpkin_Soup", "Pumpkin Soup")</f>
        <v>Pumpkin Soup</v>
      </c>
      <c r="B335" s="22" t="s">
        <v>11</v>
      </c>
      <c r="C335" s="23" t="s">
        <v>1756</v>
      </c>
      <c r="D335" s="24" t="str">
        <f t="shared" si="8"/>
        <v>Osi.TemplateAddTo("5d20cf53-e360-440f-b2b1-9eddf40eb1ce", GetHostCharacter(), 1, 1);</v>
      </c>
    </row>
    <row r="336">
      <c r="A336" s="21" t="str">
        <f>HYPERLINK("https://bg3.wiki/wiki/Purple_Grapes", "Purple Grapes")</f>
        <v>Purple Grapes</v>
      </c>
      <c r="B336" s="22" t="s">
        <v>11</v>
      </c>
      <c r="C336" s="23" t="s">
        <v>1757</v>
      </c>
      <c r="D336" s="24" t="str">
        <f t="shared" si="8"/>
        <v>Osi.TemplateAddTo("cd170c54-9c3e-48b7-9a86-94dfd1ad09c9", GetHostCharacter(), 1, 1);</v>
      </c>
    </row>
    <row r="337">
      <c r="A337" s="21" t="str">
        <f>HYPERLINK("https://bg3.wiki/wiki/Raspberry", "Raspberry")</f>
        <v>Raspberry</v>
      </c>
      <c r="B337" s="22" t="s">
        <v>11</v>
      </c>
      <c r="C337" s="23" t="s">
        <v>1758</v>
      </c>
      <c r="D337" s="24" t="str">
        <f t="shared" si="8"/>
        <v>Osi.TemplateAddTo("b0943b65-5766-414a-903d-28de8790370a", GetHostCharacter(), 1, 1);</v>
      </c>
    </row>
    <row r="338">
      <c r="A338" s="21" t="str">
        <f>HYPERLINK("https://bg3.wiki/wiki/Raw_Steak", "Raw Steak")</f>
        <v>Raw Steak</v>
      </c>
      <c r="B338" s="22" t="s">
        <v>11</v>
      </c>
      <c r="C338" s="23" t="s">
        <v>1759</v>
      </c>
      <c r="D338" s="24" t="str">
        <f t="shared" si="8"/>
        <v>Osi.TemplateAddTo("caf51333-338f-41f1-8cf9-3474dad331d4", GetHostCharacter(), 1, 1);</v>
      </c>
    </row>
    <row r="339">
      <c r="A339" s="21" t="str">
        <f>HYPERLINK("https://bg3.wiki/wiki/Red_Apple", "Red Apple")</f>
        <v>Red Apple</v>
      </c>
      <c r="B339" s="22" t="s">
        <v>11</v>
      </c>
      <c r="C339" s="23" t="s">
        <v>1760</v>
      </c>
      <c r="D339" s="24" t="str">
        <f t="shared" si="8"/>
        <v>Osi.TemplateAddTo("e8bbe73a-e1dc-4d2e-910f-318db7aee382", GetHostCharacter(), 1, 1);</v>
      </c>
    </row>
    <row r="340">
      <c r="A340" s="21" t="str">
        <f>HYPERLINK("https://bg3.wiki/wiki/Red_Pepper", "Red Pepper")</f>
        <v>Red Pepper</v>
      </c>
      <c r="B340" s="22" t="s">
        <v>11</v>
      </c>
      <c r="C340" s="23" t="s">
        <v>1761</v>
      </c>
      <c r="D340" s="24" t="str">
        <f t="shared" si="8"/>
        <v>Osi.TemplateAddTo("56cb4280-8c36-4b16-9852-834e45942ae0", GetHostCharacter(), 1, 1);</v>
      </c>
    </row>
    <row r="341">
      <c r="A341" s="21" t="str">
        <f>HYPERLINK("https://bg3.wiki/wiki/Roast_Beef_Joint", "Roast Beef Joint")</f>
        <v>Roast Beef Joint</v>
      </c>
      <c r="B341" s="22" t="s">
        <v>11</v>
      </c>
      <c r="C341" s="23" t="s">
        <v>1762</v>
      </c>
      <c r="D341" s="24" t="str">
        <f t="shared" si="8"/>
        <v>Osi.TemplateAddTo("001376e1-2f21-4306-b510-0be29fa4941d", GetHostCharacter(), 1, 1);</v>
      </c>
    </row>
    <row r="342">
      <c r="A342" s="21" t="str">
        <f>HYPERLINK("https://bg3.wiki/wiki/Roast_Pork", "Roast Pork")</f>
        <v>Roast Pork</v>
      </c>
      <c r="B342" s="22" t="s">
        <v>11</v>
      </c>
      <c r="C342" s="23" t="s">
        <v>1763</v>
      </c>
      <c r="D342" s="24" t="str">
        <f t="shared" si="8"/>
        <v>Osi.TemplateAddTo("a6848154-bc81-44fa-a344-8dbd020b16ae", GetHostCharacter(), 1, 1);</v>
      </c>
    </row>
    <row r="343">
      <c r="A343" s="21" t="str">
        <f>HYPERLINK("https://bg3.wiki/wiki/Roast_Turkey", "Roast Turkey")</f>
        <v>Roast Turkey</v>
      </c>
      <c r="B343" s="22" t="s">
        <v>11</v>
      </c>
      <c r="C343" s="23" t="s">
        <v>1764</v>
      </c>
      <c r="D343" s="24" t="str">
        <f t="shared" si="8"/>
        <v>Osi.TemplateAddTo("cdbd82e1-c092-487a-8e5d-d1f0a48c002b", GetHostCharacter(), 1, 1);</v>
      </c>
    </row>
    <row r="344">
      <c r="A344" s="21" t="str">
        <f>HYPERLINK("https://bg3.wiki/wiki/Roughly-Cut_Ham", "Roughly-Cut Ham")</f>
        <v>Roughly-Cut Ham</v>
      </c>
      <c r="B344" s="22" t="s">
        <v>11</v>
      </c>
      <c r="C344" s="23" t="s">
        <v>1765</v>
      </c>
      <c r="D344" s="24" t="str">
        <f t="shared" si="8"/>
        <v>Osi.TemplateAddTo("34c17e49-cdbe-4939-9e01-92453a203fbf", GetHostCharacter(), 1, 1);</v>
      </c>
    </row>
    <row r="345">
      <c r="A345" s="21" t="str">
        <f>HYPERLINK("https://bg3.wiki/wiki/Salami", "Salami")</f>
        <v>Salami</v>
      </c>
      <c r="B345" s="22" t="s">
        <v>11</v>
      </c>
      <c r="C345" s="23" t="s">
        <v>48</v>
      </c>
      <c r="D345" s="24" t="str">
        <f t="shared" si="8"/>
        <v>Osi.TemplateAddTo("e082f373-81ec-4f4b-818b-9ee86952e2fa", GetHostCharacter(), 1, 1);</v>
      </c>
    </row>
    <row r="346">
      <c r="A346" s="21" t="str">
        <f>HYPERLINK("https://bg3.wiki/wiki/Salmon_Pie", "Salmon Pie")</f>
        <v>Salmon Pie</v>
      </c>
      <c r="B346" s="22" t="s">
        <v>11</v>
      </c>
      <c r="C346" s="23" t="s">
        <v>1766</v>
      </c>
      <c r="D346" s="24" t="str">
        <f t="shared" si="8"/>
        <v>Osi.TemplateAddTo("8a039e47-d991-4808-a3ea-148f0c55f976", GetHostCharacter(), 1, 1);</v>
      </c>
    </row>
    <row r="347">
      <c r="A347" s="21" t="str">
        <f>HYPERLINK("https://bg3.wiki/wiki/Seafood_Bouillabaisse", "Seafood Bouillabaisse")</f>
        <v>Seafood Bouillabaisse</v>
      </c>
      <c r="B347" s="22" t="s">
        <v>11</v>
      </c>
      <c r="C347" s="23" t="s">
        <v>1767</v>
      </c>
      <c r="D347" s="24" t="str">
        <f t="shared" si="8"/>
        <v>Osi.TemplateAddTo("926f9e2e-2852-4362-a051-ea6eddac29a4", GetHostCharacter(), 1, 1);</v>
      </c>
    </row>
    <row r="348">
      <c r="A348" s="21" t="str">
        <f>HYPERLINK("https://bg3.wiki/wiki/Sourdough_Bread", "Sourdough Bread")</f>
        <v>Sourdough Bread</v>
      </c>
      <c r="B348" s="22" t="s">
        <v>11</v>
      </c>
      <c r="C348" s="23" t="s">
        <v>1768</v>
      </c>
      <c r="D348" s="24" t="str">
        <f t="shared" si="8"/>
        <v>Osi.TemplateAddTo("e9e7db6c-d210-4dc4-ab0e-8458a506d0cc", GetHostCharacter(), 1, 1);</v>
      </c>
    </row>
    <row r="349">
      <c r="A349" s="21" t="str">
        <f>HYPERLINK("https://bg3.wiki/wiki/Spicy_Pork_Sausage", "Spicy Pork Sausage")</f>
        <v>Spicy Pork Sausage</v>
      </c>
      <c r="B349" s="22" t="s">
        <v>11</v>
      </c>
      <c r="C349" s="23" t="s">
        <v>1769</v>
      </c>
      <c r="D349" s="24" t="str">
        <f t="shared" si="8"/>
        <v>Osi.TemplateAddTo("005ee9c5-23d0-41e6-b4d7-cff4570bc5b5", GetHostCharacter(), 1, 1);</v>
      </c>
    </row>
    <row r="350">
      <c r="A350" s="21" t="str">
        <f>HYPERLINK("https://bg3.wiki/wiki/Spicy_Sausage_Links", "Spicy Sausage Links")</f>
        <v>Spicy Sausage Links</v>
      </c>
      <c r="B350" s="22" t="s">
        <v>11</v>
      </c>
      <c r="C350" s="23" t="s">
        <v>1770</v>
      </c>
      <c r="D350" s="24" t="str">
        <f t="shared" si="8"/>
        <v>Osi.TemplateAddTo("e044aa11-73ed-46b2-a202-e73e187c5c98", GetHostCharacter(), 1, 1);</v>
      </c>
    </row>
    <row r="351">
      <c r="A351" s="21" t="str">
        <f>HYPERLINK("https://bg3.wiki/wiki/Spicy_Shrimp_Soup", "Spicy Shrimp Soup")</f>
        <v>Spicy Shrimp Soup</v>
      </c>
      <c r="B351" s="22" t="s">
        <v>11</v>
      </c>
      <c r="C351" s="23" t="s">
        <v>1771</v>
      </c>
      <c r="D351" s="24" t="str">
        <f t="shared" si="8"/>
        <v>Osi.TemplateAddTo("4e43d7ec-8bc2-44b5-8c75-3dc6e6ee0bf0", GetHostCharacter(), 1, 1);</v>
      </c>
    </row>
    <row r="352">
      <c r="A352" s="21" t="str">
        <f>HYPERLINK("https://bg3.wiki/wiki/Spilled_Mashed_Potatoes", "Spilled Mashed Potatoes")</f>
        <v>Spilled Mashed Potatoes</v>
      </c>
      <c r="B352" s="22" t="s">
        <v>11</v>
      </c>
      <c r="C352" s="23" t="s">
        <v>1772</v>
      </c>
      <c r="D352" s="24" t="str">
        <f t="shared" si="8"/>
        <v>Osi.TemplateAddTo("0c2326a3-e01a-40f4-ab46-090fa4e812c6", GetHostCharacter(), 1, 1);</v>
      </c>
    </row>
    <row r="353">
      <c r="A353" s="21" t="str">
        <f>HYPERLINK("https://bg3.wiki/wiki/Split_Pea_Soup", "Split Pea Soup")</f>
        <v>Split Pea Soup</v>
      </c>
      <c r="B353" s="22" t="s">
        <v>11</v>
      </c>
      <c r="C353" s="23" t="s">
        <v>1773</v>
      </c>
      <c r="D353" s="24" t="str">
        <f t="shared" si="8"/>
        <v>Osi.TemplateAddTo("aaece7bf-7210-4ae0-8162-d0f6484b2aa8", GetHostCharacter(), 1, 1);</v>
      </c>
    </row>
    <row r="354">
      <c r="A354" s="21" t="str">
        <f>HYPERLINK("https://bg3.wiki/wiki/Stale_Bread", "Stale Bread")</f>
        <v>Stale Bread</v>
      </c>
      <c r="B354" s="22" t="s">
        <v>11</v>
      </c>
      <c r="C354" s="23" t="s">
        <v>1774</v>
      </c>
      <c r="D354" s="24" t="str">
        <f t="shared" si="8"/>
        <v>Osi.TemplateAddTo("363a11bf-9209-4614-9947-e49de5d0bf58", GetHostCharacter(), 1, 1);</v>
      </c>
    </row>
    <row r="355">
      <c r="A355" s="21" t="str">
        <f>HYPERLINK("https://bg3.wiki/wiki/Stout_Stew", "Stout Stew")</f>
        <v>Stout Stew</v>
      </c>
      <c r="B355" s="22" t="s">
        <v>11</v>
      </c>
      <c r="C355" s="23" t="s">
        <v>1775</v>
      </c>
      <c r="D355" s="24" t="str">
        <f t="shared" si="8"/>
        <v>Osi.TemplateAddTo("d2f718aa-3b3e-474c-85d2-7bf05a9b2edb", GetHostCharacter(), 1, 1);</v>
      </c>
    </row>
    <row r="356">
      <c r="A356" s="21" t="str">
        <f>HYPERLINK("https://bg3.wiki/wiki/Succulent_Pear", "Succulent Pear")</f>
        <v>Succulent Pear</v>
      </c>
      <c r="B356" s="22" t="s">
        <v>11</v>
      </c>
      <c r="C356" s="23" t="s">
        <v>1776</v>
      </c>
      <c r="D356" s="24" t="str">
        <f t="shared" si="8"/>
        <v>Osi.TemplateAddTo("7b3d0c97-9b8a-4e72-bb3d-da0c1d020087", GetHostCharacter(), 1, 1);</v>
      </c>
    </row>
    <row r="357">
      <c r="A357" s="21" t="str">
        <f>HYPERLINK("https://bg3.wiki/wiki/Sun-Dappled_Paella", "Sun-Dappled Paella")</f>
        <v>Sun-Dappled Paella</v>
      </c>
      <c r="B357" s="22" t="s">
        <v>11</v>
      </c>
      <c r="C357" s="23" t="s">
        <v>1777</v>
      </c>
      <c r="D357" s="24" t="str">
        <f t="shared" si="8"/>
        <v>Osi.TemplateAddTo("910f4e5c-cba9-43f1-a28a-664c52b53a3c", GetHostCharacter(), 1, 1);</v>
      </c>
    </row>
    <row r="358">
      <c r="A358" s="21" t="str">
        <f>HYPERLINK("https://bg3.wiki/wiki/Sunflower_Seed_Bun", "Sunflower Seed Bun")</f>
        <v>Sunflower Seed Bun</v>
      </c>
      <c r="B358" s="22" t="s">
        <v>11</v>
      </c>
      <c r="C358" s="23" t="s">
        <v>1778</v>
      </c>
      <c r="D358" s="24" t="str">
        <f t="shared" si="8"/>
        <v>Osi.TemplateAddTo("cc4b1203-b8cc-4eea-9d2f-956ec3bfb381", GetHostCharacter(), 1, 1);</v>
      </c>
    </row>
    <row r="359">
      <c r="A359" s="21" t="str">
        <f>HYPERLINK("https://bg3.wiki/wiki/Sunmelon", "Sunmelon")</f>
        <v>Sunmelon</v>
      </c>
      <c r="B359" s="22" t="s">
        <v>11</v>
      </c>
      <c r="C359" s="23" t="s">
        <v>1779</v>
      </c>
      <c r="D359" s="24" t="str">
        <f t="shared" si="8"/>
        <v>Osi.TemplateAddTo("463425df-d49f-4173-8146-0c66106cfe9d", GetHostCharacter(), 1, 1);</v>
      </c>
    </row>
    <row r="360">
      <c r="A360" s="21" t="str">
        <f>HYPERLINK("https://bg3.wiki/wiki/Sunmelon_Half", "Sunmelon Half")</f>
        <v>Sunmelon Half</v>
      </c>
      <c r="B360" s="22" t="s">
        <v>11</v>
      </c>
      <c r="C360" s="23" t="s">
        <v>1780</v>
      </c>
      <c r="D360" s="24" t="str">
        <f t="shared" si="8"/>
        <v>Osi.TemplateAddTo("442dabe3-2c52-47ce-b669-33766564b3cc", GetHostCharacter(), 1, 1);</v>
      </c>
    </row>
    <row r="361">
      <c r="A361" s="21" t="str">
        <f>HYPERLINK("https://bg3.wiki/wiki/Sunmelon_Piece", "Sunmelon Piece")</f>
        <v>Sunmelon Piece</v>
      </c>
      <c r="B361" s="22" t="s">
        <v>11</v>
      </c>
      <c r="C361" s="23" t="s">
        <v>1781</v>
      </c>
      <c r="D361" s="24" t="str">
        <f t="shared" si="8"/>
        <v>Osi.TemplateAddTo("263a6645-fd3f-490d-8dec-744baca37cd2", GetHostCharacter(), 1, 1);</v>
      </c>
    </row>
    <row r="362">
      <c r="A362" s="21" t="str">
        <f>HYPERLINK("https://bg3.wiki/wiki/Supply_Pack", "Supply Pack")</f>
        <v>Supply Pack</v>
      </c>
      <c r="B362" s="22" t="s">
        <v>11</v>
      </c>
      <c r="C362" s="23" t="s">
        <v>12</v>
      </c>
      <c r="D362" s="24" t="str">
        <f t="shared" si="8"/>
        <v>Osi.TemplateAddTo("398e7328-ce90-4c02-94a2-93341fac499a", GetHostCharacter(), 1, 1);</v>
      </c>
    </row>
    <row r="363">
      <c r="A363" s="21" t="str">
        <f>HYPERLINK("https://bg3.wiki/wiki/Suspicious_Meat", "Suspicious Meat")</f>
        <v>Suspicious Meat</v>
      </c>
      <c r="B363" s="22" t="s">
        <v>11</v>
      </c>
      <c r="C363" s="23" t="s">
        <v>1782</v>
      </c>
      <c r="D363" s="24" t="str">
        <f t="shared" si="8"/>
        <v>Osi.TemplateAddTo("f57ad063-af4c-411c-9c91-9ca02cd57dd4", GetHostCharacter(), 1, 1);</v>
      </c>
    </row>
    <row r="364">
      <c r="A364" s="21" t="str">
        <f>HYPERLINK("https://bg3.wiki/wiki/Sweet_Potato", "Sweet Potato")</f>
        <v>Sweet Potato</v>
      </c>
      <c r="B364" s="22" t="s">
        <v>11</v>
      </c>
      <c r="C364" s="23" t="s">
        <v>1783</v>
      </c>
      <c r="D364" s="24" t="str">
        <f t="shared" si="8"/>
        <v>Osi.TemplateAddTo("595b4ec3-79ff-48f4-a1b8-c5410067df4c", GetHostCharacter(), 1, 1);</v>
      </c>
    </row>
    <row r="365">
      <c r="A365" s="21" t="str">
        <f>HYPERLINK("https://bg3.wiki/wiki/Tea", "Tea")</f>
        <v>Tea</v>
      </c>
      <c r="B365" s="22" t="s">
        <v>11</v>
      </c>
      <c r="C365" s="23" t="s">
        <v>1784</v>
      </c>
      <c r="D365" s="24" t="str">
        <f t="shared" si="8"/>
        <v>Osi.TemplateAddTo("2632cd60-bf42-49d4-88db-09308d030383", GetHostCharacter(), 1, 1);</v>
      </c>
    </row>
    <row r="366">
      <c r="A366" s="21" t="str">
        <f>HYPERLINK("https://bg3.wiki/wiki/Tomato", "Tomato")</f>
        <v>Tomato</v>
      </c>
      <c r="B366" s="22" t="s">
        <v>11</v>
      </c>
      <c r="C366" s="23" t="s">
        <v>1785</v>
      </c>
      <c r="D366" s="24" t="str">
        <f t="shared" si="8"/>
        <v>Osi.TemplateAddTo("27e3719a-884a-4739-a3f4-0850623c623b", GetHostCharacter(), 1, 1);</v>
      </c>
    </row>
    <row r="367">
      <c r="A367" s="21" t="str">
        <f>HYPERLINK("https://bg3.wiki/wiki/Treacle_Tart", "Treacle Tart")</f>
        <v>Treacle Tart</v>
      </c>
      <c r="B367" s="22" t="s">
        <v>11</v>
      </c>
      <c r="C367" s="23" t="s">
        <v>1786</v>
      </c>
      <c r="D367" s="24" t="str">
        <f t="shared" si="8"/>
        <v>Osi.TemplateAddTo("80e17dfc-f29e-4149-9c91-7b617efb0c77", GetHostCharacter(), 1, 1);</v>
      </c>
    </row>
    <row r="368">
      <c r="A368" s="21" t="str">
        <f>HYPERLINK("https://bg3.wiki/wiki/Turnip", "Turnip")</f>
        <v>Turnip</v>
      </c>
      <c r="B368" s="22" t="s">
        <v>11</v>
      </c>
      <c r="C368" s="23" t="s">
        <v>1787</v>
      </c>
      <c r="D368" s="24" t="str">
        <f t="shared" si="8"/>
        <v>Osi.TemplateAddTo("970d24e1-7e3f-4534-9b65-980ec1759b4e", GetHostCharacter(), 1, 1);</v>
      </c>
    </row>
    <row r="369">
      <c r="A369" s="21" t="str">
        <f>HYPERLINK("https://bg3.wiki/wiki/Vegetable_Broth", "Vegetable Broth")</f>
        <v>Vegetable Broth</v>
      </c>
      <c r="B369" s="22" t="s">
        <v>11</v>
      </c>
      <c r="C369" s="23" t="s">
        <v>1788</v>
      </c>
      <c r="D369" s="24" t="str">
        <f t="shared" si="8"/>
        <v>Osi.TemplateAddTo("87c1c0ef-3e73-4ab8-ac1e-7817d5dbb50d", GetHostCharacter(), 1, 1);</v>
      </c>
    </row>
    <row r="370">
      <c r="A370" s="21" t="str">
        <f>HYPERLINK("https://bg3.wiki/wiki/Vegetable_Soup", "Vegetable Soup")</f>
        <v>Vegetable Soup</v>
      </c>
      <c r="B370" s="22" t="s">
        <v>11</v>
      </c>
      <c r="C370" s="23" t="s">
        <v>1789</v>
      </c>
      <c r="D370" s="24" t="str">
        <f t="shared" si="8"/>
        <v>Osi.TemplateAddTo("cc8d243c-8483-4430-9ba0-b1ffca792314", GetHostCharacter(), 1, 1);</v>
      </c>
    </row>
    <row r="371">
      <c r="A371" s="21" t="str">
        <f>HYPERLINK("https://bg3.wiki/wiki/Walnut", "Walnut")</f>
        <v>Walnut</v>
      </c>
      <c r="B371" s="22" t="s">
        <v>11</v>
      </c>
      <c r="C371" s="23" t="s">
        <v>1790</v>
      </c>
      <c r="D371" s="24" t="str">
        <f t="shared" si="8"/>
        <v>Osi.TemplateAddTo("894e64ad-3d0c-4ef7-8cb0-8a130bc37561", GetHostCharacter(), 1, 1);</v>
      </c>
    </row>
    <row r="372">
      <c r="A372" s="21" t="str">
        <f>HYPERLINK("https://bg3.wiki/wiki/Waterdhavian_Cheese_Wedge", "Waterdhavian Cheese Wedge")</f>
        <v>Waterdhavian Cheese Wedge</v>
      </c>
      <c r="B372" s="22" t="s">
        <v>11</v>
      </c>
      <c r="C372" s="23" t="s">
        <v>1791</v>
      </c>
      <c r="D372" s="24" t="str">
        <f t="shared" si="8"/>
        <v>Osi.TemplateAddTo("06474f97-0dd0-45e6-8db8-5f75009bf336", GetHostCharacter(), 1, 1);</v>
      </c>
    </row>
    <row r="373">
      <c r="A373" s="21" t="str">
        <f>HYPERLINK("https://bg3.wiki/wiki/Waterdhavian_Cheese_Wheel", "Waterdhavian Cheese Wheel")</f>
        <v>Waterdhavian Cheese Wheel</v>
      </c>
      <c r="B373" s="22" t="s">
        <v>11</v>
      </c>
      <c r="C373" s="23" t="s">
        <v>1792</v>
      </c>
      <c r="D373" s="24" t="str">
        <f t="shared" si="8"/>
        <v>Osi.TemplateAddTo("8cca8f05-63b2-4bff-8494-9609bf29af66", GetHostCharacter(), 1, 1);</v>
      </c>
    </row>
    <row r="374">
      <c r="A374" s="61" t="str">
        <f>HYPERLINK("https://bg3.wiki/wiki/White_Bread", "White Bread")</f>
        <v>White Bread</v>
      </c>
      <c r="B374" s="22" t="s">
        <v>11</v>
      </c>
      <c r="C374" s="23" t="s">
        <v>1793</v>
      </c>
      <c r="D374" s="24" t="str">
        <f t="shared" si="8"/>
        <v>Osi.TemplateAddTo("d4c6879f-7042-4f1a-9fd7-3c7a1092a79a", GetHostCharacter(), 1, 1);</v>
      </c>
    </row>
    <row r="375">
      <c r="A375" s="61" t="str">
        <f>HYPERLINK("https://bg3.wiki/wiki/White_Mushroom", "White Mushroom")</f>
        <v>White Mushroom</v>
      </c>
      <c r="B375" s="22" t="s">
        <v>11</v>
      </c>
      <c r="C375" s="23" t="s">
        <v>1794</v>
      </c>
      <c r="D375" s="24" t="str">
        <f t="shared" si="8"/>
        <v>Osi.TemplateAddTo("cd3920b3-1706-4d34-9982-7dd2ad8e67b6", GetHostCharacter(), 1, 1);</v>
      </c>
    </row>
    <row r="376">
      <c r="A376" s="76" t="str">
        <f>HYPERLINK("https://bg3.wiki/wiki/Whole_Chicken", "Whole Chicken")</f>
        <v>Whole Chicken</v>
      </c>
      <c r="B376" s="39" t="s">
        <v>11</v>
      </c>
      <c r="C376" s="40" t="s">
        <v>1795</v>
      </c>
      <c r="D376" s="41" t="str">
        <f t="shared" si="8"/>
        <v>Osi.TemplateAddTo("96d05ed7-d2ed-45c2-aea5-1d5f940aa29b", GetHostCharacter(), 1, 1);</v>
      </c>
    </row>
    <row r="377">
      <c r="A377" s="22"/>
      <c r="B377" s="22"/>
      <c r="C377" s="23"/>
      <c r="D377" s="22"/>
    </row>
    <row r="378">
      <c r="A378" s="22" t="s">
        <v>1796</v>
      </c>
      <c r="B378" s="22"/>
      <c r="C378" s="23"/>
      <c r="D378" s="22"/>
    </row>
    <row r="379">
      <c r="A379" s="77" t="s">
        <v>7</v>
      </c>
      <c r="B379" s="78" t="s">
        <v>8</v>
      </c>
      <c r="C379" s="78" t="s">
        <v>9</v>
      </c>
      <c r="D379" s="79" t="s">
        <v>10</v>
      </c>
      <c r="E379" s="37"/>
    </row>
    <row r="380">
      <c r="A380" s="21" t="str">
        <f>HYPERLINK("https://bg3.wiki/wiki/Amnian_Dessert_Wine", "Amnian Dessert Wine")</f>
        <v>Amnian Dessert Wine</v>
      </c>
      <c r="B380" s="22" t="s">
        <v>11</v>
      </c>
      <c r="C380" s="23" t="s">
        <v>1797</v>
      </c>
      <c r="D380" s="24" t="str">
        <f t="shared" ref="D380:D417" si="9">"Osi.TemplateAddTo("""&amp; C380 &amp;""", GetHostCharacter(), 1, 1);"</f>
        <v>Osi.TemplateAddTo("2553da92-6bc7-4dc7-bbf9-7f1ac6d82b28", GetHostCharacter(), 1, 1);</v>
      </c>
    </row>
    <row r="381">
      <c r="A381" s="21" t="str">
        <f>HYPERLINK("https://bg3.wiki/wiki/Arabellan_Dry", "Arabellan Dry")</f>
        <v>Arabellan Dry</v>
      </c>
      <c r="B381" s="22" t="s">
        <v>11</v>
      </c>
      <c r="C381" s="23" t="s">
        <v>1798</v>
      </c>
      <c r="D381" s="24" t="str">
        <f t="shared" si="9"/>
        <v>Osi.TemplateAddTo("ae82c350-9224-4978-ac27-c31b13b5a7ad", GetHostCharacter(), 1, 1);</v>
      </c>
    </row>
    <row r="382">
      <c r="A382" s="21" t="str">
        <f>HYPERLINK("https://bg3.wiki/wiki/Arkhen%27s_Hoard", "Arkhen's Hoard")</f>
        <v>Arkhen's Hoard</v>
      </c>
      <c r="B382" s="22" t="s">
        <v>11</v>
      </c>
      <c r="C382" s="23" t="s">
        <v>1799</v>
      </c>
      <c r="D382" s="24" t="str">
        <f t="shared" si="9"/>
        <v>Osi.TemplateAddTo("870caf9b-f767-4264-9d0a-2c3a88dc0565", GetHostCharacter(), 1, 1);</v>
      </c>
    </row>
    <row r="383">
      <c r="A383" s="21" t="str">
        <f>HYPERLINK("https://bg3.wiki/wiki/Ashaba_Dusk", "Ashaba Dusk")</f>
        <v>Ashaba Dusk</v>
      </c>
      <c r="B383" s="22" t="s">
        <v>11</v>
      </c>
      <c r="C383" s="23" t="s">
        <v>1800</v>
      </c>
      <c r="D383" s="24" t="str">
        <f t="shared" si="9"/>
        <v>Osi.TemplateAddTo("2bfa8ee0-33ef-4fd6-9262-436b5bb0d3ff", GetHostCharacter(), 1, 1);</v>
      </c>
    </row>
    <row r="384">
      <c r="A384" s="21" t="str">
        <f>HYPERLINK("https://bg3.wiki/wiki/Baalor_Ale", "Baalor Ale")</f>
        <v>Baalor Ale</v>
      </c>
      <c r="B384" s="22" t="s">
        <v>11</v>
      </c>
      <c r="C384" s="23" t="s">
        <v>1801</v>
      </c>
      <c r="D384" s="24" t="str">
        <f t="shared" si="9"/>
        <v>Osi.TemplateAddTo("9f5b8cd1-ef04-4f33-ba82-27eaa6b4a123", GetHostCharacter(), 1, 1);</v>
      </c>
    </row>
    <row r="385">
      <c r="A385" s="21" t="str">
        <f>HYPERLINK("https://bg3.wiki/wiki/Baldur%27s_Grape", "Baldur's Grape")</f>
        <v>Baldur's Grape</v>
      </c>
      <c r="B385" s="22" t="s">
        <v>11</v>
      </c>
      <c r="C385" s="23" t="s">
        <v>1802</v>
      </c>
      <c r="D385" s="24" t="str">
        <f t="shared" si="9"/>
        <v>Osi.TemplateAddTo("75ec6992-b6a7-4435-b373-8b298fe68e28", GetHostCharacter(), 1, 1);</v>
      </c>
    </row>
    <row r="386">
      <c r="A386" s="21" t="str">
        <f>HYPERLINK("https://bg3.wiki/wiki/Barrel-Aged_Callidyrran", "Barrel-Aged Callidyrran")</f>
        <v>Barrel-Aged Callidyrran</v>
      </c>
      <c r="B386" s="22" t="s">
        <v>11</v>
      </c>
      <c r="C386" s="23" t="s">
        <v>1803</v>
      </c>
      <c r="D386" s="24" t="str">
        <f t="shared" si="9"/>
        <v>Osi.TemplateAddTo("159b7414-2eff-4ae3-92f6-89e99cd87f50", GetHostCharacter(), 1, 1);</v>
      </c>
    </row>
    <row r="387">
      <c r="A387" s="21" t="str">
        <f>HYPERLINK("https://bg3.wiki/wiki/Blackstaff", "Blackstaff")</f>
        <v>Blackstaff</v>
      </c>
      <c r="B387" s="22" t="s">
        <v>11</v>
      </c>
      <c r="C387" s="23" t="s">
        <v>1804</v>
      </c>
      <c r="D387" s="24" t="str">
        <f t="shared" si="9"/>
        <v>Osi.TemplateAddTo("e4360d5a-a922-4411-bf45-1cc4e45f3969", GetHostCharacter(), 1, 1);</v>
      </c>
    </row>
    <row r="388">
      <c r="A388" s="21" t="str">
        <f>HYPERLINK("https://bg3.wiki/wiki/Blingdenstone_Blush", "Blingdenstone Blush")</f>
        <v>Blingdenstone Blush</v>
      </c>
      <c r="B388" s="22" t="s">
        <v>11</v>
      </c>
      <c r="C388" s="23" t="s">
        <v>1805</v>
      </c>
      <c r="D388" s="24" t="str">
        <f t="shared" si="9"/>
        <v>Osi.TemplateAddTo("ba0a465a-f438-41ca-93bc-dacd63421344", GetHostCharacter(), 1, 1);</v>
      </c>
    </row>
    <row r="389">
      <c r="A389" s="21" t="str">
        <f>HYPERLINK("https://bg3.wiki/wiki/Brass_City_Scrangle", "Brass City Scrangle")</f>
        <v>Brass City Scrangle</v>
      </c>
      <c r="B389" s="22" t="s">
        <v>11</v>
      </c>
      <c r="C389" s="23" t="s">
        <v>1806</v>
      </c>
      <c r="D389" s="24" t="str">
        <f t="shared" si="9"/>
        <v>Osi.TemplateAddTo("41b870c5-1c4b-4bcb-ae29-49b7b0ad6af5", GetHostCharacter(), 1, 1);</v>
      </c>
    </row>
    <row r="390">
      <c r="A390" s="21" t="str">
        <f>HYPERLINK("https://bg3.wiki/wiki/Carafe_of_Wine", "Carafe of Wine")</f>
        <v>Carafe of Wine</v>
      </c>
      <c r="B390" s="22" t="s">
        <v>11</v>
      </c>
      <c r="C390" s="23" t="s">
        <v>1807</v>
      </c>
      <c r="D390" s="24" t="str">
        <f t="shared" si="9"/>
        <v>Osi.TemplateAddTo("9cda864e-dbac-44e3-9fe2-0562815e1004", GetHostCharacter(), 1, 1);</v>
      </c>
    </row>
    <row r="391">
      <c r="A391" s="21" t="str">
        <f>HYPERLINK("https://bg3.wiki/wiki/Chultan_Fireswill", "Chultan Fireswill")</f>
        <v>Chultan Fireswill</v>
      </c>
      <c r="B391" s="22" t="s">
        <v>11</v>
      </c>
      <c r="C391" s="23" t="s">
        <v>1808</v>
      </c>
      <c r="D391" s="24" t="str">
        <f t="shared" si="9"/>
        <v>Osi.TemplateAddTo("f4ced9b8-6da3-4cd7-a3e0-a1a0d5058ec4", GetHostCharacter(), 1, 1);</v>
      </c>
    </row>
    <row r="392">
      <c r="A392" s="21" t="str">
        <f>HYPERLINK("https://bg3.wiki/wiki/Common_Table-Wine", "Common Table-Wine")</f>
        <v>Common Table-Wine</v>
      </c>
      <c r="B392" s="22" t="s">
        <v>11</v>
      </c>
      <c r="C392" s="23" t="s">
        <v>1809</v>
      </c>
      <c r="D392" s="24" t="str">
        <f t="shared" si="9"/>
        <v>Osi.TemplateAddTo("b6e4ab1f-6a0e-47fa-bc02-30a0b142bca6", GetHostCharacter(), 1, 1);</v>
      </c>
    </row>
    <row r="393">
      <c r="A393" s="21" t="str">
        <f>HYPERLINK("https://bg3.wiki/wiki/Eigersstor_Noblerot", "Eigersstor Noblerot")</f>
        <v>Eigersstor Noblerot</v>
      </c>
      <c r="B393" s="22" t="s">
        <v>11</v>
      </c>
      <c r="C393" s="23" t="s">
        <v>1810</v>
      </c>
      <c r="D393" s="24" t="str">
        <f t="shared" si="9"/>
        <v>Osi.TemplateAddTo("35bd53bc-cfdb-4c13-99e6-493f07216e9d", GetHostCharacter(), 1, 1);</v>
      </c>
    </row>
    <row r="394">
      <c r="A394" s="21" t="str">
        <f>HYPERLINK("https://bg3.wiki/wiki/Esmeltar_Red", "Esmeltar Red")</f>
        <v>Esmeltar Red</v>
      </c>
      <c r="B394" s="22" t="s">
        <v>11</v>
      </c>
      <c r="C394" s="23" t="s">
        <v>1811</v>
      </c>
      <c r="D394" s="24" t="str">
        <f t="shared" si="9"/>
        <v>Osi.TemplateAddTo("3525b96e-81ef-4411-960a-b1b305e139c6", GetHostCharacter(), 1, 1);</v>
      </c>
    </row>
    <row r="395">
      <c r="A395" s="21" t="str">
        <f>HYPERLINK("https://bg3.wiki/wiki/Farsea_Marshwine", "Farsea Marshwine")</f>
        <v>Farsea Marshwine</v>
      </c>
      <c r="B395" s="22" t="s">
        <v>11</v>
      </c>
      <c r="C395" s="23" t="s">
        <v>1812</v>
      </c>
      <c r="D395" s="24" t="str">
        <f t="shared" si="9"/>
        <v>Osi.TemplateAddTo("ba6424eb-5f8e-44f8-ae60-96c5b615e67f", GetHostCharacter(), 1, 1);</v>
      </c>
    </row>
    <row r="396">
      <c r="A396" s="21" t="str">
        <f>HYPERLINK("https://bg3.wiki/wiki/Frostkiss_Ale", "Frostkiss Ale")</f>
        <v>Frostkiss Ale</v>
      </c>
      <c r="B396" s="22" t="s">
        <v>11</v>
      </c>
      <c r="C396" s="23" t="s">
        <v>1813</v>
      </c>
      <c r="D396" s="24" t="str">
        <f t="shared" si="9"/>
        <v>Osi.TemplateAddTo("97422db7-ab9e-42ab-8026-ac86a8e30e56", GetHostCharacter(), 1, 1);</v>
      </c>
    </row>
    <row r="397">
      <c r="A397" s="21" t="str">
        <f>HYPERLINK("https://bg3.wiki/wiki/Gulthmeran_Reserve", "Gulthmeran Reserve")</f>
        <v>Gulthmeran Reserve</v>
      </c>
      <c r="B397" s="22" t="s">
        <v>11</v>
      </c>
      <c r="C397" s="23" t="s">
        <v>1814</v>
      </c>
      <c r="D397" s="24" t="str">
        <f t="shared" si="9"/>
        <v>Osi.TemplateAddTo("97509a4d-13a9-4ffa-b699-20fa07d7295f", GetHostCharacter(), 1, 1);</v>
      </c>
    </row>
    <row r="398">
      <c r="A398" s="21" t="str">
        <f>HYPERLINK("https://bg3.wiki/wiki/Highsun_Liqueur", "Highsun Liqueur")</f>
        <v>Highsun Liqueur</v>
      </c>
      <c r="B398" s="22" t="s">
        <v>11</v>
      </c>
      <c r="C398" s="23" t="s">
        <v>1815</v>
      </c>
      <c r="D398" s="24" t="str">
        <f t="shared" si="9"/>
        <v>Osi.TemplateAddTo("2a0e186c-8589-45b9-8bdd-994503d3d1cb", GetHostCharacter(), 1, 1);</v>
      </c>
    </row>
    <row r="399">
      <c r="A399" s="21" t="str">
        <f>HYPERLINK("https://bg3.wiki/wiki/Ithbank", "Ithbank")</f>
        <v>Ithbank</v>
      </c>
      <c r="B399" s="22" t="s">
        <v>11</v>
      </c>
      <c r="C399" s="23" t="s">
        <v>1816</v>
      </c>
      <c r="D399" s="24" t="str">
        <f t="shared" si="9"/>
        <v>Osi.TemplateAddTo("2a176188-5a1c-4e70-9be9-ca55502d00b2", GetHostCharacter(), 1, 1);</v>
      </c>
    </row>
    <row r="400">
      <c r="A400" s="21" t="str">
        <f>HYPERLINK("https://bg3.wiki/wiki/Lovely_Malty_Beer", "Lovely Malty Beer")</f>
        <v>Lovely Malty Beer</v>
      </c>
      <c r="B400" s="22" t="s">
        <v>11</v>
      </c>
      <c r="C400" s="23" t="s">
        <v>1817</v>
      </c>
      <c r="D400" s="24" t="str">
        <f t="shared" si="9"/>
        <v>Osi.TemplateAddTo("deedeae2-ebce-4dd5-a4f7-9bd89baa2d4c", GetHostCharacter(), 1, 1);</v>
      </c>
    </row>
    <row r="401">
      <c r="A401" s="21" t="str">
        <f>HYPERLINK("https://bg3.wiki/wiki/Marsember_Ice_Wine", "Marsember Ice Wine")</f>
        <v>Marsember Ice Wine</v>
      </c>
      <c r="B401" s="22" t="s">
        <v>11</v>
      </c>
      <c r="C401" s="23" t="s">
        <v>1818</v>
      </c>
      <c r="D401" s="24" t="str">
        <f t="shared" si="9"/>
        <v>Osi.TemplateAddTo("5e4f92fb-b64a-4a8e-a1d5-a9165526fe14", GetHostCharacter(), 1, 1);</v>
      </c>
    </row>
    <row r="402">
      <c r="A402" s="21" t="str">
        <f>HYPERLINK("https://bg3.wiki/wiki/Mermaid_Whiskey", "Mermaid Whiskey")</f>
        <v>Mermaid Whiskey</v>
      </c>
      <c r="B402" s="22" t="s">
        <v>11</v>
      </c>
      <c r="C402" s="23" t="s">
        <v>1819</v>
      </c>
      <c r="D402" s="24" t="str">
        <f t="shared" si="9"/>
        <v>Osi.TemplateAddTo("54a9152c-3cd3-4d20-bd0e-6a143fa37869", GetHostCharacter(), 1, 1);</v>
      </c>
    </row>
    <row r="403">
      <c r="A403" s="21" t="str">
        <f>HYPERLINK("https://bg3.wiki/wiki/Monastery_Firewine", "Monastery Firewine")</f>
        <v>Monastery Firewine</v>
      </c>
      <c r="B403" s="22" t="s">
        <v>11</v>
      </c>
      <c r="C403" s="23" t="s">
        <v>1820</v>
      </c>
      <c r="D403" s="24" t="str">
        <f t="shared" si="9"/>
        <v>Osi.TemplateAddTo("68feae6a-e244-4302-9694-2efb89b5783c", GetHostCharacter(), 1, 1);</v>
      </c>
    </row>
    <row r="404">
      <c r="A404" s="21" t="str">
        <f>HYPERLINK("https://bg3.wiki/wiki/Mug_of_Beer", "Mug of Beer")</f>
        <v>Mug of Beer</v>
      </c>
      <c r="B404" s="22" t="s">
        <v>11</v>
      </c>
      <c r="C404" s="23" t="s">
        <v>1821</v>
      </c>
      <c r="D404" s="24" t="str">
        <f t="shared" si="9"/>
        <v>Osi.TemplateAddTo("6f5c2259-c522-4892-a14f-f74015afd88d", GetHostCharacter(), 1, 1);</v>
      </c>
    </row>
    <row r="405">
      <c r="A405" s="21" t="str">
        <f>HYPERLINK("https://bg3.wiki/wiki/Pitcher_of_Beer", "Pitcher of Beer")</f>
        <v>Pitcher of Beer</v>
      </c>
      <c r="B405" s="22" t="s">
        <v>11</v>
      </c>
      <c r="C405" s="23" t="s">
        <v>1822</v>
      </c>
      <c r="D405" s="24" t="str">
        <f t="shared" si="9"/>
        <v>Osi.TemplateAddTo("f08cff83-241c-4b93-9e9a-5e06b292c689", GetHostCharacter(), 1, 1);</v>
      </c>
    </row>
    <row r="406">
      <c r="A406" s="21" t="str">
        <f>HYPERLINK("https://bg3.wiki/wiki/Plum_Fizz", "Plum Fizz")</f>
        <v>Plum Fizz</v>
      </c>
      <c r="B406" s="22" t="s">
        <v>11</v>
      </c>
      <c r="C406" s="23" t="s">
        <v>1823</v>
      </c>
      <c r="D406" s="24" t="str">
        <f t="shared" si="9"/>
        <v>Osi.TemplateAddTo("f703b4a2-900a-4e37-9571-3e18d2f4dede", GetHostCharacter(), 1, 1);</v>
      </c>
    </row>
    <row r="407">
      <c r="A407" s="21" t="str">
        <f>HYPERLINK("https://bg3.wiki/wiki/Portal_Sherry", "Portal Sherry")</f>
        <v>Portal Sherry</v>
      </c>
      <c r="B407" s="22" t="s">
        <v>11</v>
      </c>
      <c r="C407" s="23" t="s">
        <v>1824</v>
      </c>
      <c r="D407" s="24" t="str">
        <f t="shared" si="9"/>
        <v>Osi.TemplateAddTo("47f13638-1154-4a61-8dbd-1ea7ee887cbb", GetHostCharacter(), 1, 1);</v>
      </c>
    </row>
    <row r="408">
      <c r="A408" s="21" t="str">
        <f>HYPERLINK("https://bg3.wiki/wiki/Purple_Dragon_Blush", "Purple Dragon Blush")</f>
        <v>Purple Dragon Blush</v>
      </c>
      <c r="B408" s="22" t="s">
        <v>11</v>
      </c>
      <c r="C408" s="23" t="s">
        <v>1825</v>
      </c>
      <c r="D408" s="24" t="str">
        <f t="shared" si="9"/>
        <v>Osi.TemplateAddTo("1de26672-10cb-4659-9b0a-18b9a5bddc8c", GetHostCharacter(), 1, 1);</v>
      </c>
    </row>
    <row r="409">
      <c r="A409" s="21" t="str">
        <f>HYPERLINK("https://bg3.wiki/wiki/Rolling_Deck_Rum", "Rolling Deck Rum")</f>
        <v>Rolling Deck Rum</v>
      </c>
      <c r="B409" s="22" t="s">
        <v>11</v>
      </c>
      <c r="C409" s="23" t="s">
        <v>1826</v>
      </c>
      <c r="D409" s="24" t="str">
        <f t="shared" si="9"/>
        <v>Osi.TemplateAddTo("325eb33f-47a7-41e2-8e92-5e52346c3fc6", GetHostCharacter(), 1, 1);</v>
      </c>
    </row>
    <row r="410">
      <c r="A410" s="21" t="str">
        <f>HYPERLINK("https://bg3.wiki/wiki/Rosymorn_Firewine", "Rosymorn Firewine")</f>
        <v>Rosymorn Firewine</v>
      </c>
      <c r="B410" s="22" t="s">
        <v>11</v>
      </c>
      <c r="C410" s="23" t="s">
        <v>1827</v>
      </c>
      <c r="D410" s="24" t="str">
        <f t="shared" si="9"/>
        <v>Osi.TemplateAddTo("1be0fe60-4aa2-4941-a48b-130b334bddb5", GetHostCharacter(), 1, 1);</v>
      </c>
    </row>
    <row r="411">
      <c r="A411" s="21" t="str">
        <f>HYPERLINK("https://bg3.wiki/wiki/Stagswift_Tonic", "Stagswift Tonic")</f>
        <v>Stagswift Tonic</v>
      </c>
      <c r="B411" s="22" t="s">
        <v>11</v>
      </c>
      <c r="C411" s="23" t="s">
        <v>1828</v>
      </c>
      <c r="D411" s="24" t="str">
        <f t="shared" si="9"/>
        <v>Osi.TemplateAddTo("738298a6-c8e7-4154-a571-03b287ce1b1e", GetHostCharacter(), 1, 1);</v>
      </c>
    </row>
    <row r="412">
      <c r="A412" s="21" t="str">
        <f>HYPERLINK("https://bg3.wiki/wiki/Starburst_Shandy", "Starburst Shandy")</f>
        <v>Starburst Shandy</v>
      </c>
      <c r="B412" s="22" t="s">
        <v>11</v>
      </c>
      <c r="C412" s="23" t="s">
        <v>1829</v>
      </c>
      <c r="D412" s="24" t="str">
        <f t="shared" si="9"/>
        <v>Osi.TemplateAddTo("829f190b-e54b-4dfa-96c5-a554ac79518e", GetHostCharacter(), 1, 1);</v>
      </c>
    </row>
    <row r="413">
      <c r="A413" s="21" t="str">
        <f>HYPERLINK("https://bg3.wiki/wiki/Suzailian_Sweet", "Suzailian Sweet")</f>
        <v>Suzailian Sweet</v>
      </c>
      <c r="B413" s="22" t="s">
        <v>11</v>
      </c>
      <c r="C413" s="23" t="s">
        <v>1830</v>
      </c>
      <c r="D413" s="24" t="str">
        <f t="shared" si="9"/>
        <v>Osi.TemplateAddTo("f83e26c4-5a16-4282-9d84-1cdf71def753", GetHostCharacter(), 1, 1);</v>
      </c>
    </row>
    <row r="414">
      <c r="A414" s="21" t="str">
        <f>HYPERLINK("https://bg3.wiki/wiki/Syl-Pashan_Sup", "Syl-Pashan Sup")</f>
        <v>Syl-Pashan Sup</v>
      </c>
      <c r="B414" s="22" t="s">
        <v>11</v>
      </c>
      <c r="C414" s="23" t="s">
        <v>1831</v>
      </c>
      <c r="D414" s="24" t="str">
        <f t="shared" si="9"/>
        <v>Osi.TemplateAddTo("c9cf7e80-679e-4c30-98ac-4bd43db95294", GetHostCharacter(), 1, 1);</v>
      </c>
    </row>
    <row r="415">
      <c r="A415" s="21" t="str">
        <f>HYPERLINK("https://bg3.wiki/wiki/Tyche_Pink", "Tyche Pink")</f>
        <v>Tyche Pink</v>
      </c>
      <c r="B415" s="22" t="s">
        <v>11</v>
      </c>
      <c r="C415" s="23" t="s">
        <v>1832</v>
      </c>
      <c r="D415" s="24" t="str">
        <f t="shared" si="9"/>
        <v>Osi.TemplateAddTo("1c674a73-7855-4d8c-951d-4c289993edfa", GetHostCharacter(), 1, 1);</v>
      </c>
    </row>
    <row r="416">
      <c r="A416" s="21" t="str">
        <f>HYPERLINK("https://bg3.wiki/wiki/Whalebone_Spiced", "Whalebone Spiced")</f>
        <v>Whalebone Spiced</v>
      </c>
      <c r="B416" s="22" t="s">
        <v>11</v>
      </c>
      <c r="C416" s="23" t="s">
        <v>1833</v>
      </c>
      <c r="D416" s="24" t="str">
        <f t="shared" si="9"/>
        <v>Osi.TemplateAddTo("733d5d97-97ed-4918-bc2a-e6dd75cde58c", GetHostCharacter(), 1, 1);</v>
      </c>
    </row>
    <row r="417">
      <c r="A417" s="38" t="str">
        <f>HYPERLINK("https://bg3.wiki/wiki/Wine", "Wine")</f>
        <v>Wine</v>
      </c>
      <c r="B417" s="39" t="s">
        <v>11</v>
      </c>
      <c r="C417" s="40" t="s">
        <v>1834</v>
      </c>
      <c r="D417" s="41" t="str">
        <f t="shared" si="9"/>
        <v>Osi.TemplateAddTo("e4595365-03f3-46ac-b989-f01bacf6cf3b", GetHostCharacter(), 1, 1);</v>
      </c>
    </row>
    <row r="418">
      <c r="C418" s="42"/>
    </row>
    <row r="419">
      <c r="A419" s="55" t="s">
        <v>1835</v>
      </c>
      <c r="B419" s="22"/>
      <c r="C419" s="23"/>
      <c r="D419" s="22"/>
    </row>
    <row r="420">
      <c r="A420" s="34" t="s">
        <v>7</v>
      </c>
      <c r="B420" s="35" t="s">
        <v>8</v>
      </c>
      <c r="C420" s="35" t="s">
        <v>9</v>
      </c>
      <c r="D420" s="36" t="s">
        <v>10</v>
      </c>
      <c r="E420" s="43"/>
    </row>
    <row r="421">
      <c r="A421" s="21" t="str">
        <f>HYPERLINK("https://bg3.wiki/wiki/Acid_Barrel", "Acid Barrel")</f>
        <v>Acid Barrel</v>
      </c>
      <c r="B421" s="22" t="s">
        <v>11</v>
      </c>
      <c r="C421" s="23" t="s">
        <v>1836</v>
      </c>
      <c r="D421" s="24" t="str">
        <f t="shared" ref="D421:D428" si="10">"Osi.TemplateAddTo("""&amp; C421 &amp;""", GetHostCharacter(), 1, 1);"</f>
        <v>Osi.TemplateAddTo("77cfc9e7-02ca-4be8-8e01-51ae3f873d60", GetHostCharacter(), 1, 1);</v>
      </c>
      <c r="E421" s="15"/>
    </row>
    <row r="422">
      <c r="A422" s="21" t="str">
        <f>HYPERLINK("https://bg3.wiki/wiki/Auntie_Ethel%27s_Charm", "Auntie Ethel's Charm")</f>
        <v>Auntie Ethel's Charm</v>
      </c>
      <c r="B422" s="22" t="s">
        <v>17</v>
      </c>
      <c r="C422" s="23" t="s">
        <v>1837</v>
      </c>
      <c r="D422" s="24" t="str">
        <f t="shared" si="10"/>
        <v>Osi.TemplateAddTo("f3b1fff1-33c1-4283-8f02-84abfdc5e84e", GetHostCharacter(), 1, 1);</v>
      </c>
      <c r="E422" s="27" t="s">
        <v>1838</v>
      </c>
    </row>
    <row r="423">
      <c r="A423" s="21" t="str">
        <f>HYPERLINK("https://bg3.wiki/wiki/Auntie_Ethel%27s_Hair", "Auntie Ethel's Hair (Strength)")</f>
        <v>Auntie Ethel's Hair (Strength)</v>
      </c>
      <c r="B423" s="22" t="s">
        <v>11</v>
      </c>
      <c r="C423" s="23" t="s">
        <v>1839</v>
      </c>
      <c r="D423" s="24" t="str">
        <f t="shared" si="10"/>
        <v>Osi.TemplateAddTo("8f6b0c08-d1b1-4ae7-ade2-da3c679ce323", GetHostCharacter(), 1, 1);</v>
      </c>
      <c r="E423" s="80" t="s">
        <v>1840</v>
      </c>
    </row>
    <row r="424">
      <c r="A424" s="21" t="str">
        <f>HYPERLINK("https://bg3.wiki/wiki/Auntie_Ethel%27s_Hair", "Auntie Ethel's Hair (Dexterity)")</f>
        <v>Auntie Ethel's Hair (Dexterity)</v>
      </c>
      <c r="B424" s="22" t="s">
        <v>11</v>
      </c>
      <c r="C424" s="23" t="s">
        <v>1841</v>
      </c>
      <c r="D424" s="24" t="str">
        <f t="shared" si="10"/>
        <v>Osi.TemplateAddTo("7e3afbf6-4e1a-444e-826d-f8e0e0a8308f", GetHostCharacter(), 1, 1);</v>
      </c>
    </row>
    <row r="425">
      <c r="A425" s="21" t="str">
        <f>HYPERLINK("https://bg3.wiki/wiki/Auntie_Ethel%27s_Hair", "Auntie Ethel's Hair (Constitution)")</f>
        <v>Auntie Ethel's Hair (Constitution)</v>
      </c>
      <c r="B425" s="22" t="s">
        <v>11</v>
      </c>
      <c r="C425" s="23" t="s">
        <v>1842</v>
      </c>
      <c r="D425" s="24" t="str">
        <f t="shared" si="10"/>
        <v>Osi.TemplateAddTo("d16922ba-a36b-4015-8072-27610821fb53", GetHostCharacter(), 1, 1);</v>
      </c>
    </row>
    <row r="426">
      <c r="A426" s="21" t="str">
        <f>HYPERLINK("https://bg3.wiki/wiki/Auntie_Ethel%27s_Hair", "Auntie Ethel's Hair (Intelligence)")</f>
        <v>Auntie Ethel's Hair (Intelligence)</v>
      </c>
      <c r="B426" s="22" t="s">
        <v>11</v>
      </c>
      <c r="C426" s="23" t="s">
        <v>1843</v>
      </c>
      <c r="D426" s="24" t="str">
        <f t="shared" si="10"/>
        <v>Osi.TemplateAddTo("9abbab89-d29f-47c0-9ffe-f12018dd83d9", GetHostCharacter(), 1, 1);</v>
      </c>
    </row>
    <row r="427">
      <c r="A427" s="21" t="str">
        <f>HYPERLINK("https://bg3.wiki/wiki/Auntie_Ethel%27s_Hair", "Auntie Ethel's Hair (Wisdom)")</f>
        <v>Auntie Ethel's Hair (Wisdom)</v>
      </c>
      <c r="B427" s="22" t="s">
        <v>11</v>
      </c>
      <c r="C427" s="23" t="s">
        <v>1844</v>
      </c>
      <c r="D427" s="24" t="str">
        <f t="shared" si="10"/>
        <v>Osi.TemplateAddTo("de2c9582-fab5-4d5e-9a81-44d67af6a681", GetHostCharacter(), 1, 1);</v>
      </c>
    </row>
    <row r="428">
      <c r="A428" s="21" t="str">
        <f>HYPERLINK("https://bg3.wiki/wiki/Auntie_Ethel%27s_Hair", "Auntie Ethel's Hair (Charisma)")</f>
        <v>Auntie Ethel's Hair (Charisma)</v>
      </c>
      <c r="B428" s="22" t="s">
        <v>11</v>
      </c>
      <c r="C428" s="23" t="s">
        <v>1845</v>
      </c>
      <c r="D428" s="24" t="str">
        <f t="shared" si="10"/>
        <v>Osi.TemplateAddTo("eec5de82-c988-40e6-8f10-474d5675c550", GetHostCharacter(), 1, 1);</v>
      </c>
    </row>
    <row r="429">
      <c r="A429" s="21" t="str">
        <f>HYPERLINK("https://bg3.wiki/wiki/Box_of_Oddfire_Fireworks", "Box of Oddfire Fireworks")</f>
        <v>Box of Oddfire Fireworks</v>
      </c>
      <c r="B429" s="22" t="s">
        <v>11</v>
      </c>
      <c r="C429" s="23" t="s">
        <v>158</v>
      </c>
      <c r="D429" s="24"/>
      <c r="E429" s="15"/>
    </row>
    <row r="430">
      <c r="A430" s="21" t="str">
        <f>HYPERLINK("https://bg3.wiki/wiki/Brine_Barrel", "Brine Barrel")</f>
        <v>Brine Barrel</v>
      </c>
      <c r="B430" s="22" t="s">
        <v>11</v>
      </c>
      <c r="C430" s="23" t="s">
        <v>1846</v>
      </c>
      <c r="D430" s="24" t="str">
        <f t="shared" ref="D430:D439" si="11">"Osi.TemplateAddTo("""&amp; C430 &amp;""", GetHostCharacter(), 1, 1);"</f>
        <v>Osi.TemplateAddTo("d6806561-2bd3-4333-ba90-dfbaf9474307", GetHostCharacter(), 1, 1);</v>
      </c>
      <c r="E430" s="15"/>
    </row>
    <row r="431">
      <c r="A431" s="21" t="str">
        <f>HYPERLINK("https://bg3.wiki/wiki/Cup_of_Oil", "Cup of Oil")</f>
        <v>Cup of Oil</v>
      </c>
      <c r="B431" s="22" t="s">
        <v>11</v>
      </c>
      <c r="C431" s="23" t="s">
        <v>1847</v>
      </c>
      <c r="D431" s="24" t="str">
        <f t="shared" si="11"/>
        <v>Osi.TemplateAddTo("cbbfb594-d3ba-4519-8c15-5c35df5892e0", GetHostCharacter(), 1, 1);</v>
      </c>
      <c r="E431" s="15"/>
    </row>
    <row r="432">
      <c r="A432" s="21" t="str">
        <f>HYPERLINK("https://bg3.wiki/wiki/Disguise_Kit", "Disguise Kit")</f>
        <v>Disguise Kit</v>
      </c>
      <c r="B432" s="22" t="s">
        <v>11</v>
      </c>
      <c r="C432" s="23" t="s">
        <v>1848</v>
      </c>
      <c r="D432" s="24" t="str">
        <f t="shared" si="11"/>
        <v>Osi.TemplateAddTo("8ec2a70b-32cc-4223-9c4e-fb845deb262d", GetHostCharacter(), 1, 1);</v>
      </c>
      <c r="E432" s="15"/>
    </row>
    <row r="433">
      <c r="A433" s="21" t="str">
        <f>HYPERLINK("https://bg3.wiki/wiki/Dream_Mist", "Dream Mist")</f>
        <v>Dream Mist</v>
      </c>
      <c r="B433" s="22" t="s">
        <v>11</v>
      </c>
      <c r="C433" s="23" t="s">
        <v>1849</v>
      </c>
      <c r="D433" s="24" t="str">
        <f t="shared" si="11"/>
        <v>Osi.TemplateAddTo("71e89ceb-08d3-40f4-9f59-a768342a7357", GetHostCharacter(), 1, 1);</v>
      </c>
      <c r="E433" s="15"/>
    </row>
    <row r="434">
      <c r="A434" s="21" t="str">
        <f>HYPERLINK("https://bg3.wiki/wiki/Essence_of_Ether", "Essence of Ether")</f>
        <v>Essence of Ether</v>
      </c>
      <c r="B434" s="22" t="s">
        <v>11</v>
      </c>
      <c r="C434" s="23" t="s">
        <v>1850</v>
      </c>
      <c r="D434" s="24" t="str">
        <f t="shared" si="11"/>
        <v>Osi.TemplateAddTo("49458a4c-c5e3-42a4-88e4-c03e14343575", GetHostCharacter(), 1, 1);</v>
      </c>
      <c r="E434" s="15"/>
    </row>
    <row r="435">
      <c r="A435" s="21" t="str">
        <f>HYPERLINK("https://bg3.wiki/wiki/Face-Painting_Kit", "Face-Painting Kit")</f>
        <v>Face-Painting Kit</v>
      </c>
      <c r="B435" s="22" t="s">
        <v>24</v>
      </c>
      <c r="C435" s="23" t="s">
        <v>1851</v>
      </c>
      <c r="D435" s="24" t="str">
        <f t="shared" si="11"/>
        <v>Osi.TemplateAddTo("7f17d8e4-5edb-4a77-88c0-55558a2db5f7", GetHostCharacter(), 1, 1);</v>
      </c>
      <c r="E435" s="15"/>
    </row>
    <row r="436">
      <c r="A436" s="21" t="str">
        <f>HYPERLINK("https://bg3.wiki/wiki/Firewine_Barrel", "Firewine Barrel")</f>
        <v>Firewine Barrel</v>
      </c>
      <c r="B436" s="22" t="s">
        <v>11</v>
      </c>
      <c r="C436" s="23" t="s">
        <v>1852</v>
      </c>
      <c r="D436" s="24" t="str">
        <f t="shared" si="11"/>
        <v>Osi.TemplateAddTo("79050068-7ce3-43f9-a9a3-1646f5eb39c3", GetHostCharacter(), 1, 1);</v>
      </c>
      <c r="E436" s="15"/>
    </row>
    <row r="437">
      <c r="A437" s="21" t="str">
        <f>HYPERLINK("https://bg3.wiki/wiki/Gift_from_the_Absolute", "Gift from the Absolute")</f>
        <v>Gift from the Absolute</v>
      </c>
      <c r="B437" s="22" t="s">
        <v>55</v>
      </c>
      <c r="C437" s="23" t="s">
        <v>1853</v>
      </c>
      <c r="D437" s="24" t="str">
        <f t="shared" si="11"/>
        <v>Osi.TemplateAddTo("d1f2b294-fdf8-43df-8d11-19743077cb68", GetHostCharacter(), 1, 1);</v>
      </c>
      <c r="E437" s="15"/>
    </row>
    <row r="438">
      <c r="A438" s="21" t="str">
        <f>HYPERLINK("https://bg3.wiki/wiki/Hoots%27_Hooch", "Hoots' Hooch")</f>
        <v>Hoots' Hooch</v>
      </c>
      <c r="B438" s="22" t="s">
        <v>444</v>
      </c>
      <c r="C438" s="23" t="s">
        <v>1854</v>
      </c>
      <c r="D438" s="24" t="str">
        <f t="shared" si="11"/>
        <v>Osi.TemplateAddTo("14a43b9d-0913-4a24-8f19-a2db6e87bc36", GetHostCharacter(), 1, 1);</v>
      </c>
      <c r="E438" s="15"/>
    </row>
    <row r="439">
      <c r="A439" s="21" t="str">
        <f>HYPERLINK("https://bg3.wiki/wiki/Juicy_Apple", "Juicy Apple")</f>
        <v>Juicy Apple</v>
      </c>
      <c r="B439" s="22" t="s">
        <v>11</v>
      </c>
      <c r="C439" s="23" t="s">
        <v>1855</v>
      </c>
      <c r="D439" s="24" t="str">
        <f t="shared" si="11"/>
        <v>Osi.TemplateAddTo("1617582e-5c09-460a-8ae7-7be77803955d", GetHostCharacter(), 1, 1);</v>
      </c>
      <c r="E439" s="15"/>
    </row>
    <row r="440">
      <c r="A440" s="21" t="str">
        <f>HYPERLINK("https://bg3.wiki/wiki/Mind_Flayer_Brain", "Mind Flayer Brain")</f>
        <v>Mind Flayer Brain</v>
      </c>
      <c r="B440" s="22" t="s">
        <v>55</v>
      </c>
      <c r="C440" s="23" t="s">
        <v>158</v>
      </c>
      <c r="D440" s="24"/>
      <c r="E440" s="15"/>
    </row>
    <row r="441">
      <c r="A441" s="21" t="str">
        <f>HYPERLINK("https://bg3.wiki/wiki/Mind_Flayer_Parasite_Specimen", "Mind Flayer Parasite Specimen")</f>
        <v>Mind Flayer Parasite Specimen</v>
      </c>
      <c r="B441" s="22" t="s">
        <v>55</v>
      </c>
      <c r="C441" s="23" t="s">
        <v>1856</v>
      </c>
      <c r="D441" s="24" t="str">
        <f t="shared" ref="D441:D464" si="12">"Osi.TemplateAddTo("""&amp; C441 &amp;""", GetHostCharacter(), 1, 1);"</f>
        <v>Osi.TemplateAddTo("1ec327be-3b7f-4502-9586-860e057e09ae", GetHostCharacter(), 1, 1);</v>
      </c>
      <c r="E441" s="15"/>
    </row>
    <row r="442">
      <c r="A442" s="21" t="str">
        <f>HYPERLINK("https://bg3.wiki/wiki/Mithral_Ore", "Mithral Ore")</f>
        <v>Mithral Ore</v>
      </c>
      <c r="B442" s="22" t="s">
        <v>11</v>
      </c>
      <c r="C442" s="23" t="s">
        <v>1857</v>
      </c>
      <c r="D442" s="24" t="str">
        <f t="shared" si="12"/>
        <v>Osi.TemplateAddTo("f65292f7-a930-48a3-a803-914da4781056", GetHostCharacter(), 1, 1);</v>
      </c>
      <c r="E442" s="15"/>
    </row>
    <row r="443">
      <c r="A443" s="21" t="str">
        <f>HYPERLINK("https://bg3.wiki/wiki/Mysterious_Potion", "Mysterious Potion")</f>
        <v>Mysterious Potion</v>
      </c>
      <c r="B443" s="22" t="s">
        <v>444</v>
      </c>
      <c r="C443" s="23" t="s">
        <v>1858</v>
      </c>
      <c r="D443" s="24" t="str">
        <f t="shared" si="12"/>
        <v>Osi.TemplateAddTo("fd2fe1eb-af9e-4233-8cad-ccc47eec03dc", GetHostCharacter(), 1, 1);</v>
      </c>
      <c r="E443" s="15"/>
    </row>
    <row r="444">
      <c r="A444" s="21" t="str">
        <f>HYPERLINK("https://bg3.wiki/wiki/Nautiloid_Tank", "Nautiloid Tank")</f>
        <v>Nautiloid Tank</v>
      </c>
      <c r="B444" s="22" t="s">
        <v>11</v>
      </c>
      <c r="C444" s="23" t="s">
        <v>1859</v>
      </c>
      <c r="D444" s="24" t="str">
        <f t="shared" si="12"/>
        <v>Osi.TemplateAddTo("24e01b77-0a74-410d-869f-919918f20278", GetHostCharacter(), 1, 1);</v>
      </c>
      <c r="E444" s="15"/>
    </row>
    <row r="445">
      <c r="A445" s="21" t="str">
        <f>HYPERLINK("https://bg3.wiki/wiki/Oil_Barrel", "Oil Barrel")</f>
        <v>Oil Barrel</v>
      </c>
      <c r="B445" s="22" t="s">
        <v>11</v>
      </c>
      <c r="C445" s="23" t="s">
        <v>1860</v>
      </c>
      <c r="D445" s="24" t="str">
        <f t="shared" si="12"/>
        <v>Osi.TemplateAddTo("72e3f454-5a68-4bb2-acef-7b8d595b5015", GetHostCharacter(), 1, 1);</v>
      </c>
      <c r="E445" s="15"/>
    </row>
    <row r="446">
      <c r="A446" s="21" t="str">
        <f>HYPERLINK("https://bg3.wiki/wiki/Poisoned_Apple", "Poisoned Apple")</f>
        <v>Poisoned Apple</v>
      </c>
      <c r="B446" s="22" t="s">
        <v>11</v>
      </c>
      <c r="C446" s="23" t="s">
        <v>1861</v>
      </c>
      <c r="D446" s="24" t="str">
        <f t="shared" si="12"/>
        <v>Osi.TemplateAddTo("3f8aa681-6b08-4cc7-8f38-c882f48f17db", GetHostCharacter(), 1, 1);</v>
      </c>
      <c r="E446" s="15"/>
    </row>
    <row r="447">
      <c r="A447" s="21" t="str">
        <f>HYPERLINK("https://bg3.wiki/wiki/Popdrakes", "Popdrakes")</f>
        <v>Popdrakes</v>
      </c>
      <c r="B447" s="22" t="s">
        <v>11</v>
      </c>
      <c r="C447" s="23" t="s">
        <v>1862</v>
      </c>
      <c r="D447" s="24" t="str">
        <f t="shared" si="12"/>
        <v>Osi.TemplateAddTo("db1675d9-5147-4201-b243-a9ee9540cbb8", GetHostCharacter(), 1, 1);</v>
      </c>
      <c r="E447" s="15"/>
    </row>
    <row r="448">
      <c r="A448" s="21" t="str">
        <f>HYPERLINK("https://bg3.wiki/wiki/Rotten_Banana", "Rotten Banana")</f>
        <v>Rotten Banana</v>
      </c>
      <c r="B448" s="22" t="s">
        <v>11</v>
      </c>
      <c r="C448" s="23" t="s">
        <v>1863</v>
      </c>
      <c r="D448" s="24" t="str">
        <f t="shared" si="12"/>
        <v>Osi.TemplateAddTo("89875ae3-2ce8-4a6b-88fe-da2426f1b6ed", GetHostCharacter(), 1, 1);</v>
      </c>
      <c r="E448" s="15"/>
    </row>
    <row r="449">
      <c r="A449" s="21" t="str">
        <f>HYPERLINK("https://bg3.wiki/wiki/Rotten_Beregost_Blue_Wedge", "Rotten Beregost Blue Wedge")</f>
        <v>Rotten Beregost Blue Wedge</v>
      </c>
      <c r="B449" s="22" t="s">
        <v>11</v>
      </c>
      <c r="C449" s="23" t="s">
        <v>1864</v>
      </c>
      <c r="D449" s="24" t="str">
        <f t="shared" si="12"/>
        <v>Osi.TemplateAddTo("6fc0f6fd-a5b5-40d2-8f76-b864b7f71093", GetHostCharacter(), 1, 1);</v>
      </c>
      <c r="E449" s="15"/>
    </row>
    <row r="450">
      <c r="A450" s="21" t="str">
        <f>HYPERLINK("https://bg3.wiki/wiki/Rotten_Beregost_Blue_Wheel", "Rotten Beregost Blue Wheel")</f>
        <v>Rotten Beregost Blue Wheel</v>
      </c>
      <c r="B450" s="22" t="s">
        <v>11</v>
      </c>
      <c r="C450" s="23" t="s">
        <v>1865</v>
      </c>
      <c r="D450" s="24" t="str">
        <f t="shared" si="12"/>
        <v>Osi.TemplateAddTo("d90396df-b799-44f3-bbf0-13c5c90c3260", GetHostCharacter(), 1, 1);</v>
      </c>
      <c r="E450" s="15"/>
    </row>
    <row r="451">
      <c r="A451" s="21" t="str">
        <f>HYPERLINK("https://bg3.wiki/wiki/Rotten_Carrot", "Rotten Carrot")</f>
        <v>Rotten Carrot</v>
      </c>
      <c r="B451" s="22" t="s">
        <v>11</v>
      </c>
      <c r="C451" s="23" t="s">
        <v>1866</v>
      </c>
      <c r="D451" s="24" t="str">
        <f t="shared" si="12"/>
        <v>Osi.TemplateAddTo("89439def-e8bc-43c3-bec1-331492d01d74", GetHostCharacter(), 1, 1);</v>
      </c>
      <c r="E451" s="15"/>
    </row>
    <row r="452">
      <c r="A452" s="21" t="str">
        <f>HYPERLINK("https://bg3.wiki/wiki/Rotten_Chicken_Eggs", "Rotten Chicken Eggs")</f>
        <v>Rotten Chicken Eggs</v>
      </c>
      <c r="B452" s="22" t="s">
        <v>11</v>
      </c>
      <c r="C452" s="23" t="s">
        <v>1867</v>
      </c>
      <c r="D452" s="24" t="str">
        <f t="shared" si="12"/>
        <v>Osi.TemplateAddTo("be312dcb-8ff5-4f6e-bcad-516c6fb7c249", GetHostCharacter(), 1, 1);</v>
      </c>
      <c r="E452" s="15"/>
    </row>
    <row r="453">
      <c r="A453" s="21" t="str">
        <f>HYPERLINK("https://bg3.wiki/wiki/Rotten_Durinbold_Cheese_Wedge", "Rotten Durinbold Cheese Wedge")</f>
        <v>Rotten Durinbold Cheese Wedge</v>
      </c>
      <c r="B453" s="22" t="s">
        <v>11</v>
      </c>
      <c r="C453" s="23" t="s">
        <v>1868</v>
      </c>
      <c r="D453" s="24" t="str">
        <f t="shared" si="12"/>
        <v>Osi.TemplateAddTo("f964cf56-066d-460d-a6a7-2b9acb78be7f", GetHostCharacter(), 1, 1);</v>
      </c>
      <c r="E453" s="15"/>
    </row>
    <row r="454">
      <c r="A454" s="21" t="str">
        <f>HYPERLINK("https://bg3.wiki/wiki/Rotten_Fish", "Rotten Fish")</f>
        <v>Rotten Fish</v>
      </c>
      <c r="B454" s="22" t="s">
        <v>11</v>
      </c>
      <c r="C454" s="23" t="s">
        <v>1869</v>
      </c>
      <c r="D454" s="24" t="str">
        <f t="shared" si="12"/>
        <v>Osi.TemplateAddTo("0f34372c-520a-475d-a3c0-7c385fd549b7", GetHostCharacter(), 1, 1);</v>
      </c>
      <c r="E454" s="15"/>
    </row>
    <row r="455">
      <c r="A455" s="21" t="str">
        <f>HYPERLINK("https://bg3.wiki/wiki/Rotten_Lemon", "Rotten Lemon")</f>
        <v>Rotten Lemon</v>
      </c>
      <c r="B455" s="22" t="s">
        <v>11</v>
      </c>
      <c r="C455" s="23" t="s">
        <v>1870</v>
      </c>
      <c r="D455" s="24" t="str">
        <f t="shared" si="12"/>
        <v>Osi.TemplateAddTo("dc980269-d8bd-4a25-b521-d3ac7bb4812f", GetHostCharacter(), 1, 1);</v>
      </c>
      <c r="E455" s="15"/>
    </row>
    <row r="456">
      <c r="A456" s="21" t="str">
        <f>HYPERLINK("https://bg3.wiki/wiki/Rotten_Mushroom", "Rotten Mushroom")</f>
        <v>Rotten Mushroom</v>
      </c>
      <c r="B456" s="22" t="s">
        <v>11</v>
      </c>
      <c r="C456" s="23" t="s">
        <v>1871</v>
      </c>
      <c r="D456" s="24" t="str">
        <f t="shared" si="12"/>
        <v>Osi.TemplateAddTo("42a68ee1-6d71-455e-99b2-278a53be5504", GetHostCharacter(), 1, 1);</v>
      </c>
      <c r="E456" s="15"/>
    </row>
    <row r="457">
      <c r="A457" s="21" t="str">
        <f>HYPERLINK("https://bg3.wiki/wiki/Rotten_Tomato", "Rotten Tomato")</f>
        <v>Rotten Tomato</v>
      </c>
      <c r="B457" s="22" t="s">
        <v>11</v>
      </c>
      <c r="C457" s="23" t="s">
        <v>1872</v>
      </c>
      <c r="D457" s="24" t="str">
        <f t="shared" si="12"/>
        <v>Osi.TemplateAddTo("32a3bb2c-ce98-41ec-9476-06867d354ca3", GetHostCharacter(), 1, 1);</v>
      </c>
      <c r="E457" s="15"/>
    </row>
    <row r="458">
      <c r="A458" s="21" t="str">
        <f>HYPERLINK("https://bg3.wiki/wiki/Rotten_Waterdhavian_Cheese_Wedge", "Rotten Waterdhavian Cheese Wedge")</f>
        <v>Rotten Waterdhavian Cheese Wedge</v>
      </c>
      <c r="B458" s="22" t="s">
        <v>11</v>
      </c>
      <c r="C458" s="23" t="s">
        <v>1873</v>
      </c>
      <c r="D458" s="24" t="str">
        <f t="shared" si="12"/>
        <v>Osi.TemplateAddTo("63cc183f-e726-48d6-a91d-da26dacb6ee0", GetHostCharacter(), 1, 1);</v>
      </c>
      <c r="E458" s="15"/>
    </row>
    <row r="459">
      <c r="A459" s="21" t="str">
        <f>HYPERLINK("https://bg3.wiki/wiki/Rotten_Waterdhavian_Cheese_Wheel", "Rotten Waterdhavian Cheese Wheel")</f>
        <v>Rotten Waterdhavian Cheese Wheel</v>
      </c>
      <c r="B459" s="22" t="s">
        <v>11</v>
      </c>
      <c r="C459" s="23" t="s">
        <v>1874</v>
      </c>
      <c r="D459" s="24" t="str">
        <f t="shared" si="12"/>
        <v>Osi.TemplateAddTo("89d194fd-3f0c-487b-8b60-e5ab1a2bd522", GetHostCharacter(), 1, 1);</v>
      </c>
      <c r="E459" s="15"/>
    </row>
    <row r="460">
      <c r="A460" s="21" t="str">
        <f>HYPERLINK("https://bg3.wiki/wiki/Runepowder_Barrel", "Runepowder Barrel")</f>
        <v>Runepowder Barrel</v>
      </c>
      <c r="B460" s="22" t="s">
        <v>19</v>
      </c>
      <c r="C460" s="23" t="s">
        <v>1875</v>
      </c>
      <c r="D460" s="24" t="str">
        <f t="shared" si="12"/>
        <v>Osi.TemplateAddTo("79dfb371-cd87-48f3-b542-26db2d39cfe2", GetHostCharacter(), 1, 1);</v>
      </c>
      <c r="E460" s="15"/>
    </row>
    <row r="461">
      <c r="A461" s="21" t="str">
        <f>HYPERLINK("https://bg3.wiki/wiki/Runepowder_Bomb", "Runepowder Bomb")</f>
        <v>Runepowder Bomb</v>
      </c>
      <c r="B461" s="22" t="s">
        <v>19</v>
      </c>
      <c r="C461" s="23" t="s">
        <v>1876</v>
      </c>
      <c r="D461" s="24" t="str">
        <f t="shared" si="12"/>
        <v>Osi.TemplateAddTo("9a711e91-04d0-4300-8ca8-b4cc07529a56", GetHostCharacter(), 1, 1);</v>
      </c>
      <c r="E461" s="15"/>
    </row>
    <row r="462">
      <c r="A462" s="21" t="str">
        <f>HYPERLINK("https://bg3.wiki/wiki/Silkroot", "Silkroot")</f>
        <v>Silkroot</v>
      </c>
      <c r="B462" s="22" t="s">
        <v>11</v>
      </c>
      <c r="C462" s="23" t="s">
        <v>1877</v>
      </c>
      <c r="D462" s="24" t="str">
        <f t="shared" si="12"/>
        <v>Osi.TemplateAddTo("667d2f69-1ba4-427a-96f6-890fc034a3ec", GetHostCharacter(), 1, 1);</v>
      </c>
      <c r="E462" s="15"/>
    </row>
    <row r="463">
      <c r="A463" s="21" t="str">
        <f>HYPERLINK("https://bg3.wiki/wiki/Smokepowder_Barrel", "Smokepowder Barrel")</f>
        <v>Smokepowder Barrel</v>
      </c>
      <c r="B463" s="22" t="s">
        <v>11</v>
      </c>
      <c r="C463" s="23" t="s">
        <v>1878</v>
      </c>
      <c r="D463" s="24" t="str">
        <f t="shared" si="12"/>
        <v>Osi.TemplateAddTo("9c875b66-4024-487f-b67c-0c175538eb5c", GetHostCharacter(), 1, 1);</v>
      </c>
      <c r="E463" s="15"/>
    </row>
    <row r="464">
      <c r="A464" s="21" t="str">
        <f>HYPERLINK("https://bg3.wiki/wiki/Spider_Egg_Sac", "Spider Egg Sac")</f>
        <v>Spider Egg Sac</v>
      </c>
      <c r="B464" s="22" t="s">
        <v>11</v>
      </c>
      <c r="C464" s="23" t="s">
        <v>1879</v>
      </c>
      <c r="D464" s="24" t="str">
        <f t="shared" si="12"/>
        <v>Osi.TemplateAddTo("93f8c64b-2d55-4784-aca5-077f75a7ee4d", GetHostCharacter(), 1, 1);</v>
      </c>
      <c r="E464" s="15"/>
    </row>
    <row r="465">
      <c r="A465" s="21" t="str">
        <f>HYPERLINK("https://bg3.wiki/wiki/Suspicious_Poison", "Suspicious Poison")</f>
        <v>Suspicious Poison</v>
      </c>
      <c r="B465" s="22" t="s">
        <v>11</v>
      </c>
      <c r="C465" s="23" t="s">
        <v>158</v>
      </c>
      <c r="D465" s="24"/>
      <c r="E465" s="15"/>
    </row>
    <row r="466">
      <c r="A466" s="21" t="str">
        <f>HYPERLINK("https://bg3.wiki/wiki/Terazul", "Terazul")</f>
        <v>Terazul</v>
      </c>
      <c r="B466" s="22" t="s">
        <v>11</v>
      </c>
      <c r="C466" s="23" t="s">
        <v>1880</v>
      </c>
      <c r="D466" s="24" t="str">
        <f t="shared" ref="D466:D470" si="13">"Osi.TemplateAddTo("""&amp; C466 &amp;""", GetHostCharacter(), 1, 1);"</f>
        <v>Osi.TemplateAddTo("3f922527-94d9-4ecb-b160-116ad05db83c", GetHostCharacter(), 1, 1);</v>
      </c>
      <c r="E466" s="15"/>
    </row>
    <row r="467">
      <c r="A467" s="21" t="str">
        <f>HYPERLINK("https://bg3.wiki/wiki/Thieves%27_Tools", "Thieves' Tools")</f>
        <v>Thieves' Tools</v>
      </c>
      <c r="B467" s="22" t="s">
        <v>11</v>
      </c>
      <c r="C467" s="23" t="s">
        <v>16</v>
      </c>
      <c r="D467" s="24" t="str">
        <f t="shared" si="13"/>
        <v>Osi.TemplateAddTo("e32a200c-5b63-414d-ae57-00e7b38f125b", GetHostCharacter(), 1, 1);</v>
      </c>
      <c r="E467" s="15"/>
    </row>
    <row r="468">
      <c r="A468" s="21" t="str">
        <f>HYPERLINK("https://bg3.wiki/wiki/Trap_Disarm_Toolkit", "Trap Disarm Toolkit")</f>
        <v>Trap Disarm Toolkit</v>
      </c>
      <c r="B468" s="22" t="s">
        <v>11</v>
      </c>
      <c r="C468" s="23" t="s">
        <v>15</v>
      </c>
      <c r="D468" s="24" t="str">
        <f t="shared" si="13"/>
        <v>Osi.TemplateAddTo("22c74b5e-bef2-41b1-b9ed-f4acc766d4ee", GetHostCharacter(), 1, 1);</v>
      </c>
      <c r="E468" s="15"/>
    </row>
    <row r="469">
      <c r="A469" s="21" t="str">
        <f>HYPERLINK("https://bg3.wiki/wiki/Water_Barrel", "Water Barrel")</f>
        <v>Water Barrel</v>
      </c>
      <c r="B469" s="22" t="s">
        <v>11</v>
      </c>
      <c r="C469" s="23" t="s">
        <v>1881</v>
      </c>
      <c r="D469" s="24" t="str">
        <f t="shared" si="13"/>
        <v>Osi.TemplateAddTo("253b6d64-91f4-46a2-b05a-a606b0d7b342", GetHostCharacter(), 1, 1);</v>
      </c>
      <c r="E469" s="15"/>
    </row>
    <row r="470">
      <c r="A470" s="21" t="str">
        <f>HYPERLINK("https://bg3.wiki/wiki/Wine_Goblet", "Wine Goblet")</f>
        <v>Wine Goblet</v>
      </c>
      <c r="B470" s="22" t="s">
        <v>11</v>
      </c>
      <c r="C470" s="23" t="s">
        <v>1882</v>
      </c>
      <c r="D470" s="24" t="str">
        <f t="shared" si="13"/>
        <v>Osi.TemplateAddTo("51a26c5a-ad6d-49de-b902-76b2faa70ee8", GetHostCharacter(), 1, 1);</v>
      </c>
      <c r="E470" s="15"/>
    </row>
    <row r="471">
      <c r="A471" s="38" t="str">
        <f>HYPERLINK("https://bg3.wiki/wiki/Zhentarim_Shipping_Crate", "Zhentarim Shipping Crate")</f>
        <v>Zhentarim Shipping Crate</v>
      </c>
      <c r="B471" s="39" t="s">
        <v>11</v>
      </c>
      <c r="C471" s="40" t="s">
        <v>158</v>
      </c>
      <c r="D471" s="41"/>
      <c r="E471" s="15"/>
    </row>
    <row r="472">
      <c r="C472" s="42"/>
    </row>
    <row r="473">
      <c r="C473" s="42"/>
    </row>
    <row r="474">
      <c r="A474" s="27" t="s">
        <v>1883</v>
      </c>
      <c r="C474" s="42"/>
    </row>
    <row r="475">
      <c r="A475" s="34" t="s">
        <v>7</v>
      </c>
      <c r="B475" s="35" t="s">
        <v>8</v>
      </c>
      <c r="C475" s="35" t="s">
        <v>9</v>
      </c>
      <c r="D475" s="36" t="s">
        <v>10</v>
      </c>
      <c r="E475" s="43"/>
    </row>
    <row r="476">
      <c r="A476" s="21" t="str">
        <f>HYPERLINK("https://bg3.wiki/wiki/Butchered_Mind", "Butchered Mind")</f>
        <v>Butchered Mind</v>
      </c>
      <c r="B476" s="22" t="s">
        <v>11</v>
      </c>
      <c r="C476" s="23" t="s">
        <v>158</v>
      </c>
      <c r="D476" s="24"/>
      <c r="E476" s="15"/>
    </row>
    <row r="477">
      <c r="A477" s="21" t="str">
        <f>HYPERLINK("https://bg3.wiki/wiki/Candle", "Candle")</f>
        <v>Candle</v>
      </c>
      <c r="B477" s="22" t="s">
        <v>11</v>
      </c>
      <c r="C477" s="23" t="s">
        <v>1884</v>
      </c>
      <c r="D477" s="24" t="str">
        <f t="shared" ref="D477:D478" si="14">"Osi.TemplateAddTo("""&amp; C477 &amp;""", GetHostCharacter(), 1, 1);"</f>
        <v>Osi.TemplateAddTo("34df8770-06c5-4752-a7b6-25d4f64d64dc", GetHostCharacter(), 1, 1);</v>
      </c>
    </row>
    <row r="478">
      <c r="A478" s="61" t="str">
        <f>HYPERLINK("https://bg3.wiki/wiki/Carafe_of_Water", "Carafe of Water")</f>
        <v>Carafe of Water</v>
      </c>
      <c r="B478" s="22" t="s">
        <v>11</v>
      </c>
      <c r="C478" s="23" t="s">
        <v>1885</v>
      </c>
      <c r="D478" s="24" t="str">
        <f t="shared" si="14"/>
        <v>Osi.TemplateAddTo("d8fff9cf-05b9-4aeb-b5b4-0f6bb98b7f2c", GetHostCharacter(), 1, 1);</v>
      </c>
    </row>
    <row r="479">
      <c r="A479" s="61" t="str">
        <f>HYPERLINK("https://bg3.wiki/wiki/Closed_Mind", "Closed Mind")</f>
        <v>Closed Mind</v>
      </c>
      <c r="B479" s="22" t="s">
        <v>11</v>
      </c>
      <c r="C479" s="23" t="s">
        <v>158</v>
      </c>
      <c r="D479" s="24"/>
    </row>
    <row r="480">
      <c r="A480" s="61" t="str">
        <f>HYPERLINK("https://bg3.wiki/wiki/Dark_Mind", "Dark Mind")</f>
        <v>Dark Mind</v>
      </c>
      <c r="B480" s="22" t="s">
        <v>11</v>
      </c>
      <c r="C480" s="23" t="s">
        <v>1886</v>
      </c>
      <c r="D480" s="24" t="str">
        <f t="shared" ref="D480:D482" si="15">"Osi.TemplateAddTo("""&amp; C480 &amp;""", GetHostCharacter(), 1, 1);"</f>
        <v>Osi.TemplateAddTo("f938e0a4-fb50-4d69-8b40-18e9bba30a22", GetHostCharacter(), 1, 1);</v>
      </c>
    </row>
    <row r="481">
      <c r="A481" s="61" t="str">
        <f>HYPERLINK("https://bg3.wiki/wiki/Dawnmaster%27s_Crest", "Dawnmaster's Crest")</f>
        <v>Dawnmaster's Crest</v>
      </c>
      <c r="B481" s="22" t="s">
        <v>11</v>
      </c>
      <c r="C481" s="23" t="s">
        <v>1887</v>
      </c>
      <c r="D481" s="24" t="str">
        <f t="shared" si="15"/>
        <v>Osi.TemplateAddTo("3b05b86b-4282-4a92-ace7-e323c1fc1d1e", GetHostCharacter(), 1, 1);</v>
      </c>
    </row>
    <row r="482">
      <c r="A482" s="61" t="str">
        <f>HYPERLINK("https://bg3.wiki/wiki/Dead_Pixie", "Dead Pixie")</f>
        <v>Dead Pixie</v>
      </c>
      <c r="B482" s="22" t="s">
        <v>11</v>
      </c>
      <c r="C482" s="23" t="s">
        <v>1888</v>
      </c>
      <c r="D482" s="24" t="str">
        <f t="shared" si="15"/>
        <v>Osi.TemplateAddTo("f6d1950c-8823-4c90-bcea-466de1a8f336", GetHostCharacter(), 1, 1);</v>
      </c>
    </row>
    <row r="483">
      <c r="A483" s="61" t="str">
        <f>HYPERLINK("https://bg3.wiki/wiki/Discarded_Wine_Bottle", "Discarded Wine Bottle")</f>
        <v>Discarded Wine Bottle</v>
      </c>
      <c r="B483" s="22" t="s">
        <v>11</v>
      </c>
      <c r="C483" s="23" t="s">
        <v>158</v>
      </c>
      <c r="D483" s="24"/>
    </row>
    <row r="484">
      <c r="A484" s="61" t="str">
        <f>HYPERLINK("https://bg3.wiki/wiki/Filigreed_Feywild_Bell", "Filigreed Feywild Bell")</f>
        <v>Filigreed Feywild Bell</v>
      </c>
      <c r="B484" s="22" t="s">
        <v>11</v>
      </c>
      <c r="C484" s="23" t="s">
        <v>158</v>
      </c>
      <c r="D484" s="24"/>
    </row>
    <row r="485">
      <c r="A485" s="61" t="str">
        <f>HYPERLINK("https://bg3.wiki/wiki/Fresh_Mind", "Fresh Mind")</f>
        <v>Fresh Mind</v>
      </c>
      <c r="B485" s="22" t="s">
        <v>11</v>
      </c>
      <c r="C485" s="23" t="s">
        <v>158</v>
      </c>
      <c r="D485" s="24"/>
    </row>
    <row r="486">
      <c r="A486" s="61" t="str">
        <f>HYPERLINK("https://bg3.wiki/wiki/Head_of_a_Broken_Spear", "Head of a Broken Spear")</f>
        <v>Head of a Broken Spear</v>
      </c>
      <c r="B486" s="22" t="s">
        <v>11</v>
      </c>
      <c r="C486" s="23" t="s">
        <v>1889</v>
      </c>
      <c r="D486" s="24" t="str">
        <f t="shared" ref="D486:D495" si="16">"Osi.TemplateAddTo("""&amp; C486 &amp;""", GetHostCharacter(), 1, 1);"</f>
        <v>Osi.TemplateAddTo("6774f642-6aa3-4756-a07d-a6be51ad6f06", GetHostCharacter(), 1, 1);</v>
      </c>
    </row>
    <row r="487">
      <c r="A487" s="61" t="str">
        <f>HYPERLINK("https://bg3.wiki/wiki/Heavy_Stone", "Heavy Stone")</f>
        <v>Heavy Stone</v>
      </c>
      <c r="B487" s="22" t="s">
        <v>11</v>
      </c>
      <c r="C487" s="23" t="s">
        <v>1890</v>
      </c>
      <c r="D487" s="24" t="str">
        <f t="shared" si="16"/>
        <v>Osi.TemplateAddTo("27f77a61-a259-4fe2-9d7d-d94d2f0a5bee", GetHostCharacter(), 1, 1);</v>
      </c>
    </row>
    <row r="488">
      <c r="A488" s="61" t="str">
        <f>HYPERLINK("https://bg3.wiki/wiki/Icy_Crystal", "Icy Crystal")</f>
        <v>Icy Crystal</v>
      </c>
      <c r="B488" s="22" t="s">
        <v>11</v>
      </c>
      <c r="C488" s="23" t="s">
        <v>1891</v>
      </c>
      <c r="D488" s="24" t="str">
        <f t="shared" si="16"/>
        <v>Osi.TemplateAddTo("35308cf1-3480-4a22-be9c-c0f41c3eb14c", GetHostCharacter(), 1, 1);</v>
      </c>
    </row>
    <row r="489">
      <c r="A489" s="61" t="str">
        <f>HYPERLINK("https://bg3.wiki/wiki/Icy_Helve", "Icy Helve")</f>
        <v>Icy Helve</v>
      </c>
      <c r="B489" s="22" t="s">
        <v>11</v>
      </c>
      <c r="C489" s="23" t="s">
        <v>1892</v>
      </c>
      <c r="D489" s="24" t="str">
        <f t="shared" si="16"/>
        <v>Osi.TemplateAddTo("44bb4707-398c-4a38-9959-eb3052ebabc2", GetHostCharacter(), 1, 1);</v>
      </c>
    </row>
    <row r="490">
      <c r="A490" s="61" t="str">
        <f>HYPERLINK("https://bg3.wiki/wiki/Icy_Metal", "Icy Metal")</f>
        <v>Icy Metal</v>
      </c>
      <c r="B490" s="22" t="s">
        <v>11</v>
      </c>
      <c r="C490" s="23" t="s">
        <v>1893</v>
      </c>
      <c r="D490" s="24" t="str">
        <f t="shared" si="16"/>
        <v>Osi.TemplateAddTo("db32d957-c708-4694-a863-271e6a9a4676", GetHostCharacter(), 1, 1);</v>
      </c>
    </row>
    <row r="491">
      <c r="A491" s="61" t="str">
        <f>HYPERLINK("https://bg3.wiki/wiki/Idol_of_Sel%C3%BBne", "Idol of Selûne")</f>
        <v>Idol of Selûne</v>
      </c>
      <c r="B491" s="22" t="s">
        <v>11</v>
      </c>
      <c r="C491" s="23" t="s">
        <v>1894</v>
      </c>
      <c r="D491" s="24" t="str">
        <f t="shared" si="16"/>
        <v>Osi.TemplateAddTo("a8491759-fcb1-41bb-8290-035de4bd747f", GetHostCharacter(), 1, 1);</v>
      </c>
    </row>
    <row r="492">
      <c r="A492" s="61" t="str">
        <f>HYPERLINK("https://bg3.wiki/wiki/Idol_of_Shar", "Idol of Shar")</f>
        <v>Idol of Shar</v>
      </c>
      <c r="B492" s="22" t="s">
        <v>11</v>
      </c>
      <c r="C492" s="23" t="s">
        <v>1895</v>
      </c>
      <c r="D492" s="24" t="str">
        <f t="shared" si="16"/>
        <v>Osi.TemplateAddTo("f48ab49f-943b-4702-aabe-e6c17867ec86", GetHostCharacter(), 1, 1);</v>
      </c>
    </row>
    <row r="493">
      <c r="A493" s="61" t="str">
        <f>HYPERLINK("https://bg3.wiki/wiki/Idol_of_Silvanus", "Idol of Silvanus")</f>
        <v>Idol of Silvanus</v>
      </c>
      <c r="B493" s="22" t="s">
        <v>11</v>
      </c>
      <c r="C493" s="23" t="s">
        <v>1896</v>
      </c>
      <c r="D493" s="24" t="str">
        <f t="shared" si="16"/>
        <v>Osi.TemplateAddTo("bd8795e9-7daa-4d92-bac4-93f5dd8f66b2", GetHostCharacter(), 1, 1);</v>
      </c>
    </row>
    <row r="494">
      <c r="A494" s="61" t="str">
        <f>HYPERLINK("https://bg3.wiki/wiki/Lever_Handle", "Lever Handle")</f>
        <v>Lever Handle</v>
      </c>
      <c r="B494" s="22" t="s">
        <v>11</v>
      </c>
      <c r="C494" s="23" t="s">
        <v>1897</v>
      </c>
      <c r="D494" s="24" t="str">
        <f t="shared" si="16"/>
        <v>Osi.TemplateAddTo("8026e98c-58e7-4fc7-96ec-b188f1b89251", GetHostCharacter(), 1, 1);</v>
      </c>
    </row>
    <row r="495">
      <c r="A495" s="61" t="str">
        <f>HYPERLINK("https://bg3.wiki/wiki/Mithral_Ore", "Mithral Ore")</f>
        <v>Mithral Ore</v>
      </c>
      <c r="B495" s="22" t="s">
        <v>11</v>
      </c>
      <c r="C495" s="23" t="s">
        <v>1857</v>
      </c>
      <c r="D495" s="24" t="str">
        <f t="shared" si="16"/>
        <v>Osi.TemplateAddTo("f65292f7-a930-48a3-a803-914da4781056", GetHostCharacter(), 1, 1);</v>
      </c>
    </row>
    <row r="496">
      <c r="A496" s="61" t="str">
        <f>HYPERLINK("https://bg3.wiki/wiki/Mol%27s_Eyepatch", "Mol's Eyepatch")</f>
        <v>Mol's Eyepatch</v>
      </c>
      <c r="B496" s="22" t="s">
        <v>11</v>
      </c>
      <c r="C496" s="23" t="s">
        <v>158</v>
      </c>
      <c r="D496" s="24"/>
    </row>
    <row r="497">
      <c r="A497" s="61" t="str">
        <f>HYPERLINK("https://bg3.wiki/wiki/Mother_Dearest", "Mother Dearest")</f>
        <v>Mother Dearest</v>
      </c>
      <c r="B497" s="22" t="s">
        <v>11</v>
      </c>
      <c r="C497" s="23" t="s">
        <v>158</v>
      </c>
      <c r="D497" s="24"/>
    </row>
    <row r="498">
      <c r="A498" s="61" t="str">
        <f>HYPERLINK("https://bg3.wiki/wiki/Music_Box", "Music Box")</f>
        <v>Music Box</v>
      </c>
      <c r="B498" s="22" t="s">
        <v>11</v>
      </c>
      <c r="C498" s="23" t="s">
        <v>1898</v>
      </c>
      <c r="D498" s="24" t="str">
        <f t="shared" ref="D498:D505" si="17">"Osi.TemplateAddTo("""&amp; C498 &amp;""", GetHostCharacter(), 1, 1);"</f>
        <v>Osi.TemplateAddTo("fe651984-16d0-428a-bf15-7bee24a31f71", GetHostCharacter(), 1, 1);</v>
      </c>
    </row>
    <row r="499">
      <c r="A499" s="61" t="str">
        <f>HYPERLINK("https://bg3.wiki/wiki/Resonance_Stone", "Resonance Stone")</f>
        <v>Resonance Stone</v>
      </c>
      <c r="B499" s="22" t="s">
        <v>24</v>
      </c>
      <c r="C499" s="23" t="s">
        <v>1899</v>
      </c>
      <c r="D499" s="24" t="str">
        <f t="shared" si="17"/>
        <v>Osi.TemplateAddTo("a7edf7ca-1999-4d2c-b1bf-035d6e2b9e6e", GetHostCharacter(), 1, 1);</v>
      </c>
    </row>
    <row r="500">
      <c r="A500" s="61" t="str">
        <f>HYPERLINK("https://bg3.wiki/wiki/Shaft_of_a_Broken_Spear", "Shaft of a Broken Spear")</f>
        <v>Shaft of a Broken Spear</v>
      </c>
      <c r="B500" s="22" t="s">
        <v>11</v>
      </c>
      <c r="C500" s="23" t="s">
        <v>1900</v>
      </c>
      <c r="D500" s="24" t="str">
        <f t="shared" si="17"/>
        <v>Osi.TemplateAddTo("414956be-4aa5-447f-99c0-fb6382881ff5", GetHostCharacter(), 1, 1);</v>
      </c>
    </row>
    <row r="501">
      <c r="A501" s="61" t="str">
        <f>HYPERLINK("https://bg3.wiki/wiki/Shovel_(item)", "Shovel (item)")</f>
        <v>Shovel (item)</v>
      </c>
      <c r="B501" s="22" t="s">
        <v>11</v>
      </c>
      <c r="C501" s="23" t="s">
        <v>14</v>
      </c>
      <c r="D501" s="24" t="str">
        <f t="shared" si="17"/>
        <v>Osi.TemplateAddTo("73efd1f7-5616-4ca8-84e6-6128aa6efaea", GetHostCharacter(), 1, 1);</v>
      </c>
    </row>
    <row r="502">
      <c r="A502" s="61" t="str">
        <f>HYPERLINK("https://bg3.wiki/wiki/Slave_Mind", "Slave Mind")</f>
        <v>Slave Mind</v>
      </c>
      <c r="B502" s="22" t="s">
        <v>11</v>
      </c>
      <c r="C502" s="23" t="s">
        <v>1901</v>
      </c>
      <c r="D502" s="24" t="str">
        <f t="shared" si="17"/>
        <v>Osi.TemplateAddTo("2c5bca7e-8649-4217-9ebb-52b20a506e99", GetHostCharacter(), 1, 1);</v>
      </c>
    </row>
    <row r="503">
      <c r="A503" s="61" t="str">
        <f>HYPERLINK("https://bg3.wiki/wiki/Soap_Bar", "Soap Bar")</f>
        <v>Soap Bar</v>
      </c>
      <c r="B503" s="22" t="s">
        <v>11</v>
      </c>
      <c r="C503" s="23" t="s">
        <v>1902</v>
      </c>
      <c r="D503" s="24" t="str">
        <f t="shared" si="17"/>
        <v>Osi.TemplateAddTo("d32a68ff-3b6a-4d83-b0c4-0a2c44b93ea9", GetHostCharacter(), 1, 1);</v>
      </c>
    </row>
    <row r="504">
      <c r="A504" s="61" t="str">
        <f>HYPERLINK("https://bg3.wiki/wiki/Sponge", "Sponge")</f>
        <v>Sponge</v>
      </c>
      <c r="B504" s="22" t="s">
        <v>11</v>
      </c>
      <c r="C504" s="23" t="s">
        <v>1903</v>
      </c>
      <c r="D504" s="24" t="str">
        <f t="shared" si="17"/>
        <v>Osi.TemplateAddTo("172603c6-0ee4-40f4-9f60-2727e44544d3", GetHostCharacter(), 1, 1);</v>
      </c>
    </row>
    <row r="505">
      <c r="A505" s="61" t="str">
        <f>HYPERLINK("https://bg3.wiki/wiki/Sponge_Tray", "Sponge Tray")</f>
        <v>Sponge Tray</v>
      </c>
      <c r="B505" s="22" t="s">
        <v>444</v>
      </c>
      <c r="C505" s="23" t="s">
        <v>1904</v>
      </c>
      <c r="D505" s="24" t="str">
        <f t="shared" si="17"/>
        <v>Osi.TemplateAddTo("8e11fada-192f-4042-8c84-dc7b78f32541", GetHostCharacter(), 1, 1);</v>
      </c>
    </row>
    <row r="506">
      <c r="A506" s="61" t="str">
        <f>HYPERLINK("https://bg3.wiki/wiki/True_Mind", "True Mind")</f>
        <v>True Mind</v>
      </c>
      <c r="B506" s="22" t="s">
        <v>11</v>
      </c>
      <c r="C506" s="23" t="s">
        <v>158</v>
      </c>
      <c r="D506" s="24"/>
    </row>
    <row r="507">
      <c r="A507" s="61" t="str">
        <f>HYPERLINK("https://bg3.wiki/wiki/Waking_Mind", "Waking Mind")</f>
        <v>Waking Mind</v>
      </c>
      <c r="B507" s="22" t="s">
        <v>11</v>
      </c>
      <c r="C507" s="23" t="s">
        <v>158</v>
      </c>
      <c r="D507" s="24"/>
    </row>
    <row r="508">
      <c r="A508" s="61" t="str">
        <f>HYPERLINK("https://bg3.wiki/wiki/Water", "Water")</f>
        <v>Water</v>
      </c>
      <c r="B508" s="22" t="s">
        <v>11</v>
      </c>
      <c r="C508" s="23" t="s">
        <v>1905</v>
      </c>
      <c r="D508" s="24" t="str">
        <f>"Osi.TemplateAddTo("""&amp; C508 &amp;""", GetHostCharacter(), 1, 1);"</f>
        <v>Osi.TemplateAddTo("640302a8-d841-44d6-996d-2addda644306", GetHostCharacter(), 1, 1);</v>
      </c>
    </row>
    <row r="509">
      <c r="A509" s="66" t="str">
        <f>HYPERLINK("https://bg3.wiki/wiki/Willing_Mind", "Willing Mind")</f>
        <v>Willing Mind</v>
      </c>
      <c r="B509" s="39" t="s">
        <v>11</v>
      </c>
      <c r="C509" s="40" t="s">
        <v>158</v>
      </c>
      <c r="D509" s="41"/>
    </row>
    <row r="510">
      <c r="C510" s="42"/>
    </row>
  </sheetData>
  <mergeCells count="1">
    <mergeCell ref="E423:E428"/>
  </mergeCells>
  <conditionalFormatting sqref="B1:B510">
    <cfRule type="cellIs" dxfId="0" priority="1" operator="equal">
      <formula>"Common"</formula>
    </cfRule>
  </conditionalFormatting>
  <conditionalFormatting sqref="B3:B510">
    <cfRule type="cellIs" dxfId="1" priority="2" operator="equal">
      <formula>"rare"</formula>
    </cfRule>
  </conditionalFormatting>
  <conditionalFormatting sqref="B3:B510">
    <cfRule type="cellIs" dxfId="2" priority="3" operator="equal">
      <formula>"Very Rare"</formula>
    </cfRule>
  </conditionalFormatting>
  <conditionalFormatting sqref="B3:B510">
    <cfRule type="cellIs" dxfId="3" priority="4" operator="equal">
      <formula>"Uncommon"</formula>
    </cfRule>
  </conditionalFormatting>
  <conditionalFormatting sqref="B3:B510">
    <cfRule type="cellIs" dxfId="4" priority="5" operator="equal">
      <formula>"Legendary"</formula>
    </cfRule>
  </conditionalFormatting>
  <conditionalFormatting sqref="B3:B510">
    <cfRule type="cellIs" dxfId="5" priority="6" operator="equal">
      <formula>"Story Item"</formula>
    </cfRule>
  </conditionalFormatting>
  <conditionalFormatting sqref="C3:C510">
    <cfRule type="containsText" dxfId="6" priority="7" operator="containsText" text="todo">
      <formula>NOT(ISERROR(SEARCH(("todo"),(C3))))</formula>
    </cfRule>
  </conditionalFormatting>
  <hyperlinks>
    <hyperlink r:id="rId1" ref="E423"/>
  </hyperlinks>
  <drawing r:id="rId2"/>
  <tableParts count="8">
    <tablePart r:id="rId11"/>
    <tablePart r:id="rId12"/>
    <tablePart r:id="rId13"/>
    <tablePart r:id="rId14"/>
    <tablePart r:id="rId15"/>
    <tablePart r:id="rId16"/>
    <tablePart r:id="rId17"/>
    <tablePart r:id="rId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9.5"/>
    <col customWidth="1" min="3" max="3" width="20.13"/>
    <col customWidth="1" min="4" max="4" width="70.0"/>
  </cols>
  <sheetData>
    <row r="1">
      <c r="A1" s="81" t="s">
        <v>1906</v>
      </c>
      <c r="C1" s="42"/>
    </row>
    <row r="2">
      <c r="A2" s="27" t="s">
        <v>1907</v>
      </c>
      <c r="C2" s="42"/>
    </row>
    <row r="3">
      <c r="A3" s="34" t="s">
        <v>7</v>
      </c>
      <c r="B3" s="35" t="s">
        <v>8</v>
      </c>
      <c r="C3" s="35" t="s">
        <v>9</v>
      </c>
      <c r="D3" s="36" t="s">
        <v>10</v>
      </c>
    </row>
    <row r="4">
      <c r="A4" s="21" t="str">
        <f>HYPERLINK("https://bg3.wiki/wiki/Iron_Flask", "Iron Flask")</f>
        <v>Iron Flask</v>
      </c>
      <c r="B4" s="22" t="s">
        <v>55</v>
      </c>
      <c r="C4" s="23" t="s">
        <v>456</v>
      </c>
      <c r="D4" s="24" t="str">
        <f t="shared" ref="D4:D8" si="1">"Osi.TemplateAddTo("""&amp; C4 &amp;""", GetHostCharacter(), 1, 1);"</f>
        <v>Osi.TemplateAddTo("369c04b5-992b-4bde-8451-1eac0a3376ea", GetHostCharacter(), 1, 1);</v>
      </c>
    </row>
    <row r="5">
      <c r="A5" s="21" t="str">
        <f>HYPERLINK("https://bg3.wiki/wiki/Mayrina%27s_Locket", "Mayrina's Locket")</f>
        <v>Mayrina's Locket</v>
      </c>
      <c r="B5" s="22" t="s">
        <v>55</v>
      </c>
      <c r="C5" s="23" t="s">
        <v>784</v>
      </c>
      <c r="D5" s="24" t="str">
        <f t="shared" si="1"/>
        <v>Osi.TemplateAddTo("0ecfe9e6-f7f9-45a4-89b0-1db1ed8e8c56", GetHostCharacter(), 1, 1);</v>
      </c>
    </row>
    <row r="6">
      <c r="A6" s="21" t="str">
        <f>HYPERLINK("https://bg3.wiki/wiki/Mind_Flayer_Parasite_Specimen", "Mind Flayer Parasite Specimen")</f>
        <v>Mind Flayer Parasite Specimen</v>
      </c>
      <c r="B6" s="22" t="s">
        <v>55</v>
      </c>
      <c r="C6" s="23" t="s">
        <v>1856</v>
      </c>
      <c r="D6" s="24" t="str">
        <f t="shared" si="1"/>
        <v>Osi.TemplateAddTo("1ec327be-3b7f-4502-9586-860e057e09ae", GetHostCharacter(), 1, 1);</v>
      </c>
    </row>
    <row r="7">
      <c r="A7" s="21" t="str">
        <f>HYPERLINK("https://bg3.wiki/wiki/Qua%27nith_Psionic_Detector", "Qua'nith Psionic Detector")</f>
        <v>Qua'nith Psionic Detector</v>
      </c>
      <c r="B7" s="22" t="s">
        <v>55</v>
      </c>
      <c r="C7" s="23" t="s">
        <v>1908</v>
      </c>
      <c r="D7" s="24" t="str">
        <f t="shared" si="1"/>
        <v>Osi.TemplateAddTo("2a11a29e-ee3e-4ad7-9d06-beb79efea4e5", GetHostCharacter(), 1, 1);</v>
      </c>
    </row>
    <row r="8">
      <c r="A8" s="38" t="str">
        <f>HYPERLINK("https://bg3.wiki/wiki/Scratch%27s_Ball", "Scratch's Ball")</f>
        <v>Scratch's Ball</v>
      </c>
      <c r="B8" s="39" t="s">
        <v>11</v>
      </c>
      <c r="C8" s="40" t="s">
        <v>1909</v>
      </c>
      <c r="D8" s="41" t="str">
        <f t="shared" si="1"/>
        <v>Osi.TemplateAddTo("10df0443-eef7-4765-be17-ce2dbb8b3eb5", GetHostCharacter(), 1, 1);</v>
      </c>
    </row>
    <row r="9">
      <c r="C9" s="42"/>
    </row>
    <row r="10">
      <c r="A10" s="27" t="s">
        <v>1910</v>
      </c>
      <c r="C10" s="42"/>
    </row>
    <row r="11">
      <c r="A11" s="34" t="s">
        <v>7</v>
      </c>
      <c r="B11" s="35" t="s">
        <v>8</v>
      </c>
      <c r="C11" s="35" t="s">
        <v>9</v>
      </c>
      <c r="D11" s="36" t="s">
        <v>10</v>
      </c>
    </row>
    <row r="12">
      <c r="A12" s="21" t="str">
        <f>HYPERLINK("https://bg3.wiki/wiki/An_Opportunity_from_the_Society_of_Brilliance", "An Opportunity from the Society of Brilliance")</f>
        <v>An Opportunity from the Society of Brilliance</v>
      </c>
      <c r="B12" s="22" t="s">
        <v>55</v>
      </c>
      <c r="C12" s="23" t="s">
        <v>1911</v>
      </c>
      <c r="D12" s="24" t="str">
        <f t="shared" ref="D12:D13" si="2">"Osi.TemplateAddTo("""&amp; C12 &amp;""", GetHostCharacter(), 1, 1);"</f>
        <v>Osi.TemplateAddTo("06332bc8-19b5-4f9c-9013-6d433abd78a0", GetHostCharacter(), 1, 1);</v>
      </c>
    </row>
    <row r="13">
      <c r="A13" s="21" t="str">
        <f>HYPERLINK("https://bg3.wiki/wiki/Blooming_Drow_Head", "Blooming Drow Head")</f>
        <v>Blooming Drow Head</v>
      </c>
      <c r="B13" s="22" t="s">
        <v>55</v>
      </c>
      <c r="C13" s="23" t="s">
        <v>1912</v>
      </c>
      <c r="D13" s="24" t="str">
        <f t="shared" si="2"/>
        <v>Osi.TemplateAddTo("55249c82-7b97-4f8b-8fc2-ba0053aa6621", GetHostCharacter(), 1, 1);</v>
      </c>
    </row>
    <row r="14">
      <c r="A14" s="21" t="str">
        <f>HYPERLINK("https://bg3.wiki/wiki/Brass_Locket", "Brass Locket")</f>
        <v>Brass Locket</v>
      </c>
      <c r="B14" s="22" t="s">
        <v>55</v>
      </c>
      <c r="C14" s="23" t="s">
        <v>158</v>
      </c>
      <c r="D14" s="24"/>
    </row>
    <row r="15">
      <c r="A15" s="21" t="str">
        <f>HYPERLINK("https://bg3.wiki/wiki/Dark_Amethyst", "Dark Amethyst")</f>
        <v>Dark Amethyst</v>
      </c>
      <c r="B15" s="22" t="s">
        <v>55</v>
      </c>
      <c r="C15" s="23" t="s">
        <v>1913</v>
      </c>
      <c r="D15" s="24" t="str">
        <f t="shared" ref="D15:D16" si="3">"Osi.TemplateAddTo("""&amp; C15 &amp;""", GetHostCharacter(), 1, 1);"</f>
        <v>Osi.TemplateAddTo("f3b79dc6-aa5e-46a9-828e-6f6ce0021c48", GetHostCharacter(), 1, 1);</v>
      </c>
    </row>
    <row r="16">
      <c r="A16" s="61" t="str">
        <f>HYPERLINK("https://bg3.wiki/wiki/Duergar_Antidote", "Duergar Antidote")</f>
        <v>Duergar Antidote</v>
      </c>
      <c r="B16" s="22" t="s">
        <v>11</v>
      </c>
      <c r="C16" s="23" t="s">
        <v>1628</v>
      </c>
      <c r="D16" s="24" t="str">
        <f t="shared" si="3"/>
        <v>Osi.TemplateAddTo("d0e9a8cd-ca87-42bc-bc48-8bf20975a927", GetHostCharacter(), 1, 1);</v>
      </c>
    </row>
    <row r="17">
      <c r="A17" s="61" t="str">
        <f>HYPERLINK("https://bg3.wiki/wiki/Elaborate_Slate", "Elaborate Slate")</f>
        <v>Elaborate Slate</v>
      </c>
      <c r="B17" s="22" t="s">
        <v>55</v>
      </c>
      <c r="C17" s="23" t="s">
        <v>158</v>
      </c>
      <c r="D17" s="24"/>
    </row>
    <row r="18">
      <c r="A18" s="61" t="str">
        <f>HYPERLINK("https://bg3.wiki/wiki/Eldritch_Rune", "Eldritch Rune")</f>
        <v>Eldritch Rune</v>
      </c>
      <c r="B18" s="22" t="s">
        <v>55</v>
      </c>
      <c r="C18" s="23" t="s">
        <v>158</v>
      </c>
      <c r="D18" s="24"/>
    </row>
    <row r="19">
      <c r="A19" s="61" t="str">
        <f>HYPERLINK("https://bg3.wiki/wiki/Flumph_Mating_Rituals", "Flumph Mating Rituals")</f>
        <v>Flumph Mating Rituals</v>
      </c>
      <c r="B19" s="22" t="s">
        <v>55</v>
      </c>
      <c r="C19" s="23" t="s">
        <v>1914</v>
      </c>
      <c r="D19" s="24" t="str">
        <f t="shared" ref="D19:D32" si="4">"Osi.TemplateAddTo("""&amp; C19 &amp;""", GetHostCharacter(), 1, 1);"</f>
        <v>Osi.TemplateAddTo("09d63912-2a69-499e-9497-dc832487e426", GetHostCharacter(), 1, 1);</v>
      </c>
    </row>
    <row r="20">
      <c r="A20" s="61" t="str">
        <f>HYPERLINK("https://bg3.wiki/wiki/Gift_from_the_Absolute", "Gift from the Absolute")</f>
        <v>Gift from the Absolute</v>
      </c>
      <c r="B20" s="22" t="s">
        <v>55</v>
      </c>
      <c r="C20" s="23" t="s">
        <v>1853</v>
      </c>
      <c r="D20" s="24" t="str">
        <f t="shared" si="4"/>
        <v>Osi.TemplateAddTo("d1f2b294-fdf8-43df-8d11-19743077cb68", GetHostCharacter(), 1, 1);</v>
      </c>
    </row>
    <row r="21">
      <c r="A21" s="61" t="str">
        <f>HYPERLINK("https://bg3.wiki/wiki/Goblin%27s_Drawing", "Goblin's Drawing")</f>
        <v>Goblin's Drawing</v>
      </c>
      <c r="B21" s="22" t="s">
        <v>55</v>
      </c>
      <c r="C21" s="23" t="s">
        <v>1915</v>
      </c>
      <c r="D21" s="24" t="str">
        <f t="shared" si="4"/>
        <v>Osi.TemplateAddTo("711d3410-e033-4cc1-b3e2-0e3b3abc9a85", GetHostCharacter(), 1, 1);</v>
      </c>
    </row>
    <row r="22">
      <c r="A22" s="61" t="str">
        <f>HYPERLINK("https://bg3.wiki/wiki/Halsin%27s_Journal,_Vol_II", "Halsin's Journal, Vol II")</f>
        <v>Halsin's Journal, Vol II</v>
      </c>
      <c r="B22" s="22" t="s">
        <v>55</v>
      </c>
      <c r="C22" s="23" t="s">
        <v>1916</v>
      </c>
      <c r="D22" s="24" t="str">
        <f t="shared" si="4"/>
        <v>Osi.TemplateAddTo("5e4aafd4-f56c-4b05-ad5a-00eccdb87d9d", GetHostCharacter(), 1, 1);</v>
      </c>
    </row>
    <row r="23">
      <c r="A23" s="61" t="str">
        <f>HYPERLINK("https://bg3.wiki/wiki/Hastily_Written_Note_(Druids_Grove)", "Hastily Written Note (Druids Grove)")</f>
        <v>Hastily Written Note (Druids Grove)</v>
      </c>
      <c r="B23" s="22" t="s">
        <v>55</v>
      </c>
      <c r="C23" s="23" t="s">
        <v>1917</v>
      </c>
      <c r="D23" s="24" t="str">
        <f t="shared" si="4"/>
        <v>Osi.TemplateAddTo("bdb98059-e3e3-4411-8b10-59d8b1235339", GetHostCharacter(), 1, 1);</v>
      </c>
    </row>
    <row r="24">
      <c r="A24" s="61" t="str">
        <f>HYPERLINK("https://bg3.wiki/wiki/Hide-Bound_Journal", "Hide-Bound Journal")</f>
        <v>Hide-Bound Journal</v>
      </c>
      <c r="B24" s="22" t="s">
        <v>55</v>
      </c>
      <c r="C24" s="23" t="s">
        <v>1918</v>
      </c>
      <c r="D24" s="24" t="str">
        <f t="shared" si="4"/>
        <v>Osi.TemplateAddTo("96330d15-fe1a-4179-9b67-5bf5a335d206", GetHostCharacter(), 1, 1);</v>
      </c>
    </row>
    <row r="25">
      <c r="A25" s="61" t="str">
        <f>HYPERLINK("https://bg3.wiki/wiki/Highcliff%27s_Blueprints", "Highcliff's Blueprints")</f>
        <v>Highcliff's Blueprints</v>
      </c>
      <c r="B25" s="22" t="s">
        <v>55</v>
      </c>
      <c r="C25" s="23" t="s">
        <v>1919</v>
      </c>
      <c r="D25" s="24" t="str">
        <f t="shared" si="4"/>
        <v>Osi.TemplateAddTo("08712231-9c7c-4a83-8125-289a419e210f", GetHostCharacter(), 1, 1);</v>
      </c>
    </row>
    <row r="26">
      <c r="A26" s="61" t="str">
        <f>HYPERLINK("https://bg3.wiki/wiki/Karlach%27s_Head", "Karlach's Head")</f>
        <v>Karlach's Head</v>
      </c>
      <c r="B26" s="22" t="s">
        <v>55</v>
      </c>
      <c r="C26" s="23" t="s">
        <v>1920</v>
      </c>
      <c r="D26" s="24" t="str">
        <f t="shared" si="4"/>
        <v>Osi.TemplateAddTo("784843e5-e89a-4ffb-a556-417ba2018287", GetHostCharacter(), 1, 1);</v>
      </c>
    </row>
    <row r="27">
      <c r="A27" s="61" t="str">
        <f>HYPERLINK("https://bg3.wiki/wiki/Letter_to_Kagha", "Letter to Kagha")</f>
        <v>Letter to Kagha</v>
      </c>
      <c r="B27" s="22" t="s">
        <v>55</v>
      </c>
      <c r="C27" s="23" t="s">
        <v>1921</v>
      </c>
      <c r="D27" s="24" t="str">
        <f t="shared" si="4"/>
        <v>Osi.TemplateAddTo("b0da8ce3-139f-425b-bbce-ae67663b8a2c", GetHostCharacter(), 1, 1);</v>
      </c>
    </row>
    <row r="28">
      <c r="A28" s="61" t="str">
        <f>HYPERLINK("https://bg3.wiki/wiki/Lihala%27s_Lute", "Lihala's Lute")</f>
        <v>Lihala's Lute</v>
      </c>
      <c r="B28" s="22" t="s">
        <v>55</v>
      </c>
      <c r="C28" s="23" t="s">
        <v>1922</v>
      </c>
      <c r="D28" s="24" t="str">
        <f t="shared" si="4"/>
        <v>Osi.TemplateAddTo("45a48cf7-baed-4d48-aaf4-1399948314e6", GetHostCharacter(), 1, 1);</v>
      </c>
    </row>
    <row r="29">
      <c r="A29" s="61" t="str">
        <f>HYPERLINK("https://bg3.wiki/wiki/Lump%27s_War_Horn", "Lump's War Horn")</f>
        <v>Lump's War Horn</v>
      </c>
      <c r="B29" s="22" t="s">
        <v>11</v>
      </c>
      <c r="C29" s="23" t="s">
        <v>1923</v>
      </c>
      <c r="D29" s="24" t="str">
        <f t="shared" si="4"/>
        <v>Osi.TemplateAddTo("1f4f4587-ed01-4a11-ad5c-f9e98e0e7492", GetHostCharacter(), 1, 1);</v>
      </c>
    </row>
    <row r="30">
      <c r="A30" s="61" t="str">
        <f>HYPERLINK("https://bg3.wiki/wiki/Memory_Shard", "Memory Shard")</f>
        <v>Memory Shard</v>
      </c>
      <c r="B30" s="22" t="s">
        <v>55</v>
      </c>
      <c r="C30" s="23" t="s">
        <v>1924</v>
      </c>
      <c r="D30" s="24" t="str">
        <f t="shared" si="4"/>
        <v>Osi.TemplateAddTo("157b3cd4-c446-4523-a0a8-8bdb8d40a76e", GetHostCharacter(), 1, 1);</v>
      </c>
    </row>
    <row r="31">
      <c r="A31" s="61" t="str">
        <f>HYPERLINK("https://bg3.wiki/wiki/Mithral_Ore", "Mithral Ore")</f>
        <v>Mithral Ore</v>
      </c>
      <c r="B31" s="22" t="s">
        <v>11</v>
      </c>
      <c r="C31" s="23" t="s">
        <v>1857</v>
      </c>
      <c r="D31" s="24" t="str">
        <f t="shared" si="4"/>
        <v>Osi.TemplateAddTo("f65292f7-a930-48a3-a803-914da4781056", GetHostCharacter(), 1, 1);</v>
      </c>
    </row>
    <row r="32">
      <c r="A32" s="61" t="str">
        <f>HYPERLINK("https://bg3.wiki/wiki/Mysterious_Artefact", "Mysterious Artefact")</f>
        <v>Mysterious Artefact</v>
      </c>
      <c r="B32" s="22" t="s">
        <v>55</v>
      </c>
      <c r="C32" s="23" t="s">
        <v>1925</v>
      </c>
      <c r="D32" s="24" t="str">
        <f t="shared" si="4"/>
        <v>Osi.TemplateAddTo("326324f9-0920-8f0f-3e85-3781fbf48282", GetHostCharacter(), 1, 1);</v>
      </c>
    </row>
    <row r="33">
      <c r="A33" s="61" t="str">
        <f>HYPERLINK("https://bg3.wiki/wiki/Necromancy_of_Thay", "Necromancy of Thay")</f>
        <v>Necromancy of Thay</v>
      </c>
      <c r="B33" s="22" t="s">
        <v>55</v>
      </c>
      <c r="C33" s="23" t="s">
        <v>158</v>
      </c>
      <c r="D33" s="24"/>
    </row>
    <row r="34">
      <c r="A34" s="61" t="str">
        <f>HYPERLINK("https://bg3.wiki/wiki/Nere%27s_Head", "Nere's Head")</f>
        <v>Nere's Head</v>
      </c>
      <c r="B34" s="22" t="s">
        <v>55</v>
      </c>
      <c r="C34" s="23" t="s">
        <v>1926</v>
      </c>
      <c r="D34" s="24" t="str">
        <f t="shared" ref="D34:D37" si="5">"Osi.TemplateAddTo("""&amp; C34 &amp;""", GetHostCharacter(), 1, 1);"</f>
        <v>Osi.TemplateAddTo("0e38339f-bf26-4218-95ba-a80fd3b5cb0e", GetHostCharacter(), 1, 1);</v>
      </c>
    </row>
    <row r="35">
      <c r="A35" s="61" t="str">
        <f>HYPERLINK("https://bg3.wiki/wiki/Noblestalk", "Noblestalk")</f>
        <v>Noblestalk</v>
      </c>
      <c r="B35" s="22" t="s">
        <v>55</v>
      </c>
      <c r="C35" s="23" t="s">
        <v>1927</v>
      </c>
      <c r="D35" s="24" t="str">
        <f t="shared" si="5"/>
        <v>Osi.TemplateAddTo("09561b3f-f556-4a01-b289-9b362bc0d43a", GetHostCharacter(), 1, 1);</v>
      </c>
    </row>
    <row r="36">
      <c r="A36" s="61" t="str">
        <f>HYPERLINK("https://bg3.wiki/wiki/On_Antidotes", "On Antidotes")</f>
        <v>On Antidotes</v>
      </c>
      <c r="B36" s="22" t="s">
        <v>55</v>
      </c>
      <c r="C36" s="23" t="s">
        <v>1928</v>
      </c>
      <c r="D36" s="24" t="str">
        <f t="shared" si="5"/>
        <v>Osi.TemplateAddTo("6557e2a7-ee82-4c5a-a26b-9056e4eb03df", GetHostCharacter(), 1, 1);</v>
      </c>
    </row>
    <row r="37">
      <c r="A37" s="61" t="str">
        <f>HYPERLINK("https://bg3.wiki/wiki/Rancid_Note", "Rancid Note")</f>
        <v>Rancid Note</v>
      </c>
      <c r="B37" s="22" t="s">
        <v>55</v>
      </c>
      <c r="C37" s="23" t="s">
        <v>1929</v>
      </c>
      <c r="D37" s="24" t="str">
        <f t="shared" si="5"/>
        <v>Osi.TemplateAddTo("a10cb81b-ba44-446b-b736-f26d55475150", GetHostCharacter(), 1, 1);</v>
      </c>
    </row>
    <row r="38">
      <c r="A38" s="61" t="str">
        <f>HYPERLINK("https://bg3.wiki/wiki/Rune_of_the_Wolf", "Rune of the Wolf")</f>
        <v>Rune of the Wolf</v>
      </c>
      <c r="B38" s="22" t="s">
        <v>55</v>
      </c>
      <c r="C38" s="23" t="s">
        <v>158</v>
      </c>
      <c r="D38" s="24"/>
    </row>
    <row r="39">
      <c r="A39" s="61" t="str">
        <f>HYPERLINK("https://bg3.wiki/wiki/Scribbled_Notes", "Scribbled Notes")</f>
        <v>Scribbled Notes</v>
      </c>
      <c r="B39" s="22" t="s">
        <v>55</v>
      </c>
      <c r="C39" s="23" t="s">
        <v>1930</v>
      </c>
      <c r="D39" s="24" t="str">
        <f t="shared" ref="D39:D44" si="6">"Osi.TemplateAddTo("""&amp; C39 &amp;""", GetHostCharacter(), 1, 1);"</f>
        <v>Osi.TemplateAddTo("833be3b9-9492-4c28-aee4-21c64af4e675", GetHostCharacter(), 1, 1);</v>
      </c>
    </row>
    <row r="40">
      <c r="A40" s="61" t="str">
        <f>HYPERLINK("https://bg3.wiki/wiki/Shipment_Orders", "Shipment Orders")</f>
        <v>Shipment Orders</v>
      </c>
      <c r="B40" s="22" t="s">
        <v>55</v>
      </c>
      <c r="C40" s="23" t="s">
        <v>1931</v>
      </c>
      <c r="D40" s="24" t="str">
        <f t="shared" si="6"/>
        <v>Osi.TemplateAddTo("14ed5f04-c524-41a1-976e-4a857b326e6a", GetHostCharacter(), 1, 1);</v>
      </c>
    </row>
    <row r="41">
      <c r="A41" s="61" t="str">
        <f>HYPERLINK("https://bg3.wiki/wiki/Sussur_Bloom", "Sussur Bloom")</f>
        <v>Sussur Bloom</v>
      </c>
      <c r="B41" s="22" t="s">
        <v>55</v>
      </c>
      <c r="C41" s="23" t="s">
        <v>1932</v>
      </c>
      <c r="D41" s="24" t="str">
        <f t="shared" si="6"/>
        <v>Osi.TemplateAddTo("8706eab3-e05b-478d-833e-308379972dad", GetHostCharacter(), 1, 1);</v>
      </c>
    </row>
    <row r="42">
      <c r="A42" s="61" t="str">
        <f>HYPERLINK("https://bg3.wiki/wiki/Sussur_Tree_Bark", "Sussur Tree Bark")</f>
        <v>Sussur Tree Bark</v>
      </c>
      <c r="B42" s="22" t="s">
        <v>55</v>
      </c>
      <c r="C42" s="23" t="s">
        <v>1933</v>
      </c>
      <c r="D42" s="24" t="str">
        <f t="shared" si="6"/>
        <v>Osi.TemplateAddTo("ea99e006-80e1-414a-8995-c03d92eaf170", GetHostCharacter(), 1, 1);</v>
      </c>
    </row>
    <row r="43">
      <c r="A43" s="61" t="str">
        <f>HYPERLINK("https://bg3.wiki/wiki/Tattered_Scroll", "Tattered Scroll")</f>
        <v>Tattered Scroll</v>
      </c>
      <c r="B43" s="22" t="s">
        <v>55</v>
      </c>
      <c r="C43" s="23" t="s">
        <v>1934</v>
      </c>
      <c r="D43" s="24" t="str">
        <f t="shared" si="6"/>
        <v>Osi.TemplateAddTo("bcb0f46f-6e2d-4d87-ad48-2ed276771928", GetHostCharacter(), 1, 1);</v>
      </c>
    </row>
    <row r="44">
      <c r="A44" s="66" t="str">
        <f>HYPERLINK("https://bg3.wiki/wiki/The_Great_Furnace_of_Grymforge", "The Great Furnace of Grymforge")</f>
        <v>The Great Furnace of Grymforge</v>
      </c>
      <c r="B44" s="39" t="s">
        <v>55</v>
      </c>
      <c r="C44" s="40" t="s">
        <v>1935</v>
      </c>
      <c r="D44" s="41" t="str">
        <f t="shared" si="6"/>
        <v>Osi.TemplateAddTo("b4d60093-28b0-4076-b2f4-c7c3d3aa9d50", GetHostCharacter(), 1, 1);</v>
      </c>
    </row>
    <row r="45">
      <c r="C45" s="42"/>
    </row>
    <row r="46">
      <c r="A46" s="27" t="s">
        <v>1936</v>
      </c>
      <c r="C46" s="42"/>
    </row>
    <row r="47">
      <c r="A47" s="34" t="s">
        <v>7</v>
      </c>
      <c r="B47" s="35" t="s">
        <v>8</v>
      </c>
      <c r="C47" s="35" t="s">
        <v>9</v>
      </c>
      <c r="D47" s="36" t="s">
        <v>10</v>
      </c>
    </row>
    <row r="48">
      <c r="A48" s="21" t="str">
        <f>HYPERLINK("https://bg3.wiki/wiki/Battered_Lute", "Battered Lute")</f>
        <v>Battered Lute</v>
      </c>
      <c r="B48" s="22" t="s">
        <v>55</v>
      </c>
      <c r="C48" s="23" t="s">
        <v>1937</v>
      </c>
      <c r="D48" s="24" t="str">
        <f t="shared" ref="D48:D56" si="7">"Osi.TemplateAddTo("""&amp; C48 &amp;""", GetHostCharacter(), 1, 1);"</f>
        <v>Osi.TemplateAddTo("1329c22c-d23a-4d31-96b0-6b734074f1dc", GetHostCharacter(), 1, 1);</v>
      </c>
    </row>
    <row r="49">
      <c r="A49" s="21" t="str">
        <f>HYPERLINK("https://bg3.wiki/wiki/Broken_Moonlantern", "Broken Moonlantern")</f>
        <v>Broken Moonlantern</v>
      </c>
      <c r="B49" s="22" t="s">
        <v>55</v>
      </c>
      <c r="C49" s="23" t="s">
        <v>1938</v>
      </c>
      <c r="D49" s="24" t="str">
        <f t="shared" si="7"/>
        <v>Osi.TemplateAddTo("2c99f1f1-776b-45dd-a9d7-06e6a8e14b3f", GetHostCharacter(), 1, 1);</v>
      </c>
    </row>
    <row r="50">
      <c r="A50" s="21" t="str">
        <f>HYPERLINK("https://bg3.wiki/wiki/Grey_Scout%27s_Journal", "Grey Scout's Journal")</f>
        <v>Grey Scout's Journal</v>
      </c>
      <c r="B50" s="22" t="s">
        <v>55</v>
      </c>
      <c r="C50" s="23" t="s">
        <v>1939</v>
      </c>
      <c r="D50" s="24" t="str">
        <f t="shared" si="7"/>
        <v>Osi.TemplateAddTo("5279460a-2021-408f-b82d-593478ce3cde", GetHostCharacter(), 1, 1);</v>
      </c>
    </row>
    <row r="51">
      <c r="A51" s="61" t="str">
        <f>HYPERLINK("https://bg3.wiki/wiki/In_Search_of_the_Nightsong", "In Search of the Nightsong")</f>
        <v>In Search of the Nightsong</v>
      </c>
      <c r="B51" s="22" t="s">
        <v>55</v>
      </c>
      <c r="C51" s="23" t="s">
        <v>1940</v>
      </c>
      <c r="D51" s="24" t="str">
        <f t="shared" si="7"/>
        <v>Osi.TemplateAddTo("03ddecea-d7db-4fda-803b-5c81a0f3493b", GetHostCharacter(), 1, 1);</v>
      </c>
    </row>
    <row r="52">
      <c r="A52" s="61" t="str">
        <f>HYPERLINK("https://bg3.wiki/wiki/Ketheric%27s_Netherstone", "Ketheric's Netherstone")</f>
        <v>Ketheric's Netherstone</v>
      </c>
      <c r="B52" s="22" t="s">
        <v>55</v>
      </c>
      <c r="C52" s="23" t="s">
        <v>1941</v>
      </c>
      <c r="D52" s="24" t="str">
        <f t="shared" si="7"/>
        <v>Osi.TemplateAddTo("99d576b9-46b5-4da6-b9c4-197d17c668a4", GetHostCharacter(), 1, 1);</v>
      </c>
    </row>
    <row r="53">
      <c r="A53" s="61" t="str">
        <f>HYPERLINK("https://bg3.wiki/wiki/Madeline%27s_Ledger", "Madeline's Ledger")</f>
        <v>Madeline's Ledger</v>
      </c>
      <c r="B53" s="22" t="s">
        <v>55</v>
      </c>
      <c r="C53" s="23" t="s">
        <v>1942</v>
      </c>
      <c r="D53" s="24" t="str">
        <f t="shared" si="7"/>
        <v>Osi.TemplateAddTo("c2e4b6e3-5d33-4cdf-afc0-5b583a1aabf0", GetHostCharacter(), 1, 1);</v>
      </c>
    </row>
    <row r="54">
      <c r="A54" s="61" t="str">
        <f>HYPERLINK("https://bg3.wiki/wiki/Moonlantern", "Moonlantern")</f>
        <v>Moonlantern</v>
      </c>
      <c r="B54" s="22" t="s">
        <v>55</v>
      </c>
      <c r="C54" s="23" t="s">
        <v>56</v>
      </c>
      <c r="D54" s="24" t="str">
        <f t="shared" si="7"/>
        <v>Osi.TemplateAddTo("9aca1109-a59d-47d3-8f35-f248b70518f9", GetHostCharacter(), 1, 1);</v>
      </c>
    </row>
    <row r="55">
      <c r="A55" s="61" t="str">
        <f>HYPERLINK("https://bg3.wiki/wiki/Spider%27s_Lyre", "Spider's Lyre")</f>
        <v>Spider's Lyre</v>
      </c>
      <c r="B55" s="22" t="s">
        <v>55</v>
      </c>
      <c r="C55" s="23" t="s">
        <v>1943</v>
      </c>
      <c r="D55" s="24" t="str">
        <f t="shared" si="7"/>
        <v>Osi.TemplateAddTo("98282bec-aeaa-4490-ae43-0c27bed58c74", GetHostCharacter(), 1, 1);</v>
      </c>
    </row>
    <row r="56">
      <c r="A56" s="66" t="str">
        <f>HYPERLINK("https://bg3.wiki/wiki/Umbral_Gem", "Umbral Gem")</f>
        <v>Umbral Gem</v>
      </c>
      <c r="B56" s="39" t="s">
        <v>55</v>
      </c>
      <c r="C56" s="40" t="s">
        <v>1944</v>
      </c>
      <c r="D56" s="41" t="str">
        <f t="shared" si="7"/>
        <v>Osi.TemplateAddTo("fd3fd8a9-a5fc-4726-9b6e-77f5ecf54cea", GetHostCharacter(), 1, 1);</v>
      </c>
    </row>
    <row r="57">
      <c r="C57" s="42"/>
    </row>
    <row r="58">
      <c r="A58" s="27" t="s">
        <v>1945</v>
      </c>
      <c r="C58" s="42"/>
    </row>
    <row r="59">
      <c r="A59" s="34" t="s">
        <v>7</v>
      </c>
      <c r="B59" s="35" t="s">
        <v>8</v>
      </c>
      <c r="C59" s="35" t="s">
        <v>9</v>
      </c>
      <c r="D59" s="36" t="s">
        <v>10</v>
      </c>
    </row>
    <row r="60">
      <c r="A60" s="21" t="str">
        <f>HYPERLINK("https://bg3.wiki/wiki/%27Freedom%27", "'Freedom'")</f>
        <v>'Freedom'</v>
      </c>
      <c r="B60" s="22" t="s">
        <v>55</v>
      </c>
      <c r="C60" s="23" t="s">
        <v>1946</v>
      </c>
      <c r="D60" s="24" t="str">
        <f t="shared" ref="D60:D62" si="8">"Osi.TemplateAddTo("""&amp; C60 &amp;""", GetHostCharacter(), 1, 1);"</f>
        <v>Osi.TemplateAddTo("827df830-08c1-4a7a-8201-8cf7faa6736b", GetHostCharacter(), 1, 1);</v>
      </c>
    </row>
    <row r="61">
      <c r="A61" s="21" t="str">
        <f>HYPERLINK("https://bg3.wiki/wiki/%27The_Cell%27", "'The Cell'")</f>
        <v>'The Cell'</v>
      </c>
      <c r="B61" s="22" t="s">
        <v>55</v>
      </c>
      <c r="C61" s="23" t="s">
        <v>1947</v>
      </c>
      <c r="D61" s="24" t="str">
        <f t="shared" si="8"/>
        <v>Osi.TemplateAddTo("9e6fbe35-e0fd-4b3a-be5b-b75935e17fc0", GetHostCharacter(), 1, 1);</v>
      </c>
    </row>
    <row r="62">
      <c r="A62" s="61" t="str">
        <f>HYPERLINK("https://bg3.wiki/wiki/%27The_Hanging%27", "'The Hanging'")</f>
        <v>'The Hanging'</v>
      </c>
      <c r="B62" s="22" t="s">
        <v>55</v>
      </c>
      <c r="C62" s="23" t="s">
        <v>1948</v>
      </c>
      <c r="D62" s="24" t="str">
        <f t="shared" si="8"/>
        <v>Osi.TemplateAddTo("c97a9198-0dff-4dca-b2f0-75e680446a4a", GetHostCharacter(), 1, 1);</v>
      </c>
    </row>
    <row r="63">
      <c r="A63" s="61" t="str">
        <f>HYPERLINK("https://bg3.wiki/wiki/Alexander%27s_Hand", "Alexander's Hand")</f>
        <v>Alexander's Hand</v>
      </c>
      <c r="B63" s="22" t="s">
        <v>55</v>
      </c>
      <c r="C63" s="23" t="s">
        <v>158</v>
      </c>
      <c r="D63" s="24"/>
    </row>
    <row r="64">
      <c r="A64" s="61" t="str">
        <f>HYPERLINK("https://bg3.wiki/wiki/Amulet_of_Bhaal", "Amulet of Bhaal")</f>
        <v>Amulet of Bhaal</v>
      </c>
      <c r="B64" s="22" t="s">
        <v>55</v>
      </c>
      <c r="C64" s="23" t="s">
        <v>744</v>
      </c>
      <c r="D64" s="24" t="str">
        <f t="shared" ref="D64:D67" si="9">"Osi.TemplateAddTo("""&amp; C64 &amp;""", GetHostCharacter(), 1, 1);"</f>
        <v>Osi.TemplateAddTo("16a632e2-45b1-4ff1-8250-513eb271abea", GetHostCharacter(), 1, 1);</v>
      </c>
    </row>
    <row r="65">
      <c r="A65" s="61" t="str">
        <f>HYPERLINK("https://bg3.wiki/wiki/Archducal_Coronation_-_Admission_Pass", "Archducal Coronation - Admission Pass")</f>
        <v>Archducal Coronation - Admission Pass</v>
      </c>
      <c r="B65" s="22" t="s">
        <v>55</v>
      </c>
      <c r="C65" s="23" t="s">
        <v>1949</v>
      </c>
      <c r="D65" s="24" t="str">
        <f t="shared" si="9"/>
        <v>Osi.TemplateAddTo("77cd8eaa-2cde-4a53-bc76-71fb48624406", GetHostCharacter(), 1, 1);</v>
      </c>
    </row>
    <row r="66">
      <c r="A66" s="61" t="str">
        <f>HYPERLINK("https://bg3.wiki/wiki/Astral-Touched_Tadpole", "Astral-Touched Tadpole")</f>
        <v>Astral-Touched Tadpole</v>
      </c>
      <c r="B66" s="22" t="s">
        <v>55</v>
      </c>
      <c r="C66" s="23" t="s">
        <v>1950</v>
      </c>
      <c r="D66" s="24" t="str">
        <f t="shared" si="9"/>
        <v>Osi.TemplateAddTo("4a82e6f2-839f-434e-addf-b07dd1578194", GetHostCharacter(), 1, 1);</v>
      </c>
    </row>
    <row r="67">
      <c r="A67" s="61" t="str">
        <f>HYPERLINK("https://bg3.wiki/wiki/Bloodstained_Parchment", "Bloodstained Parchment")</f>
        <v>Bloodstained Parchment</v>
      </c>
      <c r="B67" s="22" t="s">
        <v>55</v>
      </c>
      <c r="C67" s="23" t="s">
        <v>1951</v>
      </c>
      <c r="D67" s="24" t="str">
        <f t="shared" si="9"/>
        <v>Osi.TemplateAddTo("4ece815c-aff2-45c3-8b07-dd3a04454243", GetHostCharacter(), 1, 1);</v>
      </c>
    </row>
    <row r="68">
      <c r="A68" s="61" t="str">
        <f>HYPERLINK("https://bg3.wiki/wiki/Bloody_Amulet", "Bloody Amulet")</f>
        <v>Bloody Amulet</v>
      </c>
      <c r="B68" s="22" t="s">
        <v>55</v>
      </c>
      <c r="C68" s="23" t="s">
        <v>158</v>
      </c>
      <c r="D68" s="24"/>
    </row>
    <row r="69">
      <c r="A69" s="61" t="str">
        <f>HYPERLINK("https://bg3.wiki/wiki/Clown%27s_Severed_Arm", "Clown's Severed Arm")</f>
        <v>Clown's Severed Arm</v>
      </c>
      <c r="B69" s="22" t="s">
        <v>55</v>
      </c>
      <c r="C69" s="23" t="s">
        <v>1952</v>
      </c>
      <c r="D69" s="24" t="str">
        <f t="shared" ref="D69:D75" si="10">"Osi.TemplateAddTo("""&amp; C69 &amp;""", GetHostCharacter(), 1, 1);"</f>
        <v>Osi.TemplateAddTo("c554df25-a6dd-4a30-b99d-27ae556dfe41", GetHostCharacter(), 1, 1);</v>
      </c>
    </row>
    <row r="70">
      <c r="A70" s="61" t="str">
        <f>HYPERLINK("https://bg3.wiki/wiki/Clown%27s_Severed_Foot", "Clown's Severed Foot")</f>
        <v>Clown's Severed Foot</v>
      </c>
      <c r="B70" s="22" t="s">
        <v>55</v>
      </c>
      <c r="C70" s="23" t="s">
        <v>1953</v>
      </c>
      <c r="D70" s="24" t="str">
        <f t="shared" si="10"/>
        <v>Osi.TemplateAddTo("c115ee19-9281-41cb-b2a4-28e2e81696ba", GetHostCharacter(), 1, 1);</v>
      </c>
    </row>
    <row r="71">
      <c r="A71" s="61" t="str">
        <f>HYPERLINK("https://bg3.wiki/wiki/Clown%27s_Severed_Hand", "Clown's Severed Hand")</f>
        <v>Clown's Severed Hand</v>
      </c>
      <c r="B71" s="22" t="s">
        <v>55</v>
      </c>
      <c r="C71" s="23" t="s">
        <v>1954</v>
      </c>
      <c r="D71" s="24" t="str">
        <f t="shared" si="10"/>
        <v>Osi.TemplateAddTo("d888727b-07cb-482b-84a6-70757ddfcf77", GetHostCharacter(), 1, 1);</v>
      </c>
    </row>
    <row r="72">
      <c r="A72" s="61" t="str">
        <f>HYPERLINK("https://bg3.wiki/wiki/Clown%27s_Severed_Head", "Clown's Severed Head")</f>
        <v>Clown's Severed Head</v>
      </c>
      <c r="B72" s="22" t="s">
        <v>55</v>
      </c>
      <c r="C72" s="23" t="s">
        <v>1955</v>
      </c>
      <c r="D72" s="24" t="str">
        <f t="shared" si="10"/>
        <v>Osi.TemplateAddTo("78f9c440-f21b-49ef-b800-4419640ea63f", GetHostCharacter(), 1, 1);</v>
      </c>
    </row>
    <row r="73">
      <c r="A73" s="61" t="str">
        <f>HYPERLINK("https://bg3.wiki/wiki/Clown%27s_Severed_Leg", "Clown's Severed Leg")</f>
        <v>Clown's Severed Leg</v>
      </c>
      <c r="B73" s="22" t="s">
        <v>55</v>
      </c>
      <c r="C73" s="23" t="s">
        <v>1956</v>
      </c>
      <c r="D73" s="24" t="str">
        <f t="shared" si="10"/>
        <v>Osi.TemplateAddTo("b9b087a8-0cb8-4e65-ba26-5c6469ad4669", GetHostCharacter(), 1, 1);</v>
      </c>
    </row>
    <row r="74">
      <c r="A74" s="61" t="str">
        <f>HYPERLINK("https://bg3.wiki/wiki/Clown%27s_Severed_Pelvis", "Clown's Severed Pelvis")</f>
        <v>Clown's Severed Pelvis</v>
      </c>
      <c r="B74" s="22" t="s">
        <v>55</v>
      </c>
      <c r="C74" s="23" t="s">
        <v>1957</v>
      </c>
      <c r="D74" s="24" t="str">
        <f t="shared" si="10"/>
        <v>Osi.TemplateAddTo("9c3fcbb2-d080-49bd-b88a-4bf48a4080a8", GetHostCharacter(), 1, 1);</v>
      </c>
    </row>
    <row r="75">
      <c r="A75" s="61" t="str">
        <f>HYPERLINK("https://bg3.wiki/wiki/Clown%27s_Severed_Torso", "Clown's Severed Torso")</f>
        <v>Clown's Severed Torso</v>
      </c>
      <c r="B75" s="22" t="s">
        <v>55</v>
      </c>
      <c r="C75" s="23" t="s">
        <v>1958</v>
      </c>
      <c r="D75" s="24" t="str">
        <f t="shared" si="10"/>
        <v>Osi.TemplateAddTo("506b9031-008b-400e-8102-ef6ef7dbc23f", GetHostCharacter(), 1, 1);</v>
      </c>
    </row>
    <row r="76">
      <c r="A76" s="61" t="str">
        <f>HYPERLINK("https://bg3.wiki/wiki/Coin_of_Mammon", "Coin of Mammon")</f>
        <v>Coin of Mammon</v>
      </c>
      <c r="B76" s="22" t="s">
        <v>55</v>
      </c>
      <c r="C76" s="23" t="s">
        <v>158</v>
      </c>
      <c r="D76" s="24"/>
    </row>
    <row r="77">
      <c r="A77" s="61" t="str">
        <f>HYPERLINK("https://bg3.wiki/wiki/Debtor%27s_Attire", "Debtor's Attire")</f>
        <v>Debtor's Attire</v>
      </c>
      <c r="B77" s="22" t="s">
        <v>55</v>
      </c>
      <c r="C77" s="23" t="s">
        <v>580</v>
      </c>
      <c r="D77" s="24" t="str">
        <f t="shared" ref="D77:D78" si="11">"Osi.TemplateAddTo("""&amp; C77 &amp;""", GetHostCharacter(), 1, 1);"</f>
        <v>Osi.TemplateAddTo("6f7d15a8-9bcb-45de-94c5-8c77424aaf42", GetHostCharacter(), 1, 1);</v>
      </c>
    </row>
    <row r="78">
      <c r="A78" s="61" t="str">
        <f>HYPERLINK("https://bg3.wiki/wiki/Dirge_of_the_Unholy_Assassin", "Dirge of the Unholy Assassin")</f>
        <v>Dirge of the Unholy Assassin</v>
      </c>
      <c r="B78" s="22" t="s">
        <v>55</v>
      </c>
      <c r="C78" s="23" t="s">
        <v>1959</v>
      </c>
      <c r="D78" s="24" t="str">
        <f t="shared" si="11"/>
        <v>Osi.TemplateAddTo("ffc6092a-58a1-4446-a226-84456e87f79b", GetHostCharacter(), 1, 1);</v>
      </c>
    </row>
    <row r="79">
      <c r="A79" s="61" t="str">
        <f>HYPERLINK("https://bg3.wiki/wiki/Duke_Stelmane%27s_Hand", "Duke Stelmane's Hand")</f>
        <v>Duke Stelmane's Hand</v>
      </c>
      <c r="B79" s="22" t="s">
        <v>55</v>
      </c>
      <c r="C79" s="23" t="s">
        <v>158</v>
      </c>
      <c r="D79" s="24"/>
    </row>
    <row r="80">
      <c r="A80" s="61" t="str">
        <f>HYPERLINK("https://bg3.wiki/wiki/Franc%27s_Hand", "Franc's Hand")</f>
        <v>Franc's Hand</v>
      </c>
      <c r="B80" s="22" t="s">
        <v>55</v>
      </c>
      <c r="C80" s="23" t="s">
        <v>158</v>
      </c>
      <c r="D80" s="24"/>
    </row>
    <row r="81">
      <c r="A81" s="61" t="str">
        <f>HYPERLINK("https://bg3.wiki/wiki/Gortash%27s_Hand", "Gortash's Hand")</f>
        <v>Gortash's Hand</v>
      </c>
      <c r="B81" s="22" t="s">
        <v>55</v>
      </c>
      <c r="C81" s="23" t="s">
        <v>158</v>
      </c>
      <c r="D81" s="24"/>
    </row>
    <row r="82">
      <c r="A82" s="61" t="str">
        <f>HYPERLINK("https://bg3.wiki/wiki/Gortash%27s_Netherstone", "Gortash's Netherstone")</f>
        <v>Gortash's Netherstone</v>
      </c>
      <c r="B82" s="22" t="s">
        <v>55</v>
      </c>
      <c r="C82" s="23" t="s">
        <v>1960</v>
      </c>
      <c r="D82" s="24" t="str">
        <f t="shared" ref="D82:D83" si="12">"Osi.TemplateAddTo("""&amp; C82 &amp;""", GetHostCharacter(), 1, 1);"</f>
        <v>Osi.TemplateAddTo("91dcff74-81db-4d14-9242-7f38c3f6b011", GetHostCharacter(), 1, 1);</v>
      </c>
    </row>
    <row r="83">
      <c r="A83" s="61" t="str">
        <f>HYPERLINK("https://bg3.wiki/wiki/Grimoire_Bound_in_Imp_Skin", "Grimoire Bound in Imp Skin")</f>
        <v>Grimoire Bound in Imp Skin</v>
      </c>
      <c r="B83" s="22" t="s">
        <v>55</v>
      </c>
      <c r="C83" s="23" t="s">
        <v>1961</v>
      </c>
      <c r="D83" s="24" t="str">
        <f t="shared" si="12"/>
        <v>Osi.TemplateAddTo("7a24e183-1870-47b8-add2-720db3bd3758", GetHostCharacter(), 1, 1);</v>
      </c>
    </row>
    <row r="84">
      <c r="A84" s="61" t="str">
        <f>HYPERLINK("https://bg3.wiki/wiki/Guild_Ring", "Guild Ring")</f>
        <v>Guild Ring</v>
      </c>
      <c r="B84" s="22" t="s">
        <v>55</v>
      </c>
      <c r="C84" s="23" t="s">
        <v>158</v>
      </c>
      <c r="D84" s="24"/>
    </row>
    <row r="85">
      <c r="A85" s="61" t="str">
        <f>HYPERLINK("https://bg3.wiki/wiki/Infernal_Marble", "Infernal Marble")</f>
        <v>Infernal Marble</v>
      </c>
      <c r="B85" s="22" t="s">
        <v>55</v>
      </c>
      <c r="C85" s="23" t="s">
        <v>158</v>
      </c>
      <c r="D85" s="24"/>
    </row>
    <row r="86">
      <c r="A86" s="61" t="str">
        <f>HYPERLINK("https://bg3.wiki/wiki/Jar_of_Mystic_Carrion%27s_Brain", "Jar of Mystic Carrion's Brain")</f>
        <v>Jar of Mystic Carrion's Brain</v>
      </c>
      <c r="B86" s="22" t="s">
        <v>55</v>
      </c>
      <c r="C86" s="23" t="s">
        <v>158</v>
      </c>
      <c r="D86" s="24"/>
    </row>
    <row r="87">
      <c r="A87" s="61" t="str">
        <f>HYPERLINK("https://bg3.wiki/wiki/Jar_of_Mystic_Carrion%27s_Heart", "Jar of Mystic Carrion's Heart")</f>
        <v>Jar of Mystic Carrion's Heart</v>
      </c>
      <c r="B87" s="22" t="s">
        <v>55</v>
      </c>
      <c r="C87" s="23" t="s">
        <v>158</v>
      </c>
      <c r="D87" s="24"/>
    </row>
    <row r="88">
      <c r="A88" s="61" t="str">
        <f>HYPERLINK("https://bg3.wiki/wiki/Jar_of_Mystic_Carrion%27s_Liver", "Jar of Mystic Carrion's Liver")</f>
        <v>Jar of Mystic Carrion's Liver</v>
      </c>
      <c r="B88" s="22" t="s">
        <v>55</v>
      </c>
      <c r="C88" s="23" t="s">
        <v>158</v>
      </c>
      <c r="D88" s="24"/>
    </row>
    <row r="89">
      <c r="A89" s="61" t="str">
        <f>HYPERLINK("https://bg3.wiki/wiki/Jar_of_Mystic_Carrion%27s_Lungs", "Jar of Mystic Carrion's Lungs")</f>
        <v>Jar of Mystic Carrion's Lungs</v>
      </c>
      <c r="B89" s="22" t="s">
        <v>55</v>
      </c>
      <c r="C89" s="23" t="s">
        <v>158</v>
      </c>
      <c r="D89" s="24"/>
    </row>
    <row r="90">
      <c r="A90" s="61" t="str">
        <f>HYPERLINK("https://bg3.wiki/wiki/Ketheric%27s_Netherstone", "Ketheric's Netherstone")</f>
        <v>Ketheric's Netherstone</v>
      </c>
      <c r="B90" s="22" t="s">
        <v>55</v>
      </c>
      <c r="C90" s="23" t="s">
        <v>158</v>
      </c>
      <c r="D90" s="24"/>
    </row>
    <row r="91">
      <c r="A91" s="61" t="str">
        <f>HYPERLINK("https://bg3.wiki/wiki/Kozakuran_Dictionary", "Kozakuran Dictionary")</f>
        <v>Kozakuran Dictionary</v>
      </c>
      <c r="B91" s="22" t="s">
        <v>55</v>
      </c>
      <c r="C91" s="23" t="s">
        <v>1962</v>
      </c>
      <c r="D91" s="24" t="str">
        <f t="shared" ref="D91:D94" si="13">"Osi.TemplateAddTo("""&amp; C91 &amp;""", GetHostCharacter(), 1, 1);"</f>
        <v>Osi.TemplateAddTo("7d0f3b3d-afcf-49a7-af68-b51fbb83a01f", GetHostCharacter(), 1, 1);</v>
      </c>
    </row>
    <row r="92">
      <c r="A92" s="61" t="str">
        <f>HYPERLINK("https://bg3.wiki/wiki/Lorroakan%27s_Contract", "Lorroakan's Contract")</f>
        <v>Lorroakan's Contract</v>
      </c>
      <c r="B92" s="22" t="s">
        <v>55</v>
      </c>
      <c r="C92" s="23" t="s">
        <v>1963</v>
      </c>
      <c r="D92" s="24" t="str">
        <f t="shared" si="13"/>
        <v>Osi.TemplateAddTo("a07e15dd-2a7d-4c65-a981-0e6510266168", GetHostCharacter(), 1, 1);</v>
      </c>
    </row>
    <row r="93">
      <c r="A93" s="61" t="str">
        <f>HYPERLINK("https://bg3.wiki/wiki/Map_of_Murder", "Map of Murder")</f>
        <v>Map of Murder</v>
      </c>
      <c r="B93" s="22" t="s">
        <v>55</v>
      </c>
      <c r="C93" s="23" t="s">
        <v>1964</v>
      </c>
      <c r="D93" s="24" t="str">
        <f t="shared" si="13"/>
        <v>Osi.TemplateAddTo("0abb9873-a07e-486b-bf50-60ccd5f8a0a3", GetHostCharacter(), 1, 1);</v>
      </c>
    </row>
    <row r="94">
      <c r="A94" s="61" t="str">
        <f>HYPERLINK("https://bg3.wiki/wiki/Map_to_Bhaal_Temple", "Map to Bhaal Temple")</f>
        <v>Map to Bhaal Temple</v>
      </c>
      <c r="B94" s="22" t="s">
        <v>55</v>
      </c>
      <c r="C94" s="23" t="s">
        <v>1965</v>
      </c>
      <c r="D94" s="24" t="str">
        <f t="shared" si="13"/>
        <v>Osi.TemplateAddTo("4bedc6ee-5ea8-4dde-afa8-356b336aa254", GetHostCharacter(), 1, 1);</v>
      </c>
    </row>
    <row r="95">
      <c r="A95" s="61" t="str">
        <f>HYPERLINK("https://bg3.wiki/wiki/Mind_Flayer_Brain", "Mind Flayer Brain")</f>
        <v>Mind Flayer Brain</v>
      </c>
      <c r="B95" s="22" t="s">
        <v>55</v>
      </c>
      <c r="C95" s="23" t="s">
        <v>158</v>
      </c>
      <c r="D95" s="24"/>
    </row>
    <row r="96">
      <c r="A96" s="61" t="str">
        <f>HYPERLINK("https://bg3.wiki/wiki/Note_from_BUSINESSLORD_POPPER", "Note from BUSINESSLORD POPPER")</f>
        <v>Note from BUSINESSLORD POPPER</v>
      </c>
      <c r="B96" s="22" t="s">
        <v>55</v>
      </c>
      <c r="C96" s="23" t="s">
        <v>158</v>
      </c>
      <c r="D96" s="24"/>
    </row>
    <row r="97">
      <c r="A97" s="61" t="str">
        <f>HYPERLINK("https://bg3.wiki/wiki/Orin%27s_Netherstone", "Orin's Netherstone")</f>
        <v>Orin's Netherstone</v>
      </c>
      <c r="B97" s="22" t="s">
        <v>55</v>
      </c>
      <c r="C97" s="23" t="s">
        <v>158</v>
      </c>
      <c r="D97" s="24"/>
    </row>
    <row r="98">
      <c r="A98" s="61" t="str">
        <f>HYPERLINK("https://bg3.wiki/wiki/Regarding_the_Slayer", "Regarding the Slayer")</f>
        <v>Regarding the Slayer</v>
      </c>
      <c r="B98" s="22" t="s">
        <v>55</v>
      </c>
      <c r="C98" s="23" t="s">
        <v>1966</v>
      </c>
      <c r="D98" s="24" t="str">
        <f>"Osi.TemplateAddTo("""&amp; C98 &amp;""", GetHostCharacter(), 1, 1);"</f>
        <v>Osi.TemplateAddTo("9be43b61-6cd4-42d7-ad3b-a7febcd68bfc", GetHostCharacter(), 1, 1);</v>
      </c>
    </row>
    <row r="99">
      <c r="A99" s="61" t="str">
        <f>HYPERLINK("https://bg3.wiki/wiki/Sarin%27s_Skull", "Sarin's Skull")</f>
        <v>Sarin's Skull</v>
      </c>
      <c r="B99" s="22" t="s">
        <v>55</v>
      </c>
      <c r="C99" s="23" t="s">
        <v>158</v>
      </c>
      <c r="D99" s="24"/>
    </row>
    <row r="100">
      <c r="A100" s="61" t="str">
        <f>HYPERLINK("https://bg3.wiki/wiki/Stamped_Handbill", "Stamped Handbill")</f>
        <v>Stamped Handbill</v>
      </c>
      <c r="B100" s="22" t="s">
        <v>55</v>
      </c>
      <c r="C100" s="23" t="s">
        <v>1963</v>
      </c>
      <c r="D100" s="24" t="str">
        <f t="shared" ref="D100:D101" si="14">"Osi.TemplateAddTo("""&amp; C100 &amp;""", GetHostCharacter(), 1, 1);"</f>
        <v>Osi.TemplateAddTo("a07e15dd-2a7d-4c65-a981-0e6510266168", GetHostCharacter(), 1, 1);</v>
      </c>
    </row>
    <row r="101">
      <c r="A101" s="61" t="str">
        <f>HYPERLINK("https://bg3.wiki/wiki/Szarr_Family_Ring", "Szarr Family Ring")</f>
        <v>Szarr Family Ring</v>
      </c>
      <c r="B101" s="22" t="s">
        <v>55</v>
      </c>
      <c r="C101" s="23" t="s">
        <v>909</v>
      </c>
      <c r="D101" s="24" t="str">
        <f t="shared" si="14"/>
        <v>Osi.TemplateAddTo("846d27b5-c247-4049-9872-86171c172015", GetHostCharacter(), 1, 1);</v>
      </c>
    </row>
    <row r="102">
      <c r="A102" s="61" t="str">
        <f>HYPERLINK("https://bg3.wiki/wiki/Triune_Netherstone", "Triune Netherstone")</f>
        <v>Triune Netherstone</v>
      </c>
      <c r="B102" s="22" t="s">
        <v>55</v>
      </c>
      <c r="C102" s="23" t="s">
        <v>158</v>
      </c>
      <c r="D102" s="24"/>
    </row>
    <row r="103">
      <c r="A103" s="66" t="str">
        <f>HYPERLINK("https://bg3.wiki/wiki/Wulbren%27s_Head", "Wulbren's Head")</f>
        <v>Wulbren's Head</v>
      </c>
      <c r="B103" s="39" t="s">
        <v>55</v>
      </c>
      <c r="C103" s="40" t="s">
        <v>1967</v>
      </c>
      <c r="D103" s="41" t="str">
        <f>"Osi.TemplateAddTo("""&amp; C103 &amp;""", GetHostCharacter(), 1, 1);"</f>
        <v>Osi.TemplateAddTo("33483035-c9ee-497c-8e05-e2150021946a", GetHostCharacter(), 1, 1);</v>
      </c>
    </row>
    <row r="104">
      <c r="C104" s="42"/>
    </row>
    <row r="105">
      <c r="A105" s="27" t="s">
        <v>1968</v>
      </c>
      <c r="C105" s="42"/>
    </row>
    <row r="106">
      <c r="A106" s="34" t="s">
        <v>7</v>
      </c>
      <c r="B106" s="35" t="s">
        <v>8</v>
      </c>
      <c r="C106" s="35" t="s">
        <v>9</v>
      </c>
      <c r="D106" s="36" t="s">
        <v>10</v>
      </c>
    </row>
    <row r="107">
      <c r="A107" s="21" t="str">
        <f>HYPERLINK("https://bg3.wiki/wiki/A_Private_Stash_Key", "A Private Stash Key")</f>
        <v>A Private Stash Key</v>
      </c>
      <c r="B107" s="22" t="s">
        <v>55</v>
      </c>
      <c r="C107" s="23" t="s">
        <v>1969</v>
      </c>
      <c r="D107" s="24" t="str">
        <f t="shared" ref="D107:D125" si="15">"Osi.TemplateAddTo("""&amp; C107 &amp;""", GetHostCharacter(), 1, 1);"</f>
        <v>Osi.TemplateAddTo("59d6b99d-2428-434a-b39f-b4906c563110", GetHostCharacter(), 1, 1);</v>
      </c>
    </row>
    <row r="108">
      <c r="A108" s="21" t="str">
        <f>HYPERLINK("https://bg3.wiki/wiki/Abandoned_House_Chest_Key", "Abandoned House Chest Key")</f>
        <v>Abandoned House Chest Key</v>
      </c>
      <c r="B108" s="22" t="s">
        <v>55</v>
      </c>
      <c r="C108" s="23" t="s">
        <v>1970</v>
      </c>
      <c r="D108" s="24" t="str">
        <f t="shared" si="15"/>
        <v>Osi.TemplateAddTo("ee17d9b5-a1dd-418c-a5b6-f96fec082aa0", GetHostCharacter(), 1, 1);</v>
      </c>
    </row>
    <row r="109">
      <c r="A109" s="21" t="str">
        <f>HYPERLINK("https://bg3.wiki/wiki/Abattoir_Key", "Abattoir Key")</f>
        <v>Abattoir Key</v>
      </c>
      <c r="B109" s="22" t="s">
        <v>55</v>
      </c>
      <c r="C109" s="23" t="s">
        <v>1971</v>
      </c>
      <c r="D109" s="24" t="str">
        <f t="shared" si="15"/>
        <v>Osi.TemplateAddTo("cdc4c618-346d-48a7-abf5-40f15e6e15a2", GetHostCharacter(), 1, 1);</v>
      </c>
    </row>
    <row r="110">
      <c r="A110" s="21" t="str">
        <f>HYPERLINK("https://bg3.wiki/wiki/Absolutist_Expedition_Key", "Absolutist Expedition Key")</f>
        <v>Absolutist Expedition Key</v>
      </c>
      <c r="B110" s="22" t="s">
        <v>55</v>
      </c>
      <c r="C110" s="23" t="s">
        <v>1972</v>
      </c>
      <c r="D110" s="24" t="str">
        <f t="shared" si="15"/>
        <v>Osi.TemplateAddTo("5e2cca79-0258-4832-b7e7-bab4c78624c6", GetHostCharacter(), 1, 1);</v>
      </c>
    </row>
    <row r="111">
      <c r="A111" s="21" t="str">
        <f>HYPERLINK("https://bg3.wiki/wiki/Adamantine_Key", "Adamantine Key")</f>
        <v>Adamantine Key</v>
      </c>
      <c r="B111" s="22" t="s">
        <v>55</v>
      </c>
      <c r="C111" s="23" t="s">
        <v>1973</v>
      </c>
      <c r="D111" s="24" t="str">
        <f t="shared" si="15"/>
        <v>Osi.TemplateAddTo("145615bf-a922-445a-9a59-15fecefc0b28", GetHostCharacter(), 1, 1);</v>
      </c>
    </row>
    <row r="112">
      <c r="A112" s="21" t="str">
        <f>HYPERLINK("https://bg3.wiki/wiki/Altar_Key", "Altar Key")</f>
        <v>Altar Key</v>
      </c>
      <c r="B112" s="22" t="s">
        <v>55</v>
      </c>
      <c r="C112" s="23" t="s">
        <v>1974</v>
      </c>
      <c r="D112" s="24" t="str">
        <f t="shared" si="15"/>
        <v>Osi.TemplateAddTo("c817c1c6-fd0e-41d8-9750-93dfe0e85c92", GetHostCharacter(), 1, 1);</v>
      </c>
    </row>
    <row r="113">
      <c r="A113" s="21" t="str">
        <f>HYPERLINK("https://bg3.wiki/wiki/Ancient_Mausoleum_Key", "Ancient Mausoleum Key")</f>
        <v>Ancient Mausoleum Key</v>
      </c>
      <c r="B113" s="22" t="s">
        <v>55</v>
      </c>
      <c r="C113" s="23" t="s">
        <v>1975</v>
      </c>
      <c r="D113" s="24" t="str">
        <f t="shared" si="15"/>
        <v>Osi.TemplateAddTo("ae303ba1-75ab-488b-9ada-cb5aa3c27159", GetHostCharacter(), 1, 1);</v>
      </c>
    </row>
    <row r="114">
      <c r="A114" s="21" t="str">
        <f>HYPERLINK("https://bg3.wiki/wiki/Antique_Key", "Antique Key")</f>
        <v>Antique Key</v>
      </c>
      <c r="B114" s="22" t="s">
        <v>55</v>
      </c>
      <c r="C114" s="23" t="s">
        <v>1976</v>
      </c>
      <c r="D114" s="24" t="str">
        <f t="shared" si="15"/>
        <v>Osi.TemplateAddTo("7bc87b90-bca1-46fa-bc5f-60d55cd4eb1b", GetHostCharacter(), 1, 1);</v>
      </c>
    </row>
    <row r="115">
      <c r="A115" s="21" t="str">
        <f>HYPERLINK("https://bg3.wiki/wiki/Aradin%27s_Key", "Aradin's Key")</f>
        <v>Aradin's Key</v>
      </c>
      <c r="B115" s="22" t="s">
        <v>55</v>
      </c>
      <c r="C115" s="23" t="s">
        <v>1977</v>
      </c>
      <c r="D115" s="24" t="str">
        <f t="shared" si="15"/>
        <v>Osi.TemplateAddTo("b607f9ad-426e-4d0a-81ed-d7ca98a62c75", GetHostCharacter(), 1, 1);</v>
      </c>
    </row>
    <row r="116">
      <c r="A116" s="21" t="str">
        <f>HYPERLINK("https://bg3.wiki/wiki/Avery%27s_Storage_Key", "Avery's Storage Key")</f>
        <v>Avery's Storage Key</v>
      </c>
      <c r="B116" s="22" t="s">
        <v>55</v>
      </c>
      <c r="C116" s="23" t="s">
        <v>1978</v>
      </c>
      <c r="D116" s="24" t="str">
        <f t="shared" si="15"/>
        <v>Osi.TemplateAddTo("83066fb5-89b0-4dc3-a12e-bf792dbf616a", GetHostCharacter(), 1, 1);</v>
      </c>
    </row>
    <row r="117">
      <c r="A117" s="21" t="str">
        <f>HYPERLINK("https://bg3.wiki/wiki/Bakshi%27s_Chest_Key", "Bakshi's Chest Key")</f>
        <v>Bakshi's Chest Key</v>
      </c>
      <c r="B117" s="22" t="s">
        <v>55</v>
      </c>
      <c r="C117" s="23" t="s">
        <v>1979</v>
      </c>
      <c r="D117" s="24" t="str">
        <f t="shared" si="15"/>
        <v>Osi.TemplateAddTo("e0cd893b-f15b-49ad-9787-ae6b6366818c", GetHostCharacter(), 1, 1);</v>
      </c>
    </row>
    <row r="118">
      <c r="A118" s="21" t="str">
        <f>HYPERLINK("https://bg3.wiki/wiki/Baldur%27s_Mouth_Basement_Key", "Baldur's Mouth Basement Key")</f>
        <v>Baldur's Mouth Basement Key</v>
      </c>
      <c r="B118" s="22" t="s">
        <v>55</v>
      </c>
      <c r="C118" s="23" t="s">
        <v>1980</v>
      </c>
      <c r="D118" s="24" t="str">
        <f t="shared" si="15"/>
        <v>Osi.TemplateAddTo("71034255-45e1-470a-aafe-2d3c53d6c20a", GetHostCharacter(), 1, 1);</v>
      </c>
    </row>
    <row r="119">
      <c r="A119" s="21" t="str">
        <f>HYPERLINK("https://bg3.wiki/wiki/Baldur%27s_Mouth_Chest_Key", "Baldur's Mouth Chest Key")</f>
        <v>Baldur's Mouth Chest Key</v>
      </c>
      <c r="B119" s="22" t="s">
        <v>55</v>
      </c>
      <c r="C119" s="23" t="s">
        <v>1981</v>
      </c>
      <c r="D119" s="24" t="str">
        <f t="shared" si="15"/>
        <v>Osi.TemplateAddTo("10b27b5c-8aca-4c5a-92b5-94de246cf3cd", GetHostCharacter(), 1, 1);</v>
      </c>
    </row>
    <row r="120">
      <c r="A120" s="21" t="str">
        <f>HYPERLINK("https://bg3.wiki/wiki/Baldur%27s_Mouth_Storage_Key", "Baldur's Mouth Storage Key")</f>
        <v>Baldur's Mouth Storage Key</v>
      </c>
      <c r="B120" s="22" t="s">
        <v>55</v>
      </c>
      <c r="C120" s="23" t="s">
        <v>1982</v>
      </c>
      <c r="D120" s="24" t="str">
        <f t="shared" si="15"/>
        <v>Osi.TemplateAddTo("08d403b4-d1d9-4307-ada8-88986bb69dbd", GetHostCharacter(), 1, 1);</v>
      </c>
    </row>
    <row r="121">
      <c r="A121" s="21" t="str">
        <f>HYPERLINK("https://bg3.wiki/wiki/Balthazar%27s_Room_Key", "Balthazar's Room Key")</f>
        <v>Balthazar's Room Key</v>
      </c>
      <c r="B121" s="22" t="s">
        <v>55</v>
      </c>
      <c r="C121" s="23" t="s">
        <v>1983</v>
      </c>
      <c r="D121" s="24" t="str">
        <f t="shared" si="15"/>
        <v>Osi.TemplateAddTo("281988ed-4b8e-4b8b-8d16-44b0fe3d48c0", GetHostCharacter(), 1, 1);</v>
      </c>
    </row>
    <row r="122">
      <c r="A122" s="21" t="str">
        <f>HYPERLINK("https://bg3.wiki/wiki/Bandit%27s_Key", "Bandit's Key")</f>
        <v>Bandit's Key</v>
      </c>
      <c r="B122" s="22" t="s">
        <v>55</v>
      </c>
      <c r="C122" s="23" t="s">
        <v>1984</v>
      </c>
      <c r="D122" s="24" t="str">
        <f t="shared" si="15"/>
        <v>Osi.TemplateAddTo("9c7c13b1-1507-4193-a0bd-e8137cd7abd1", GetHostCharacter(), 1, 1);</v>
      </c>
    </row>
    <row r="123">
      <c r="A123" s="21" t="str">
        <f>HYPERLINK("https://bg3.wiki/wiki/Barracks_Office_Key", "Barracks Office Key")</f>
        <v>Barracks Office Key</v>
      </c>
      <c r="B123" s="22" t="s">
        <v>55</v>
      </c>
      <c r="C123" s="23" t="s">
        <v>1985</v>
      </c>
      <c r="D123" s="24" t="str">
        <f t="shared" si="15"/>
        <v>Osi.TemplateAddTo("aada9a18-5e3f-4356-a409-a3f6d9f06c5b", GetHostCharacter(), 1, 1);</v>
      </c>
    </row>
    <row r="124">
      <c r="A124" s="21" t="str">
        <f>HYPERLINK("https://bg3.wiki/wiki/Basement_Key_(Forge_of_the_Nine)", "Basement Key (Forge of the Nine)")</f>
        <v>Basement Key (Forge of the Nine)</v>
      </c>
      <c r="B124" s="22" t="s">
        <v>55</v>
      </c>
      <c r="C124" s="23" t="s">
        <v>1986</v>
      </c>
      <c r="D124" s="24" t="str">
        <f t="shared" si="15"/>
        <v>Osi.TemplateAddTo("d4d4c5a2-84e2-4b8f-bbf1-d6ce72316cc5", GetHostCharacter(), 1, 1);</v>
      </c>
    </row>
    <row r="125">
      <c r="A125" s="21" t="str">
        <f>HYPERLINK("https://bg3.wiki/wiki/Beach_House_Hatch_Key", "Beach House Hatch Key")</f>
        <v>Beach House Hatch Key</v>
      </c>
      <c r="B125" s="22" t="s">
        <v>55</v>
      </c>
      <c r="C125" s="23" t="s">
        <v>1987</v>
      </c>
      <c r="D125" s="24" t="str">
        <f t="shared" si="15"/>
        <v>Osi.TemplateAddTo("22b18aae-4e45-4d0d-b6c8-2535a10a0354", GetHostCharacter(), 1, 1);</v>
      </c>
    </row>
    <row r="126">
      <c r="A126" s="21" t="str">
        <f>HYPERLINK("https://bg3.wiki/wiki/Beast_Cage_Key", "Beast Cage Key")</f>
        <v>Beast Cage Key</v>
      </c>
      <c r="B126" s="22" t="s">
        <v>55</v>
      </c>
      <c r="C126" s="23" t="s">
        <v>158</v>
      </c>
      <c r="D126" s="24"/>
    </row>
    <row r="127">
      <c r="A127" s="21" t="str">
        <f>HYPERLINK("https://bg3.wiki/wiki/Benryr%27s_Key", "Benryr's Key")</f>
        <v>Benryr's Key</v>
      </c>
      <c r="B127" s="22" t="s">
        <v>55</v>
      </c>
      <c r="C127" s="23" t="s">
        <v>1988</v>
      </c>
      <c r="D127" s="24" t="str">
        <f t="shared" ref="D127:D128" si="16">"Osi.TemplateAddTo("""&amp; C127 &amp;""", GetHostCharacter(), 1, 1);"</f>
        <v>Osi.TemplateAddTo("9996f9dd-d0e4-40a4-aef2-000f76449c8e", GetHostCharacter(), 1, 1);</v>
      </c>
    </row>
    <row r="128">
      <c r="A128" s="21" t="str">
        <f>HYPERLINK("https://bg3.wiki/wiki/Bill%27s_Chest_Key", "Bill's Chest Key")</f>
        <v>Bill's Chest Key</v>
      </c>
      <c r="B128" s="22" t="s">
        <v>55</v>
      </c>
      <c r="C128" s="23" t="s">
        <v>1989</v>
      </c>
      <c r="D128" s="24" t="str">
        <f t="shared" si="16"/>
        <v>Osi.TemplateAddTo("f28a828c-fbad-4c05-8744-d37e5c4fedb7", GetHostCharacter(), 1, 1);</v>
      </c>
    </row>
    <row r="129">
      <c r="A129" s="21" t="str">
        <f>HYPERLINK("https://bg3.wiki/wiki/Blacksmith%27s_Chest_Key", "Blacksmith's Chest Key")</f>
        <v>Blacksmith's Chest Key</v>
      </c>
      <c r="B129" s="22" t="s">
        <v>55</v>
      </c>
      <c r="C129" s="23" t="s">
        <v>158</v>
      </c>
      <c r="D129" s="24"/>
    </row>
    <row r="130">
      <c r="A130" s="21" t="str">
        <f>HYPERLINK("https://bg3.wiki/wiki/Blood_Merchant%27s_Chest_Key", "Blood Merchant's Chest Key")</f>
        <v>Blood Merchant's Chest Key</v>
      </c>
      <c r="B130" s="22" t="s">
        <v>55</v>
      </c>
      <c r="C130" s="23" t="s">
        <v>1990</v>
      </c>
      <c r="D130" s="24" t="str">
        <f t="shared" ref="D130:D182" si="17">"Osi.TemplateAddTo("""&amp; C130 &amp;""", GetHostCharacter(), 1, 1);"</f>
        <v>Osi.TemplateAddTo("cbc464dd-bfb7-4565-b596-c48940fce86a", GetHostCharacter(), 1, 1);</v>
      </c>
    </row>
    <row r="131">
      <c r="A131" s="21" t="str">
        <f>HYPERLINK("https://bg3.wiki/wiki/Bone_Key", "Bone Key")</f>
        <v>Bone Key</v>
      </c>
      <c r="B131" s="22" t="s">
        <v>55</v>
      </c>
      <c r="C131" s="23" t="s">
        <v>1991</v>
      </c>
      <c r="D131" s="24" t="str">
        <f t="shared" si="17"/>
        <v>Osi.TemplateAddTo("a055e810-8fd3-4800-9027-a4ec55d0fdb0", GetHostCharacter(), 1, 1);</v>
      </c>
    </row>
    <row r="132">
      <c r="A132" s="21" t="str">
        <f>HYPERLINK("https://bg3.wiki/wiki/Bonecloak_Apothecary%27s_Chest_Key", "Bonecloak Apothecary's Chest Key")</f>
        <v>Bonecloak Apothecary's Chest Key</v>
      </c>
      <c r="B132" s="22" t="s">
        <v>55</v>
      </c>
      <c r="C132" s="23" t="s">
        <v>1992</v>
      </c>
      <c r="D132" s="24" t="str">
        <f t="shared" si="17"/>
        <v>Osi.TemplateAddTo("86335a11-3e98-40f5-aa9d-9a6205063bd7", GetHostCharacter(), 1, 1);</v>
      </c>
    </row>
    <row r="133">
      <c r="A133" s="21" t="str">
        <f>HYPERLINK("https://bg3.wiki/wiki/Bookshop_Chest_Key", "Bookshop Chest Key")</f>
        <v>Bookshop Chest Key</v>
      </c>
      <c r="B133" s="22" t="s">
        <v>55</v>
      </c>
      <c r="C133" s="23" t="s">
        <v>1993</v>
      </c>
      <c r="D133" s="24" t="str">
        <f t="shared" si="17"/>
        <v>Osi.TemplateAddTo("abbdb079-3613-4cd8-ba11-547abd05433e", GetHostCharacter(), 1, 1);</v>
      </c>
    </row>
    <row r="134">
      <c r="A134" s="21" t="str">
        <f>HYPERLINK("https://bg3.wiki/wiki/Cabinet_Key", "Cabinet Key")</f>
        <v>Cabinet Key</v>
      </c>
      <c r="B134" s="22" t="s">
        <v>55</v>
      </c>
      <c r="C134" s="23" t="s">
        <v>1994</v>
      </c>
      <c r="D134" s="24" t="str">
        <f t="shared" si="17"/>
        <v>Osi.TemplateAddTo("24648a3d-fc5b-4b92-86c1-4b22353e1064", GetHostCharacter(), 1, 1);</v>
      </c>
    </row>
    <row r="135">
      <c r="A135" s="21" t="str">
        <f>HYPERLINK("https://bg3.wiki/wiki/Cage_Key", "Cage Key")</f>
        <v>Cage Key</v>
      </c>
      <c r="B135" s="22" t="s">
        <v>55</v>
      </c>
      <c r="C135" s="23" t="s">
        <v>1995</v>
      </c>
      <c r="D135" s="24" t="str">
        <f t="shared" si="17"/>
        <v>Osi.TemplateAddTo("a74d15b3-8bf9-4468-a5c2-d53f205e02ec", GetHostCharacter(), 1, 1);</v>
      </c>
    </row>
    <row r="136">
      <c r="A136" s="21" t="str">
        <f>HYPERLINK("https://bg3.wiki/wiki/Cage_Key_(Gribbo)", "Cage Key (Gribbo)")</f>
        <v>Cage Key (Gribbo)</v>
      </c>
      <c r="B136" s="22" t="s">
        <v>55</v>
      </c>
      <c r="C136" s="23" t="s">
        <v>1996</v>
      </c>
      <c r="D136" s="24" t="str">
        <f t="shared" si="17"/>
        <v>Osi.TemplateAddTo("82df88e8-f42f-4dd7-bb11-34b8bed5e622", GetHostCharacter(), 1, 1);</v>
      </c>
    </row>
    <row r="137">
      <c r="A137" s="21" t="str">
        <f>HYPERLINK("https://bg3.wiki/wiki/Camp_Chest_Key", "Camp Chest Key")</f>
        <v>Camp Chest Key</v>
      </c>
      <c r="B137" s="22" t="s">
        <v>55</v>
      </c>
      <c r="C137" s="23" t="s">
        <v>1997</v>
      </c>
      <c r="D137" s="24" t="str">
        <f t="shared" si="17"/>
        <v>Osi.TemplateAddTo("dbc85ee4-6b99-43d9-9ebe-41b356509d17", GetHostCharacter(), 1, 1);</v>
      </c>
    </row>
    <row r="138">
      <c r="A138" s="21" t="str">
        <f>HYPERLINK("https://bg3.wiki/wiki/Central_Wall_Chest_Key", "Central Wall Chest Key")</f>
        <v>Central Wall Chest Key</v>
      </c>
      <c r="B138" s="22" t="s">
        <v>55</v>
      </c>
      <c r="C138" s="23" t="s">
        <v>1998</v>
      </c>
      <c r="D138" s="24" t="str">
        <f t="shared" si="17"/>
        <v>Osi.TemplateAddTo("8574cfbf-a6b2-47e7-8edf-8f65c391dffb", GetHostCharacter(), 1, 1);</v>
      </c>
    </row>
    <row r="139">
      <c r="A139" s="21" t="str">
        <f>HYPERLINK("https://bg3.wiki/wiki/Chamberlain%27s_Private_Room_Key", "Chamberlain's Private Room Key")</f>
        <v>Chamberlain's Private Room Key</v>
      </c>
      <c r="B139" s="22" t="s">
        <v>55</v>
      </c>
      <c r="C139" s="23" t="s">
        <v>1999</v>
      </c>
      <c r="D139" s="24" t="str">
        <f t="shared" si="17"/>
        <v>Osi.TemplateAddTo("55589218-bcab-458a-a9d1-fe89e0696e0a", GetHostCharacter(), 1, 1);</v>
      </c>
    </row>
    <row r="140">
      <c r="A140" s="21" t="str">
        <f>HYPERLINK("https://bg3.wiki/wiki/Charred_Key", "Charred Key")</f>
        <v>Charred Key</v>
      </c>
      <c r="B140" s="22" t="s">
        <v>55</v>
      </c>
      <c r="C140" s="23" t="s">
        <v>2000</v>
      </c>
      <c r="D140" s="24" t="str">
        <f t="shared" si="17"/>
        <v>Osi.TemplateAddTo("69b8aef9-e713-4831-90b9-eceb99c62c54", GetHostCharacter(), 1, 1);</v>
      </c>
    </row>
    <row r="141">
      <c r="A141" s="21" t="str">
        <f>HYPERLINK("https://bg3.wiki/wiki/Cold_Room_Chest_Key", "Cold Room Chest Key")</f>
        <v>Cold Room Chest Key</v>
      </c>
      <c r="B141" s="22" t="s">
        <v>55</v>
      </c>
      <c r="C141" s="23" t="s">
        <v>2001</v>
      </c>
      <c r="D141" s="24" t="str">
        <f t="shared" si="17"/>
        <v>Osi.TemplateAddTo("ed11fd94-629c-43c0-83e1-299f4bd18ac7", GetHostCharacter(), 1, 1);</v>
      </c>
    </row>
    <row r="142">
      <c r="A142" s="21" t="str">
        <f>HYPERLINK("https://bg3.wiki/wiki/Control_Lever_Key", "Control Lever Key")</f>
        <v>Control Lever Key</v>
      </c>
      <c r="B142" s="22" t="s">
        <v>55</v>
      </c>
      <c r="C142" s="23" t="s">
        <v>2002</v>
      </c>
      <c r="D142" s="24" t="str">
        <f t="shared" si="17"/>
        <v>Osi.TemplateAddTo("a7a31259-8e33-4fb7-810b-028de14b3571", GetHostCharacter(), 1, 1);</v>
      </c>
    </row>
    <row r="143">
      <c r="A143" s="82" t="str">
        <f>HYPERLINK("https://bg3.wiki/wiki/Counting_House_Safe_n%C2%B01_Key", "Counting House Safe n°1 Key")</f>
        <v>Counting House Safe n°1 Key</v>
      </c>
      <c r="B143" s="22" t="s">
        <v>55</v>
      </c>
      <c r="C143" s="23" t="s">
        <v>2003</v>
      </c>
      <c r="D143" s="24" t="str">
        <f t="shared" si="17"/>
        <v>Osi.TemplateAddTo("c9fbc253-f51f-46aa-bfb0-52a470348729", GetHostCharacter(), 1, 1);</v>
      </c>
    </row>
    <row r="144">
      <c r="A144" s="82" t="str">
        <f>HYPERLINK("https://bg3.wiki/wiki/Counting_House_Safe_n%C2%B02_Key", "Counting House Safe n°2 Key")</f>
        <v>Counting House Safe n°2 Key</v>
      </c>
      <c r="B144" s="22" t="s">
        <v>55</v>
      </c>
      <c r="C144" s="23" t="s">
        <v>2004</v>
      </c>
      <c r="D144" s="24" t="str">
        <f t="shared" si="17"/>
        <v>Osi.TemplateAddTo("186ecca4-3023-4433-9716-8f1752513afa", GetHostCharacter(), 1, 1);</v>
      </c>
    </row>
    <row r="145">
      <c r="A145" s="82" t="str">
        <f>HYPERLINK("https://bg3.wiki/wiki/Counting_House_Safe_n%C2%B03_Key", "Counting House Safe n°3 Key")</f>
        <v>Counting House Safe n°3 Key</v>
      </c>
      <c r="B145" s="22" t="s">
        <v>55</v>
      </c>
      <c r="C145" s="23" t="s">
        <v>2005</v>
      </c>
      <c r="D145" s="24" t="str">
        <f t="shared" si="17"/>
        <v>Osi.TemplateAddTo("7dc7ffb6-1c83-491a-958b-193db900337d", GetHostCharacter(), 1, 1);</v>
      </c>
    </row>
    <row r="146">
      <c r="A146" s="82" t="str">
        <f>HYPERLINK("https://bg3.wiki/wiki/Counting_House_Safe_n%C2%B04_Key", "Counting House Safe n°4 Key")</f>
        <v>Counting House Safe n°4 Key</v>
      </c>
      <c r="B146" s="22" t="s">
        <v>55</v>
      </c>
      <c r="C146" s="23" t="s">
        <v>2006</v>
      </c>
      <c r="D146" s="24" t="str">
        <f t="shared" si="17"/>
        <v>Osi.TemplateAddTo("ff80570a-4ef8-48f6-8d18-8a6971aeddea", GetHostCharacter(), 1, 1);</v>
      </c>
    </row>
    <row r="147">
      <c r="A147" s="82" t="str">
        <f>HYPERLINK("https://bg3.wiki/wiki/Counting_House_Safe_n%C2%B05_Key", "Counting House Safe n°5 Key")</f>
        <v>Counting House Safe n°5 Key</v>
      </c>
      <c r="B147" s="22" t="s">
        <v>55</v>
      </c>
      <c r="C147" s="23" t="s">
        <v>2007</v>
      </c>
      <c r="D147" s="24" t="str">
        <f t="shared" si="17"/>
        <v>Osi.TemplateAddTo("fd0f0382-7f4b-460d-913c-dd3fe27441e9", GetHostCharacter(), 1, 1);</v>
      </c>
    </row>
    <row r="148">
      <c r="A148" s="82" t="str">
        <f>HYPERLINK("https://bg3.wiki/wiki/Counting_House_Safe_n%C2%B06_Key", "Counting House Safe n°6 Key")</f>
        <v>Counting House Safe n°6 Key</v>
      </c>
      <c r="B148" s="22" t="s">
        <v>55</v>
      </c>
      <c r="C148" s="23" t="s">
        <v>2008</v>
      </c>
      <c r="D148" s="24" t="str">
        <f t="shared" si="17"/>
        <v>Osi.TemplateAddTo("fd951ed9-4693-483f-b36c-6247f464a69b", GetHostCharacter(), 1, 1);</v>
      </c>
    </row>
    <row r="149">
      <c r="A149" s="82" t="str">
        <f>HYPERLINK("https://bg3.wiki/wiki/Counting_House_Safe_n%C2%B07_Key", "Counting House Safe n°7 Key")</f>
        <v>Counting House Safe n°7 Key</v>
      </c>
      <c r="B149" s="22" t="s">
        <v>55</v>
      </c>
      <c r="C149" s="23" t="s">
        <v>2009</v>
      </c>
      <c r="D149" s="24" t="str">
        <f t="shared" si="17"/>
        <v>Osi.TemplateAddTo("8ca3ab16-5b42-45bd-82e3-abbfcc2cafda", GetHostCharacter(), 1, 1);</v>
      </c>
    </row>
    <row r="150">
      <c r="A150" s="82" t="str">
        <f>HYPERLINK("https://bg3.wiki/wiki/Counting_House_Safe_n%C2%B08_Key", "Counting House Safe n°8 Key")</f>
        <v>Counting House Safe n°8 Key</v>
      </c>
      <c r="B150" s="22" t="s">
        <v>55</v>
      </c>
      <c r="C150" s="23" t="s">
        <v>2010</v>
      </c>
      <c r="D150" s="24" t="str">
        <f t="shared" si="17"/>
        <v>Osi.TemplateAddTo("587fc7a2-5fa6-4193-b7fd-4f8ce7f29b31", GetHostCharacter(), 1, 1);</v>
      </c>
    </row>
    <row r="151">
      <c r="A151" s="82" t="str">
        <f>HYPERLINK("https://bg3.wiki/wiki/Counting_House_Vault_n%C2%B01_Key", "Counting House Vault n°1 Key")</f>
        <v>Counting House Vault n°1 Key</v>
      </c>
      <c r="B151" s="22" t="s">
        <v>55</v>
      </c>
      <c r="C151" s="23" t="s">
        <v>2011</v>
      </c>
      <c r="D151" s="24" t="str">
        <f t="shared" si="17"/>
        <v>Osi.TemplateAddTo("0ce654c7-e4e6-4613-878e-c534a4141d9e", GetHostCharacter(), 1, 1);</v>
      </c>
    </row>
    <row r="152">
      <c r="A152" s="82" t="str">
        <f>HYPERLINK("https://bg3.wiki/wiki/Counting_House_Vault_n%C2%B02_Key", "Counting House Vault n°2 Key")</f>
        <v>Counting House Vault n°2 Key</v>
      </c>
      <c r="B152" s="22" t="s">
        <v>55</v>
      </c>
      <c r="C152" s="23" t="s">
        <v>2012</v>
      </c>
      <c r="D152" s="24" t="str">
        <f t="shared" si="17"/>
        <v>Osi.TemplateAddTo("1e638e23-69e3-422f-b484-2f5481b22df3", GetHostCharacter(), 1, 1);</v>
      </c>
    </row>
    <row r="153">
      <c r="A153" s="82" t="str">
        <f>HYPERLINK("https://bg3.wiki/wiki/Counting_House_Vault_n%C2%B03_Key", "Counting House Vault n°3 Key")</f>
        <v>Counting House Vault n°3 Key</v>
      </c>
      <c r="B153" s="22" t="s">
        <v>55</v>
      </c>
      <c r="C153" s="23" t="s">
        <v>2013</v>
      </c>
      <c r="D153" s="24" t="str">
        <f t="shared" si="17"/>
        <v>Osi.TemplateAddTo("2216f1d2-8984-4ebd-a202-eac494510a1a", GetHostCharacter(), 1, 1);</v>
      </c>
    </row>
    <row r="154">
      <c r="A154" s="82" t="str">
        <f>HYPERLINK("https://bg3.wiki/wiki/Counting_House_Vault_n%C2%B04_Key", "Counting House Vault n°4 Key")</f>
        <v>Counting House Vault n°4 Key</v>
      </c>
      <c r="B154" s="22" t="s">
        <v>55</v>
      </c>
      <c r="C154" s="23" t="s">
        <v>2014</v>
      </c>
      <c r="D154" s="24" t="str">
        <f t="shared" si="17"/>
        <v>Osi.TemplateAddTo("21ce131e-96fe-4d24-9883-ec891f8a529c", GetHostCharacter(), 1, 1);</v>
      </c>
    </row>
    <row r="155">
      <c r="A155" s="82" t="str">
        <f>HYPERLINK("https://bg3.wiki/wiki/Counting_House_Vault_n%C2%B05_Key", "Counting House Vault n°5 Key")</f>
        <v>Counting House Vault n°5 Key</v>
      </c>
      <c r="B155" s="22" t="s">
        <v>55</v>
      </c>
      <c r="C155" s="23" t="s">
        <v>2015</v>
      </c>
      <c r="D155" s="24" t="str">
        <f t="shared" si="17"/>
        <v>Osi.TemplateAddTo("2abb3c1d-06c5-46b5-a379-9b212c71296b", GetHostCharacter(), 1, 1);</v>
      </c>
    </row>
    <row r="156">
      <c r="A156" s="82" t="str">
        <f>HYPERLINK("https://bg3.wiki/wiki/Counting_House_Vault_n%C2%B06_Key", "Counting House Vault n°6 Key")</f>
        <v>Counting House Vault n°6 Key</v>
      </c>
      <c r="B156" s="22" t="s">
        <v>55</v>
      </c>
      <c r="C156" s="23" t="s">
        <v>2016</v>
      </c>
      <c r="D156" s="24" t="str">
        <f t="shared" si="17"/>
        <v>Osi.TemplateAddTo("52babaa9-60e0-4919-b523-4c0d916a0cc9", GetHostCharacter(), 1, 1);</v>
      </c>
    </row>
    <row r="157">
      <c r="A157" s="21" t="str">
        <f>HYPERLINK("https://bg3.wiki/wiki/High_Security_Vault_n%C2%B01_Key", "High Security Vault n°1 Key")</f>
        <v>High Security Vault n°1 Key</v>
      </c>
      <c r="B157" s="22" t="s">
        <v>55</v>
      </c>
      <c r="C157" s="23" t="s">
        <v>2017</v>
      </c>
      <c r="D157" s="24" t="str">
        <f t="shared" si="17"/>
        <v>Osi.TemplateAddTo("34ae083f-fe59-45f9-9ed0-be94feab3b22", GetHostCharacter(), 1, 1);</v>
      </c>
    </row>
    <row r="158">
      <c r="A158" s="21" t="str">
        <f>HYPERLINK("https://bg3.wiki/wiki/High_Security_Vault_n%C2%B02_Key", "High Security Vault n°2 Key")</f>
        <v>High Security Vault n°2 Key</v>
      </c>
      <c r="B158" s="22" t="s">
        <v>55</v>
      </c>
      <c r="C158" s="23" t="s">
        <v>2018</v>
      </c>
      <c r="D158" s="24" t="str">
        <f t="shared" si="17"/>
        <v>Osi.TemplateAddTo("7459b479-f690-4be4-b394-9caaa314ed84", GetHostCharacter(), 1, 1);</v>
      </c>
    </row>
    <row r="159">
      <c r="A159" s="21" t="str">
        <f>HYPERLINK("https://bg3.wiki/wiki/High_Security_Vault_n%C2%B03_Key", "High Security Vault n°3 Key")</f>
        <v>High Security Vault n°3 Key</v>
      </c>
      <c r="B159" s="22" t="s">
        <v>55</v>
      </c>
      <c r="C159" s="23" t="s">
        <v>2019</v>
      </c>
      <c r="D159" s="24" t="str">
        <f t="shared" si="17"/>
        <v>Osi.TemplateAddTo("3bb8470f-a2d7-4fb4-9ba4-009293a2db1b", GetHostCharacter(), 1, 1);</v>
      </c>
    </row>
    <row r="160">
      <c r="A160" s="21" t="str">
        <f>HYPERLINK("https://bg3.wiki/wiki/High_Security_Vault_n%C2%B04_Key", "High Security Vault n°4 Key")</f>
        <v>High Security Vault n°4 Key</v>
      </c>
      <c r="B160" s="22" t="s">
        <v>55</v>
      </c>
      <c r="C160" s="23" t="s">
        <v>2020</v>
      </c>
      <c r="D160" s="24" t="str">
        <f t="shared" si="17"/>
        <v>Osi.TemplateAddTo("761d5d86-ecc1-455e-925f-271e4ab5dcc4", GetHostCharacter(), 1, 1);</v>
      </c>
    </row>
    <row r="161">
      <c r="A161" s="21" t="str">
        <f>HYPERLINK("https://bg3.wiki/wiki/High_Security_Vault_n%C2%B05_Key", "High Security Vault n°5 Key")</f>
        <v>High Security Vault n°5 Key</v>
      </c>
      <c r="B161" s="22" t="s">
        <v>55</v>
      </c>
      <c r="C161" s="23" t="s">
        <v>2021</v>
      </c>
      <c r="D161" s="24" t="str">
        <f t="shared" si="17"/>
        <v>Osi.TemplateAddTo("ed764748-69da-4265-9e97-1326fcc7ab5c", GetHostCharacter(), 1, 1);</v>
      </c>
    </row>
    <row r="162">
      <c r="A162" s="21" t="str">
        <f>HYPERLINK("https://bg3.wiki/wiki/High_Security_Vault_n%C2%B06_Key", "High Security Vault n°6 Key")</f>
        <v>High Security Vault n°6 Key</v>
      </c>
      <c r="B162" s="22" t="s">
        <v>55</v>
      </c>
      <c r="C162" s="23" t="s">
        <v>2016</v>
      </c>
      <c r="D162" s="24" t="str">
        <f t="shared" si="17"/>
        <v>Osi.TemplateAddTo("52babaa9-60e0-4919-b523-4c0d916a0cc9", GetHostCharacter(), 1, 1);</v>
      </c>
    </row>
    <row r="163">
      <c r="A163" s="21" t="str">
        <f>HYPERLINK("https://bg3.wiki/wiki/High_Security_Vault_n%C2%B07_Key", "High Security Vault n°7 Key")</f>
        <v>High Security Vault n°7 Key</v>
      </c>
      <c r="B163" s="22" t="s">
        <v>55</v>
      </c>
      <c r="C163" s="23" t="s">
        <v>2022</v>
      </c>
      <c r="D163" s="24" t="str">
        <f t="shared" si="17"/>
        <v>Osi.TemplateAddTo("85ebe2f5-bd31-420e-bb23-81f85466c774", GetHostCharacter(), 1, 1);</v>
      </c>
    </row>
    <row r="164">
      <c r="A164" s="21" t="str">
        <f>HYPERLINK("https://bg3.wiki/wiki/High_Security_Vault_n%C2%B08_Key", "High Security Vault n°8 Key")</f>
        <v>High Security Vault n°8 Key</v>
      </c>
      <c r="B164" s="22" t="s">
        <v>55</v>
      </c>
      <c r="C164" s="23" t="s">
        <v>2023</v>
      </c>
      <c r="D164" s="24" t="str">
        <f t="shared" si="17"/>
        <v>Osi.TemplateAddTo("6499560e-4790-4aab-97a0-c0989088a8cb", GetHostCharacter(), 1, 1);</v>
      </c>
    </row>
    <row r="165">
      <c r="A165" s="21" t="str">
        <f>HYPERLINK("https://bg3.wiki/wiki/High_Security_Vault_n%C2%B09_Key", "High Security Vault n°9 Key")</f>
        <v>High Security Vault n°9 Key</v>
      </c>
      <c r="B165" s="22" t="s">
        <v>55</v>
      </c>
      <c r="C165" s="23" t="s">
        <v>2024</v>
      </c>
      <c r="D165" s="24" t="str">
        <f t="shared" si="17"/>
        <v>Osi.TemplateAddTo("54d5b4f3-2bf3-47b5-8bb5-19e976a821e6", GetHostCharacter(), 1, 1);</v>
      </c>
    </row>
    <row r="166">
      <c r="A166" s="21" t="str">
        <f>HYPERLINK("https://bg3.wiki/wiki/Crimson_Draughts%27_Hatch_Key", "Crimson Draughts' Hatch Key")</f>
        <v>Crimson Draughts' Hatch Key</v>
      </c>
      <c r="B166" s="22" t="s">
        <v>55</v>
      </c>
      <c r="C166" s="23" t="s">
        <v>2025</v>
      </c>
      <c r="D166" s="24" t="str">
        <f t="shared" si="17"/>
        <v>Osi.TemplateAddTo("800281a1-9f07-404c-b780-f4c0d4eb1229", GetHostCharacter(), 1, 1);</v>
      </c>
    </row>
    <row r="167">
      <c r="A167" s="21" t="str">
        <f>HYPERLINK("https://bg3.wiki/wiki/Dashkent%27s_Key", "Dashkent's Key")</f>
        <v>Dashkent's Key</v>
      </c>
      <c r="B167" s="22" t="s">
        <v>55</v>
      </c>
      <c r="C167" s="23" t="s">
        <v>2026</v>
      </c>
      <c r="D167" s="24" t="str">
        <f t="shared" si="17"/>
        <v>Osi.TemplateAddTo("66ce4fe6-4221-4c85-8510-a73c488b31b9", GetHostCharacter(), 1, 1);</v>
      </c>
    </row>
    <row r="168">
      <c r="A168" s="21" t="str">
        <f>HYPERLINK("https://bg3.wiki/wiki/Debin%27s_Chest_Key", "Debin's Chest Key")</f>
        <v>Debin's Chest Key</v>
      </c>
      <c r="B168" s="22" t="s">
        <v>55</v>
      </c>
      <c r="C168" s="23" t="s">
        <v>2027</v>
      </c>
      <c r="D168" s="24" t="str">
        <f t="shared" si="17"/>
        <v>Osi.TemplateAddTo("984c17f8-54fc-4ebf-9458-861bda739afe", GetHostCharacter(), 1, 1);</v>
      </c>
    </row>
    <row r="169">
      <c r="A169" s="21" t="str">
        <f>HYPERLINK("https://bg3.wiki/wiki/Dheeber%27s_Chest_Key", "Dheeber's Chest Key")</f>
        <v>Dheeber's Chest Key</v>
      </c>
      <c r="B169" s="22" t="s">
        <v>55</v>
      </c>
      <c r="C169" s="23" t="s">
        <v>2028</v>
      </c>
      <c r="D169" s="24" t="str">
        <f t="shared" si="17"/>
        <v>Osi.TemplateAddTo("abe2438d-de02-417e-8bd8-a13666f3cfb5", GetHostCharacter(), 1, 1);</v>
      </c>
    </row>
    <row r="170">
      <c r="A170" s="21" t="str">
        <f>HYPERLINK("https://bg3.wiki/wiki/Docktower_Key", "Docktower Key")</f>
        <v>Docktower Key</v>
      </c>
      <c r="B170" s="22" t="s">
        <v>55</v>
      </c>
      <c r="C170" s="23" t="s">
        <v>2029</v>
      </c>
      <c r="D170" s="24" t="str">
        <f t="shared" si="17"/>
        <v>Osi.TemplateAddTo("f5a11568-3b19-476a-8109-d6b21ef79b24", GetHostCharacter(), 1, 1);</v>
      </c>
    </row>
    <row r="171">
      <c r="A171" s="21" t="str">
        <f>HYPERLINK("https://bg3.wiki/wiki/Donation_Chest_Key", "Donation Chest Key")</f>
        <v>Donation Chest Key</v>
      </c>
      <c r="B171" s="22" t="s">
        <v>55</v>
      </c>
      <c r="C171" s="23" t="s">
        <v>2030</v>
      </c>
      <c r="D171" s="24" t="str">
        <f t="shared" si="17"/>
        <v>Osi.TemplateAddTo("0bf878b0-264b-4d5b-a23b-d306ad7acd54", GetHostCharacter(), 1, 1);</v>
      </c>
    </row>
    <row r="172">
      <c r="A172" s="21" t="str">
        <f>HYPERLINK("https://bg3.wiki/wiki/Donnick%27s_Chest_Key", "Donnick's Chest Key")</f>
        <v>Donnick's Chest Key</v>
      </c>
      <c r="B172" s="22" t="s">
        <v>55</v>
      </c>
      <c r="C172" s="23" t="s">
        <v>2031</v>
      </c>
      <c r="D172" s="24" t="str">
        <f t="shared" si="17"/>
        <v>Osi.TemplateAddTo("5e1efd00-6b9c-4b6a-b137-c56cff5ff27b", GetHostCharacter(), 1, 1);</v>
      </c>
    </row>
    <row r="173">
      <c r="A173" s="21" t="str">
        <f>HYPERLINK("https://bg3.wiki/wiki/Dresten%27s_Chest_Key", "Dresten's Chest Key")</f>
        <v>Dresten's Chest Key</v>
      </c>
      <c r="B173" s="22" t="s">
        <v>55</v>
      </c>
      <c r="C173" s="23" t="s">
        <v>2032</v>
      </c>
      <c r="D173" s="24" t="str">
        <f t="shared" si="17"/>
        <v>Osi.TemplateAddTo("89c09bcd-2d02-4db7-911b-beb45800f03e", GetHostCharacter(), 1, 1);</v>
      </c>
    </row>
    <row r="174">
      <c r="A174" s="21" t="str">
        <f>HYPERLINK("https://bg3.wiki/wiki/Drim%27s_Key", "Drim's Key")</f>
        <v>Drim's Key</v>
      </c>
      <c r="B174" s="22" t="s">
        <v>55</v>
      </c>
      <c r="C174" s="23" t="s">
        <v>2033</v>
      </c>
      <c r="D174" s="24" t="str">
        <f t="shared" si="17"/>
        <v>Osi.TemplateAddTo("088989f1-3dce-46a1-a2fe-69b5181140d7", GetHostCharacter(), 1, 1);</v>
      </c>
    </row>
    <row r="175">
      <c r="A175" s="21" t="str">
        <f>HYPERLINK("https://bg3.wiki/wiki/Dror_Ragzlin%27s_Key", "Dror Ragzlin's Key")</f>
        <v>Dror Ragzlin's Key</v>
      </c>
      <c r="B175" s="22" t="s">
        <v>55</v>
      </c>
      <c r="C175" s="23" t="s">
        <v>2034</v>
      </c>
      <c r="D175" s="24" t="str">
        <f t="shared" si="17"/>
        <v>Osi.TemplateAddTo("1cd81705-496e-4b0b-adc7-3c14ab2eedb4", GetHostCharacter(), 1, 1);</v>
      </c>
    </row>
    <row r="176">
      <c r="A176" s="21" t="str">
        <f>HYPERLINK("https://bg3.wiki/wiki/Durinbold_Mausoleum_Key", "Durinbold Mausoleum Key")</f>
        <v>Durinbold Mausoleum Key</v>
      </c>
      <c r="B176" s="22" t="s">
        <v>55</v>
      </c>
      <c r="C176" s="23" t="s">
        <v>2035</v>
      </c>
      <c r="D176" s="24" t="str">
        <f t="shared" si="17"/>
        <v>Osi.TemplateAddTo("9cdb5b29-44e6-471e-ba45-8c201aebd698", GetHostCharacter(), 1, 1);</v>
      </c>
    </row>
    <row r="177">
      <c r="A177" s="21" t="str">
        <f>HYPERLINK("https://bg3.wiki/wiki/Elarrathin_Residence_Backdoor_Key", "Elarrathin Residence Backdoor Key")</f>
        <v>Elarrathin Residence Backdoor Key</v>
      </c>
      <c r="B177" s="22" t="s">
        <v>55</v>
      </c>
      <c r="C177" s="23" t="s">
        <v>2036</v>
      </c>
      <c r="D177" s="24" t="str">
        <f t="shared" si="17"/>
        <v>Osi.TemplateAddTo("405d1928-cf23-41b8-bcf8-5be3709c4010", GetHostCharacter(), 1, 1);</v>
      </c>
    </row>
    <row r="178">
      <c r="A178" s="21" t="str">
        <f>HYPERLINK("https://bg3.wiki/wiki/Elfsong_Room_Key", "Elfsong Room Key")</f>
        <v>Elfsong Room Key</v>
      </c>
      <c r="B178" s="22" t="s">
        <v>55</v>
      </c>
      <c r="C178" s="23" t="s">
        <v>2037</v>
      </c>
      <c r="D178" s="24" t="str">
        <f t="shared" si="17"/>
        <v>Osi.TemplateAddTo("2f1b990a-2d23-49fb-b1e0-dd06a6ea8739", GetHostCharacter(), 1, 1);</v>
      </c>
    </row>
    <row r="179">
      <c r="A179" s="21" t="str">
        <f>HYPERLINK("https://bg3.wiki/wiki/Engraved_Key", "Engraved Key")</f>
        <v>Engraved Key</v>
      </c>
      <c r="B179" s="22" t="s">
        <v>55</v>
      </c>
      <c r="C179" s="23" t="s">
        <v>2038</v>
      </c>
      <c r="D179" s="24" t="str">
        <f t="shared" si="17"/>
        <v>Osi.TemplateAddTo("f79eeb06-bdc2-4b43-8a56-f15fa00cc716", GetHostCharacter(), 1, 1);</v>
      </c>
    </row>
    <row r="180">
      <c r="A180" s="21" t="str">
        <f>HYPERLINK("https://bg3.wiki/wiki/Engraved_Key_(Cellar)", "Engraved Key (Cellar)")</f>
        <v>Engraved Key (Cellar)</v>
      </c>
      <c r="B180" s="22" t="s">
        <v>55</v>
      </c>
      <c r="C180" s="23" t="s">
        <v>2039</v>
      </c>
      <c r="D180" s="24" t="str">
        <f t="shared" si="17"/>
        <v>Osi.TemplateAddTo("e1068cbf-5a42-4d8c-b739-709cf9163401", GetHostCharacter(), 1, 1);</v>
      </c>
    </row>
    <row r="181">
      <c r="A181" s="21" t="str">
        <f>HYPERLINK("https://bg3.wiki/wiki/Engraved_Key_(Salazon)", "Engraved Key (Salazon)")</f>
        <v>Engraved Key (Salazon)</v>
      </c>
      <c r="B181" s="22" t="s">
        <v>55</v>
      </c>
      <c r="C181" s="23" t="s">
        <v>2040</v>
      </c>
      <c r="D181" s="24" t="str">
        <f t="shared" si="17"/>
        <v>Osi.TemplateAddTo("d377fa14-70f3-45fd-906c-701480238cc1", GetHostCharacter(), 1, 1);</v>
      </c>
    </row>
    <row r="182">
      <c r="A182" s="21" t="str">
        <f>HYPERLINK("https://bg3.wiki/wiki/Ethel%27s_Chest_Key", "Ethel's Chest Key")</f>
        <v>Ethel's Chest Key</v>
      </c>
      <c r="B182" s="22" t="s">
        <v>55</v>
      </c>
      <c r="C182" s="23" t="s">
        <v>2041</v>
      </c>
      <c r="D182" s="24" t="str">
        <f t="shared" si="17"/>
        <v>Osi.TemplateAddTo("153914ed-3911-4bd3-9924-b854af8e8fa6", GetHostCharacter(), 1, 1);</v>
      </c>
    </row>
    <row r="183">
      <c r="A183" s="21" t="str">
        <f>HYPERLINK("https://bg3.wiki/wiki/Ethel%27s_Lair_Key", "Ethel's Lair Key")</f>
        <v>Ethel's Lair Key</v>
      </c>
      <c r="B183" s="22" t="s">
        <v>55</v>
      </c>
      <c r="C183" s="23" t="s">
        <v>158</v>
      </c>
      <c r="D183" s="24"/>
    </row>
    <row r="184">
      <c r="A184" s="21" t="str">
        <f>HYPERLINK("https://bg3.wiki/wiki/Facemaker_Fashion_Basement_Key", "Facemaker Fashion Basement Key")</f>
        <v>Facemaker Fashion Basement Key</v>
      </c>
      <c r="B184" s="22" t="s">
        <v>55</v>
      </c>
      <c r="C184" s="23" t="s">
        <v>2042</v>
      </c>
      <c r="D184" s="24" t="str">
        <f t="shared" ref="D184:D187" si="18">"Osi.TemplateAddTo("""&amp; C184 &amp;""", GetHostCharacter(), 1, 1);"</f>
        <v>Osi.TemplateAddTo("5a5e74c3-4f58-46b4-9cb9-476a791d91ec", GetHostCharacter(), 1, 1);</v>
      </c>
    </row>
    <row r="185">
      <c r="A185" s="21" t="str">
        <f>HYPERLINK("https://bg3.wiki/wiki/Falice%27s_Chest_Key", "Falice's Chest Key")</f>
        <v>Falice's Chest Key</v>
      </c>
      <c r="B185" s="22" t="s">
        <v>55</v>
      </c>
      <c r="C185" s="23" t="s">
        <v>2043</v>
      </c>
      <c r="D185" s="24" t="str">
        <f t="shared" si="18"/>
        <v>Osi.TemplateAddTo("76c54c18-f209-42e1-8565-42f22fcf7d83", GetHostCharacter(), 1, 1);</v>
      </c>
    </row>
    <row r="186">
      <c r="A186" s="21" t="str">
        <f>HYPERLINK("https://bg3.wiki/wiki/Felogyr%27s_Fireworks_Cellar_Key", "Felogyr's Fireworks Cellar Key")</f>
        <v>Felogyr's Fireworks Cellar Key</v>
      </c>
      <c r="B186" s="22" t="s">
        <v>55</v>
      </c>
      <c r="C186" s="23" t="s">
        <v>2044</v>
      </c>
      <c r="D186" s="24" t="str">
        <f t="shared" si="18"/>
        <v>Osi.TemplateAddTo("a8399b29-4e8f-4f1d-9795-46d04cfaa16b", GetHostCharacter(), 1, 1);</v>
      </c>
    </row>
    <row r="187">
      <c r="A187" s="21" t="str">
        <f>HYPERLINK("https://bg3.wiki/wiki/Ffion%27s_Key", "Ffion's Key")</f>
        <v>Ffion's Key</v>
      </c>
      <c r="B187" s="22" t="s">
        <v>55</v>
      </c>
      <c r="C187" s="23" t="s">
        <v>2045</v>
      </c>
      <c r="D187" s="24" t="str">
        <f t="shared" si="18"/>
        <v>Osi.TemplateAddTo("461f5a98-a562-4eff-873f-879e304e41f8", GetHostCharacter(), 1, 1);</v>
      </c>
    </row>
    <row r="188">
      <c r="A188" s="21" t="str">
        <f>HYPERLINK("https://bg3.wiki/wiki/Figaro%27s_Chest_Key", "Figaro's Chest Key")</f>
        <v>Figaro's Chest Key</v>
      </c>
      <c r="B188" s="22" t="s">
        <v>55</v>
      </c>
      <c r="C188" s="23" t="s">
        <v>158</v>
      </c>
      <c r="D188" s="24"/>
    </row>
    <row r="189">
      <c r="A189" s="21" t="str">
        <f>HYPERLINK("https://bg3.wiki/wiki/Figaro%27s_Safe_Key", "Figaro's Safe Key")</f>
        <v>Figaro's Safe Key</v>
      </c>
      <c r="B189" s="22" t="s">
        <v>55</v>
      </c>
      <c r="C189" s="23" t="s">
        <v>2046</v>
      </c>
      <c r="D189" s="24" t="str">
        <f t="shared" ref="D189:D194" si="19">"Osi.TemplateAddTo("""&amp; C189 &amp;""", GetHostCharacter(), 1, 1);"</f>
        <v>Osi.TemplateAddTo("64562195-8080-4bf3-8e93-13962871db85", GetHostCharacter(), 1, 1);</v>
      </c>
    </row>
    <row r="190">
      <c r="A190" s="21" t="str">
        <f>HYPERLINK("https://bg3.wiki/wiki/Fireworks_Workshop_Key", "Fireworks Workshop Key")</f>
        <v>Fireworks Workshop Key</v>
      </c>
      <c r="B190" s="22" t="s">
        <v>55</v>
      </c>
      <c r="C190" s="23" t="s">
        <v>2047</v>
      </c>
      <c r="D190" s="24" t="str">
        <f t="shared" si="19"/>
        <v>Osi.TemplateAddTo("d6b3b2a7-fbb1-4b57-a706-bdc7f1bbd9ae", GetHostCharacter(), 1, 1);</v>
      </c>
    </row>
    <row r="191">
      <c r="A191" s="21" t="str">
        <f>HYPERLINK("https://bg3.wiki/wiki/Flowery_Key", "Flowery Key")</f>
        <v>Flowery Key</v>
      </c>
      <c r="B191" s="22" t="s">
        <v>55</v>
      </c>
      <c r="C191" s="23" t="s">
        <v>2048</v>
      </c>
      <c r="D191" s="24" t="str">
        <f t="shared" si="19"/>
        <v>Osi.TemplateAddTo("8ab130ef-4fad-4bfe-b667-f4a73c1c36c0", GetHostCharacter(), 1, 1);</v>
      </c>
    </row>
    <row r="192">
      <c r="A192" s="21" t="str">
        <f>HYPERLINK("https://bg3.wiki/wiki/Fraygo%27s_Flophouse_Back_Door_Key", "Fraygo's Flophouse Back Door Key")</f>
        <v>Fraygo's Flophouse Back Door Key</v>
      </c>
      <c r="B192" s="22" t="s">
        <v>55</v>
      </c>
      <c r="C192" s="23" t="s">
        <v>2049</v>
      </c>
      <c r="D192" s="24" t="str">
        <f t="shared" si="19"/>
        <v>Osi.TemplateAddTo("f03a5a82-8f28-4baf-aac5-c3d5e5a19154", GetHostCharacter(), 1, 1);</v>
      </c>
    </row>
    <row r="193">
      <c r="A193" s="21" t="str">
        <f>HYPERLINK("https://bg3.wiki/wiki/General_Streets_Chest_Key", "General Streets Chest Key")</f>
        <v>General Streets Chest Key</v>
      </c>
      <c r="B193" s="22" t="s">
        <v>55</v>
      </c>
      <c r="C193" s="23" t="s">
        <v>2050</v>
      </c>
      <c r="D193" s="24" t="str">
        <f t="shared" si="19"/>
        <v>Osi.TemplateAddTo("ac526b42-14ba-4f00-9bd6-83d4019136da", GetHostCharacter(), 1, 1);</v>
      </c>
    </row>
    <row r="194">
      <c r="A194" s="21" t="str">
        <f>HYPERLINK("https://bg3.wiki/wiki/Glitter_Gala_Store_Key", "Glitter Gala Store Key")</f>
        <v>Glitter Gala Store Key</v>
      </c>
      <c r="B194" s="22" t="s">
        <v>55</v>
      </c>
      <c r="C194" s="23" t="s">
        <v>2051</v>
      </c>
      <c r="D194" s="24" t="str">
        <f t="shared" si="19"/>
        <v>Osi.TemplateAddTo("24559c1d-9237-4bb7-b042-ce50dbb62b2d", GetHostCharacter(), 1, 1);</v>
      </c>
    </row>
    <row r="195">
      <c r="A195" s="21" t="str">
        <f>HYPERLINK("https://bg3.wiki/wiki/Golbraith%27s_Chest_Key", "Golbraith's Chest Key")</f>
        <v>Golbraith's Chest Key</v>
      </c>
      <c r="B195" s="22" t="s">
        <v>55</v>
      </c>
      <c r="C195" s="23" t="s">
        <v>158</v>
      </c>
      <c r="D195" s="24"/>
    </row>
    <row r="196">
      <c r="A196" s="21" t="str">
        <f>HYPERLINK("https://bg3.wiki/wiki/Golbraith%27s_Hatch_Key", "Golbraith's Hatch Key")</f>
        <v>Golbraith's Hatch Key</v>
      </c>
      <c r="B196" s="22" t="s">
        <v>55</v>
      </c>
      <c r="C196" s="23" t="s">
        <v>2052</v>
      </c>
      <c r="D196" s="24" t="str">
        <f t="shared" ref="D196:D197" si="20">"Osi.TemplateAddTo("""&amp; C196 &amp;""", GetHostCharacter(), 1, 1);"</f>
        <v>Osi.TemplateAddTo("65a0a19b-26b5-46e6-afec-8013174b23b9", GetHostCharacter(), 1, 1);</v>
      </c>
    </row>
    <row r="197">
      <c r="A197" s="21" t="str">
        <f>HYPERLINK("https://bg3.wiki/wiki/Golbraith%27s_Key", "Golbraith's Key")</f>
        <v>Golbraith's Key</v>
      </c>
      <c r="B197" s="22" t="s">
        <v>55</v>
      </c>
      <c r="C197" s="23" t="s">
        <v>2053</v>
      </c>
      <c r="D197" s="24" t="str">
        <f t="shared" si="20"/>
        <v>Osi.TemplateAddTo("11519770-312a-4f84-a36e-84eca1f7b284", GetHostCharacter(), 1, 1);</v>
      </c>
    </row>
    <row r="198">
      <c r="A198" s="21" t="str">
        <f>HYPERLINK("https://bg3.wiki/wiki/Gold_Key", "Gold Key")</f>
        <v>Gold Key</v>
      </c>
      <c r="B198" s="22" t="s">
        <v>55</v>
      </c>
      <c r="C198" s="23" t="s">
        <v>158</v>
      </c>
      <c r="D198" s="24"/>
    </row>
    <row r="199">
      <c r="A199" s="21" t="str">
        <f>HYPERLINK("https://bg3.wiki/wiki/Gorion_Mausoleum_Key", "Gorion Mausoleum Key")</f>
        <v>Gorion Mausoleum Key</v>
      </c>
      <c r="B199" s="22" t="s">
        <v>55</v>
      </c>
      <c r="C199" s="23" t="s">
        <v>2054</v>
      </c>
      <c r="D199" s="24" t="str">
        <f t="shared" ref="D199:D202" si="21">"Osi.TemplateAddTo("""&amp; C199 &amp;""", GetHostCharacter(), 1, 1);"</f>
        <v>Osi.TemplateAddTo("166460a6-6f1e-464b-9d30-9a74d8fc46a8", GetHostCharacter(), 1, 1);</v>
      </c>
    </row>
    <row r="200">
      <c r="A200" s="21" t="str">
        <f>HYPERLINK("https://bg3.wiki/wiki/Goris%27_Chest_Key", "Goris' Chest Key")</f>
        <v>Goris' Chest Key</v>
      </c>
      <c r="B200" s="22" t="s">
        <v>55</v>
      </c>
      <c r="C200" s="23" t="s">
        <v>2055</v>
      </c>
      <c r="D200" s="24" t="str">
        <f t="shared" si="21"/>
        <v>Osi.TemplateAddTo("69273bd3-bcbf-4791-adc4-8efc2a08acb8", GetHostCharacter(), 1, 1);</v>
      </c>
    </row>
    <row r="201">
      <c r="A201" s="21" t="str">
        <f>HYPERLINK("https://bg3.wiki/wiki/Gortash%27s_Chest_Key", "Gortash's Chest Key")</f>
        <v>Gortash's Chest Key</v>
      </c>
      <c r="B201" s="22" t="s">
        <v>55</v>
      </c>
      <c r="C201" s="23" t="s">
        <v>2056</v>
      </c>
      <c r="D201" s="24" t="str">
        <f t="shared" si="21"/>
        <v>Osi.TemplateAddTo("95fe2283-1e0d-4171-abb6-71dd08b3c4e3", GetHostCharacter(), 1, 1);</v>
      </c>
    </row>
    <row r="202">
      <c r="A202" s="21" t="str">
        <f>HYPERLINK("https://bg3.wiki/wiki/Gortash%27s_Key", "Gortash's Key")</f>
        <v>Gortash's Key</v>
      </c>
      <c r="B202" s="22" t="s">
        <v>55</v>
      </c>
      <c r="C202" s="23" t="s">
        <v>2057</v>
      </c>
      <c r="D202" s="24" t="str">
        <f t="shared" si="21"/>
        <v>Osi.TemplateAddTo("854b75cb-1d5f-44d3-91f8-fc3be0f54176", GetHostCharacter(), 1, 1);</v>
      </c>
    </row>
    <row r="203">
      <c r="A203" s="21" t="str">
        <f>HYPERLINK("https://bg3.wiki/wiki/Grand_Mausoleum_Offerings_Key", "Grand Mausoleum Offerings Key")</f>
        <v>Grand Mausoleum Offerings Key</v>
      </c>
      <c r="B203" s="22" t="s">
        <v>55</v>
      </c>
      <c r="C203" s="23" t="s">
        <v>158</v>
      </c>
      <c r="D203" s="24"/>
    </row>
    <row r="204">
      <c r="A204" s="21" t="str">
        <f>HYPERLINK("https://bg3.wiki/wiki/Graveyard_Door_Key", "Graveyard Door Key")</f>
        <v>Graveyard Door Key</v>
      </c>
      <c r="B204" s="22" t="s">
        <v>55</v>
      </c>
      <c r="C204" s="23" t="s">
        <v>2058</v>
      </c>
      <c r="D204" s="24" t="str">
        <f>"Osi.TemplateAddTo("""&amp; C204 &amp;""", GetHostCharacter(), 1, 1);"</f>
        <v>Osi.TemplateAddTo("1989709c-67b7-4ef1-9757-dc47deb31cde", GetHostCharacter(), 1, 1);</v>
      </c>
    </row>
    <row r="205">
      <c r="A205" s="21" t="str">
        <f>HYPERLINK("https://bg3.wiki/wiki/Grief_Key", "Grief Key")</f>
        <v>Grief Key</v>
      </c>
      <c r="B205" s="22" t="s">
        <v>55</v>
      </c>
      <c r="C205" s="23" t="s">
        <v>158</v>
      </c>
      <c r="D205" s="24"/>
    </row>
    <row r="206">
      <c r="A206" s="21" t="str">
        <f>HYPERLINK("https://bg3.wiki/wiki/Griska%27s_Key", "Griska's Key")</f>
        <v>Griska's Key</v>
      </c>
      <c r="B206" s="22" t="s">
        <v>55</v>
      </c>
      <c r="C206" s="23" t="s">
        <v>2059</v>
      </c>
      <c r="D206" s="24" t="str">
        <f t="shared" ref="D206:D222" si="22">"Osi.TemplateAddTo("""&amp; C206 &amp;""", GetHostCharacter(), 1, 1);"</f>
        <v>Osi.TemplateAddTo("d9b7ec6c-1cfa-4c49-8999-8d2fba1e0306", GetHostCharacter(), 1, 1);</v>
      </c>
    </row>
    <row r="207">
      <c r="A207" s="21" t="str">
        <f>HYPERLINK("https://bg3.wiki/wiki/Groundskeeper%27s_Hatch_Key", "Groundskeeper's Hatch Key")</f>
        <v>Groundskeeper's Hatch Key</v>
      </c>
      <c r="B207" s="22" t="s">
        <v>55</v>
      </c>
      <c r="C207" s="23" t="s">
        <v>2060</v>
      </c>
      <c r="D207" s="24" t="str">
        <f t="shared" si="22"/>
        <v>Osi.TemplateAddTo("f09fc268-ff3c-4cca-ba8b-e2f1158eca01", GetHostCharacter(), 1, 1);</v>
      </c>
    </row>
    <row r="208">
      <c r="A208" s="21" t="str">
        <f>HYPERLINK("https://bg3.wiki/wiki/Grubby_Key", "Grubby Key")</f>
        <v>Grubby Key</v>
      </c>
      <c r="B208" s="22" t="s">
        <v>55</v>
      </c>
      <c r="C208" s="23" t="s">
        <v>2061</v>
      </c>
      <c r="D208" s="24" t="str">
        <f t="shared" si="22"/>
        <v>Osi.TemplateAddTo("7a017921-e078-4123-9a08-bda5ecec6807", GetHostCharacter(), 1, 1);</v>
      </c>
    </row>
    <row r="209">
      <c r="A209" s="21" t="str">
        <f>HYPERLINK("https://bg3.wiki/wiki/Guild_Hall_Hatch_Key", "Guild Hall Hatch Key")</f>
        <v>Guild Hall Hatch Key</v>
      </c>
      <c r="B209" s="22" t="s">
        <v>55</v>
      </c>
      <c r="C209" s="23" t="s">
        <v>2062</v>
      </c>
      <c r="D209" s="24" t="str">
        <f t="shared" si="22"/>
        <v>Osi.TemplateAddTo("ff3a0e59-5525-4c97-aabd-8395106e1f33", GetHostCharacter(), 1, 1);</v>
      </c>
    </row>
    <row r="210">
      <c r="A210" s="21" t="str">
        <f>HYPERLINK("https://bg3.wiki/wiki/Harper_Key", "Harper Key")</f>
        <v>Harper Key</v>
      </c>
      <c r="B210" s="22" t="s">
        <v>55</v>
      </c>
      <c r="C210" s="23" t="s">
        <v>2063</v>
      </c>
      <c r="D210" s="24" t="str">
        <f t="shared" si="22"/>
        <v>Osi.TemplateAddTo("e05c1703-dd13-48ba-8b09-bebfb5fff625", GetHostCharacter(), 1, 1);</v>
      </c>
    </row>
    <row r="211">
      <c r="A211" s="21" t="str">
        <f>HYPERLINK("https://bg3.wiki/wiki/Havkelaag%27s_Key", "Havkelaag's Key")</f>
        <v>Havkelaag's Key</v>
      </c>
      <c r="B211" s="22" t="s">
        <v>55</v>
      </c>
      <c r="C211" s="23" t="s">
        <v>2064</v>
      </c>
      <c r="D211" s="24" t="str">
        <f t="shared" si="22"/>
        <v>Osi.TemplateAddTo("abd1a0cb-5365-4259-98ac-0dbcf5451c35", GetHostCharacter(), 1, 1);</v>
      </c>
    </row>
    <row r="212">
      <c r="A212" s="21" t="str">
        <f>HYPERLINK("https://bg3.wiki/wiki/Heapside_Armoury_Key", "Heapside Armoury Key")</f>
        <v>Heapside Armoury Key</v>
      </c>
      <c r="B212" s="22" t="s">
        <v>55</v>
      </c>
      <c r="C212" s="23" t="s">
        <v>2065</v>
      </c>
      <c r="D212" s="24" t="str">
        <f t="shared" si="22"/>
        <v>Osi.TemplateAddTo("e928f551-7e26-43a4-bc15-72c13be22754", GetHostCharacter(), 1, 1);</v>
      </c>
    </row>
    <row r="213">
      <c r="A213" s="21" t="str">
        <f>HYPERLINK("https://bg3.wiki/wiki/Heavy_Key", "Heavy Key")</f>
        <v>Heavy Key</v>
      </c>
      <c r="B213" s="22" t="s">
        <v>55</v>
      </c>
      <c r="C213" s="23" t="s">
        <v>2066</v>
      </c>
      <c r="D213" s="24" t="str">
        <f t="shared" si="22"/>
        <v>Osi.TemplateAddTo("67410085-0865-4b5d-9d65-2e7b7ed80697", GetHostCharacter(), 1, 1);</v>
      </c>
    </row>
    <row r="214">
      <c r="A214" s="21" t="str">
        <f>HYPERLINK("https://bg3.wiki/wiki/Heavy_Key_(Blighted_Village)", "Heavy Key (Blighted Village)")</f>
        <v>Heavy Key (Blighted Village)</v>
      </c>
      <c r="B214" s="22" t="s">
        <v>55</v>
      </c>
      <c r="C214" s="23" t="s">
        <v>2067</v>
      </c>
      <c r="D214" s="24" t="str">
        <f t="shared" si="22"/>
        <v>Osi.TemplateAddTo("ee17902e-74dc-4118-a271-ddaa383c95a7", GetHostCharacter(), 1, 1);</v>
      </c>
    </row>
    <row r="215">
      <c r="A215" s="21" t="str">
        <f>HYPERLINK("https://bg3.wiki/wiki/Helsik%27s_Key", "Helsik's Key")</f>
        <v>Helsik's Key</v>
      </c>
      <c r="B215" s="22" t="s">
        <v>55</v>
      </c>
      <c r="C215" s="23" t="s">
        <v>2068</v>
      </c>
      <c r="D215" s="24" t="str">
        <f t="shared" si="22"/>
        <v>Osi.TemplateAddTo("0552450d-a49b-4a7a-acbc-8b298929f27d", GetHostCharacter(), 1, 1);</v>
      </c>
    </row>
    <row r="216">
      <c r="A216" s="21" t="str">
        <f>HYPERLINK("https://bg3.wiki/wiki/Hhune_Mausoleum_Golden_Key", "Hhune Mausoleum Golden Key")</f>
        <v>Hhune Mausoleum Golden Key</v>
      </c>
      <c r="B216" s="22" t="s">
        <v>55</v>
      </c>
      <c r="C216" s="23" t="s">
        <v>2069</v>
      </c>
      <c r="D216" s="24" t="str">
        <f t="shared" si="22"/>
        <v>Osi.TemplateAddTo("f9278612-6a22-40ef-bf12-e2cdf00fe534", GetHostCharacter(), 1, 1);</v>
      </c>
    </row>
    <row r="217">
      <c r="A217" s="21" t="str">
        <f>HYPERLINK("https://bg3.wiki/wiki/Hhune_Mausoleum_Iron_Key", "Hhune Mausoleum Iron Key")</f>
        <v>Hhune Mausoleum Iron Key</v>
      </c>
      <c r="B217" s="22" t="s">
        <v>55</v>
      </c>
      <c r="C217" s="23" t="s">
        <v>2070</v>
      </c>
      <c r="D217" s="24" t="str">
        <f t="shared" si="22"/>
        <v>Osi.TemplateAddTo("04464567-33b2-4df9-8c61-25788aab102b", GetHostCharacter(), 1, 1);</v>
      </c>
    </row>
    <row r="218">
      <c r="A218" s="21" t="str">
        <f>HYPERLINK("https://bg3.wiki/wiki/Hhune_Mausoleum_Key", "Hhune Mausoleum Key")</f>
        <v>Hhune Mausoleum Key</v>
      </c>
      <c r="B218" s="22" t="s">
        <v>55</v>
      </c>
      <c r="C218" s="23" t="s">
        <v>2071</v>
      </c>
      <c r="D218" s="24" t="str">
        <f t="shared" si="22"/>
        <v>Osi.TemplateAddTo("64d077e4-b277-4681-9f69-61d37d009c6b", GetHostCharacter(), 1, 1);</v>
      </c>
    </row>
    <row r="219">
      <c r="A219" s="21" t="str">
        <f>HYPERLINK("https://bg3.wiki/wiki/High_Hall_Key", "High Hall Key")</f>
        <v>High Hall Key</v>
      </c>
      <c r="B219" s="22" t="s">
        <v>55</v>
      </c>
      <c r="C219" s="23" t="s">
        <v>2072</v>
      </c>
      <c r="D219" s="24" t="str">
        <f t="shared" si="22"/>
        <v>Osi.TemplateAddTo("1ba12cad-591b-4b0e-9ca0-046f1bf5160b", GetHostCharacter(), 1, 1);</v>
      </c>
    </row>
    <row r="220">
      <c r="A220" s="21" t="str">
        <f>HYPERLINK("https://bg3.wiki/wiki/Highberry%27s_Strongbox_Key", "Highberry's Strongbox Key")</f>
        <v>Highberry's Strongbox Key</v>
      </c>
      <c r="B220" s="22" t="s">
        <v>55</v>
      </c>
      <c r="C220" s="23" t="s">
        <v>2073</v>
      </c>
      <c r="D220" s="24" t="str">
        <f t="shared" si="22"/>
        <v>Osi.TemplateAddTo("3d6b97e3-2f7c-41c2-87a5-fb8fc51c0632", GetHostCharacter(), 1, 1);</v>
      </c>
    </row>
    <row r="221">
      <c r="A221" s="21" t="str">
        <f>HYPERLINK("https://bg3.wiki/wiki/Hospital_Library_Key", "Hospital Library Key")</f>
        <v>Hospital Library Key</v>
      </c>
      <c r="B221" s="22" t="s">
        <v>55</v>
      </c>
      <c r="C221" s="23" t="s">
        <v>2074</v>
      </c>
      <c r="D221" s="24" t="str">
        <f t="shared" si="22"/>
        <v>Osi.TemplateAddTo("980fbcc9-6bdc-4957-a3f3-3784078b31ef", GetHostCharacter(), 1, 1);</v>
      </c>
    </row>
    <row r="222">
      <c r="A222" s="21" t="str">
        <f>HYPERLINK("https://bg3.wiki/wiki/Infirmary_Key_(Cr%C3%A8che_Y%27llek)", "Infirmary Key (Crèche Y'llek)")</f>
        <v>Infirmary Key (Crèche Y'llek)</v>
      </c>
      <c r="B222" s="22" t="s">
        <v>55</v>
      </c>
      <c r="C222" s="23" t="s">
        <v>2075</v>
      </c>
      <c r="D222" s="24" t="str">
        <f t="shared" si="22"/>
        <v>Osi.TemplateAddTo("9d3de6ea-df9e-4eda-ac2d-939bc1149223", GetHostCharacter(), 1, 1);</v>
      </c>
    </row>
    <row r="223">
      <c r="A223" s="21" t="str">
        <f>HYPERLINK("https://bg3.wiki/wiki/Ink-Spattered_Key", "Ink-Spattered Key")</f>
        <v>Ink-Spattered Key</v>
      </c>
      <c r="B223" s="22" t="s">
        <v>55</v>
      </c>
      <c r="C223" s="23" t="s">
        <v>158</v>
      </c>
      <c r="D223" s="24"/>
    </row>
    <row r="224">
      <c r="A224" s="21" t="str">
        <f>HYPERLINK("https://bg3.wiki/wiki/Innkeeper%27s_Key", "Innkeeper's Key")</f>
        <v>Innkeeper's Key</v>
      </c>
      <c r="B224" s="22" t="s">
        <v>55</v>
      </c>
      <c r="C224" s="23" t="s">
        <v>2076</v>
      </c>
      <c r="D224" s="24" t="str">
        <f t="shared" ref="D224:D231" si="23">"Osi.TemplateAddTo("""&amp; C224 &amp;""", GetHostCharacter(), 1, 1);"</f>
        <v>Osi.TemplateAddTo("a97f0631-98e7-453e-b892-999bf4088ed6", GetHostCharacter(), 1, 1);</v>
      </c>
    </row>
    <row r="225">
      <c r="A225" s="21" t="str">
        <f>HYPERLINK("https://bg3.wiki/wiki/Intricate_Key", "Intricate Key")</f>
        <v>Intricate Key</v>
      </c>
      <c r="B225" s="22" t="s">
        <v>55</v>
      </c>
      <c r="C225" s="23" t="s">
        <v>2077</v>
      </c>
      <c r="D225" s="24" t="str">
        <f t="shared" si="23"/>
        <v>Osi.TemplateAddTo("90c30dfe-fde3-4bc9-8772-253cdea75c28", GetHostCharacter(), 1, 1);</v>
      </c>
    </row>
    <row r="226">
      <c r="A226" s="21" t="str">
        <f>HYPERLINK("https://bg3.wiki/wiki/Iron_Cell_Key", "Iron Cell Key")</f>
        <v>Iron Cell Key</v>
      </c>
      <c r="B226" s="22" t="s">
        <v>55</v>
      </c>
      <c r="C226" s="23" t="s">
        <v>2078</v>
      </c>
      <c r="D226" s="24" t="str">
        <f t="shared" si="23"/>
        <v>Osi.TemplateAddTo("3ecdb967-7240-42aa-b051-039b9e343c9f", GetHostCharacter(), 1, 1);</v>
      </c>
    </row>
    <row r="227">
      <c r="A227" s="21" t="str">
        <f>HYPERLINK("https://bg3.wiki/wiki/Iron_Key", "Iron Key")</f>
        <v>Iron Key</v>
      </c>
      <c r="B227" s="22" t="s">
        <v>55</v>
      </c>
      <c r="C227" s="23" t="s">
        <v>2079</v>
      </c>
      <c r="D227" s="24" t="str">
        <f t="shared" si="23"/>
        <v>Osi.TemplateAddTo("780c949d-70ef-4241-822a-a659bfee672c", GetHostCharacter(), 1, 1);</v>
      </c>
    </row>
    <row r="228">
      <c r="A228" s="21" t="str">
        <f>HYPERLINK("https://bg3.wiki/wiki/Iron_Key_(Garias)", "Iron Key (Garias)")</f>
        <v>Iron Key (Garias)</v>
      </c>
      <c r="B228" s="22" t="s">
        <v>55</v>
      </c>
      <c r="C228" s="23" t="s">
        <v>2080</v>
      </c>
      <c r="D228" s="24" t="str">
        <f t="shared" si="23"/>
        <v>Osi.TemplateAddTo("f79fe1b2-25e0-402e-8b79-7701e56375fb", GetHostCharacter(), 1, 1);</v>
      </c>
    </row>
    <row r="229">
      <c r="A229" s="21" t="str">
        <f>HYPERLINK("https://bg3.wiki/wiki/Jaheira%27s_Chest_Key", "Jaheira's Chest Key")</f>
        <v>Jaheira's Chest Key</v>
      </c>
      <c r="B229" s="22" t="s">
        <v>55</v>
      </c>
      <c r="C229" s="23" t="s">
        <v>2081</v>
      </c>
      <c r="D229" s="24" t="str">
        <f t="shared" si="23"/>
        <v>Osi.TemplateAddTo("60f1bfca-020f-4a54-99eb-3a67ec9f496c", GetHostCharacter(), 1, 1);</v>
      </c>
    </row>
    <row r="230">
      <c r="A230" s="21" t="str">
        <f>HYPERLINK("https://bg3.wiki/wiki/Jol%27s_Chest_Key", "Jol's Chest Key")</f>
        <v>Jol's Chest Key</v>
      </c>
      <c r="B230" s="22" t="s">
        <v>55</v>
      </c>
      <c r="C230" s="23" t="s">
        <v>2082</v>
      </c>
      <c r="D230" s="24" t="str">
        <f t="shared" si="23"/>
        <v>Osi.TemplateAddTo("41bbd94d-975b-42ef-9d61-214a8fab55d0", GetHostCharacter(), 1, 1);</v>
      </c>
    </row>
    <row r="231">
      <c r="A231" s="21" t="str">
        <f>HYPERLINK("https://bg3.wiki/wiki/Kagha%27s_Key", "Kagha's Key")</f>
        <v>Kagha's Key</v>
      </c>
      <c r="B231" s="22" t="s">
        <v>55</v>
      </c>
      <c r="C231" s="23" t="s">
        <v>2083</v>
      </c>
      <c r="D231" s="24" t="str">
        <f t="shared" si="23"/>
        <v>Osi.TemplateAddTo("a629d82e-82ba-4fd0-b2b9-de10e0b40e13", GetHostCharacter(), 1, 1);</v>
      </c>
    </row>
    <row r="232">
      <c r="A232" s="21" t="str">
        <f>HYPERLINK("https://bg3.wiki/wiki/Key_(Clover)", "Key (Clover)")</f>
        <v>Key (Clover)</v>
      </c>
      <c r="B232" s="22" t="s">
        <v>55</v>
      </c>
      <c r="C232" s="23" t="s">
        <v>158</v>
      </c>
      <c r="D232" s="24"/>
    </row>
    <row r="233">
      <c r="A233" s="21" t="str">
        <f>HYPERLINK("https://bg3.wiki/wiki/Key_(Cr%C3%A8che_Hatchery)", "Key (Crèche Hatchery)")</f>
        <v>Key (Crèche Hatchery)</v>
      </c>
      <c r="B233" s="22" t="s">
        <v>55</v>
      </c>
      <c r="C233" s="23" t="s">
        <v>158</v>
      </c>
      <c r="D233" s="24"/>
    </row>
    <row r="234">
      <c r="A234" s="21" t="str">
        <f>HYPERLINK("https://bg3.wiki/wiki/Key_(Cr%C3%A8che_Y%27llek)", "Key (Crèche Y'llek)")</f>
        <v>Key (Crèche Y'llek)</v>
      </c>
      <c r="B234" s="22" t="s">
        <v>55</v>
      </c>
      <c r="C234" s="23" t="s">
        <v>158</v>
      </c>
      <c r="D234" s="24"/>
    </row>
    <row r="235">
      <c r="A235" s="21" t="str">
        <f>HYPERLINK("https://bg3.wiki/wiki/Key_(Dringo)", "Key (Dringo)")</f>
        <v>Key (Dringo)</v>
      </c>
      <c r="B235" s="22" t="s">
        <v>55</v>
      </c>
      <c r="C235" s="23" t="s">
        <v>158</v>
      </c>
      <c r="D235" s="24"/>
    </row>
    <row r="236">
      <c r="A236" s="21" t="str">
        <f>HYPERLINK("https://bg3.wiki/wiki/Key_(Falc%C3%A4o)", "Key (Falcäo)")</f>
        <v>Key (Falcäo)</v>
      </c>
      <c r="B236" s="22" t="s">
        <v>55</v>
      </c>
      <c r="C236" s="23" t="s">
        <v>158</v>
      </c>
      <c r="D236" s="24"/>
    </row>
    <row r="237">
      <c r="A237" s="21" t="str">
        <f>HYPERLINK("https://bg3.wiki/wiki/Key_(Gloomy_Fentonson)", "Key (Gloomy Fentonson)")</f>
        <v>Key (Gloomy Fentonson)</v>
      </c>
      <c r="B237" s="22" t="s">
        <v>55</v>
      </c>
      <c r="C237" s="23" t="s">
        <v>158</v>
      </c>
      <c r="D237" s="24"/>
    </row>
    <row r="238">
      <c r="A238" s="21" t="str">
        <f>HYPERLINK("https://bg3.wiki/wiki/Key_(Malus_Thorm_Office)", "Key (Malus Thorm Office)")</f>
        <v>Key (Malus Thorm Office)</v>
      </c>
      <c r="B238" s="22" t="s">
        <v>55</v>
      </c>
      <c r="C238" s="23" t="s">
        <v>158</v>
      </c>
      <c r="D238" s="24"/>
    </row>
    <row r="239">
      <c r="A239" s="21" t="str">
        <f>HYPERLINK("https://bg3.wiki/wiki/Key_(Philgrave%27s_Mansion)", "Key (Philgrave's Mansion)")</f>
        <v>Key (Philgrave's Mansion)</v>
      </c>
      <c r="B239" s="22" t="s">
        <v>55</v>
      </c>
      <c r="C239" s="23" t="s">
        <v>158</v>
      </c>
      <c r="D239" s="24"/>
    </row>
    <row r="240">
      <c r="A240" s="21" t="str">
        <f>HYPERLINK("https://bg3.wiki/wiki/Key_(Sinda)", "Key (Sinda)")</f>
        <v>Key (Sinda)</v>
      </c>
      <c r="B240" s="22" t="s">
        <v>55</v>
      </c>
      <c r="C240" s="23" t="s">
        <v>158</v>
      </c>
      <c r="D240" s="24"/>
    </row>
    <row r="241">
      <c r="A241" s="21" t="str">
        <f>HYPERLINK("https://bg3.wiki/wiki/Key_From_Raphael%27s_Safe", "Key From Raphael's Safe")</f>
        <v>Key From Raphael's Safe</v>
      </c>
      <c r="B241" s="22" t="s">
        <v>55</v>
      </c>
      <c r="C241" s="23" t="s">
        <v>2084</v>
      </c>
      <c r="D241" s="24" t="str">
        <f t="shared" ref="D241:D242" si="24">"Osi.TemplateAddTo("""&amp; C241 &amp;""", GetHostCharacter(), 1, 1);"</f>
        <v>Osi.TemplateAddTo("0519bffd-55d0-47be-a39f-d24f10260b56", GetHostCharacter(), 1, 1);</v>
      </c>
    </row>
    <row r="242">
      <c r="A242" s="21" t="str">
        <f>HYPERLINK("https://bg3.wiki/wiki/Key_to_Buried_Treasure", "Key to Buried Treasure")</f>
        <v>Key to Buried Treasure</v>
      </c>
      <c r="B242" s="22" t="s">
        <v>55</v>
      </c>
      <c r="C242" s="23" t="s">
        <v>2085</v>
      </c>
      <c r="D242" s="24" t="str">
        <f t="shared" si="24"/>
        <v>Osi.TemplateAddTo("bc270919-f0a6-4e7e-b3ea-431e51f5b5aa", GetHostCharacter(), 1, 1);</v>
      </c>
    </row>
    <row r="243">
      <c r="A243" s="21" t="str">
        <f>HYPERLINK("https://bg3.wiki/wiki/Key_to_Cazador%27s_Dungeon", "Key to Cazador's Dungeon")</f>
        <v>Key to Cazador's Dungeon</v>
      </c>
      <c r="B243" s="22" t="s">
        <v>55</v>
      </c>
      <c r="C243" s="23" t="s">
        <v>158</v>
      </c>
      <c r="D243" s="24"/>
    </row>
    <row r="244">
      <c r="A244" s="21" t="str">
        <f>HYPERLINK("https://bg3.wiki/wiki/Key_to_Ramparts_Door", "Key to Ramparts Door")</f>
        <v>Key to Ramparts Door</v>
      </c>
      <c r="B244" s="22" t="s">
        <v>55</v>
      </c>
      <c r="C244" s="23" t="s">
        <v>2086</v>
      </c>
      <c r="D244" s="24" t="str">
        <f t="shared" ref="D244:D251" si="25">"Osi.TemplateAddTo("""&amp; C244 &amp;""", GetHostCharacter(), 1, 1);"</f>
        <v>Osi.TemplateAddTo("2fab908b-aca2-4e1e-8611-4e42c55263e3", GetHostCharacter(), 1, 1);</v>
      </c>
    </row>
    <row r="245">
      <c r="A245" s="21" t="str">
        <f>HYPERLINK("https://bg3.wiki/wiki/Key_to_the_Kennel", "Key to the Kennel")</f>
        <v>Key to the Kennel</v>
      </c>
      <c r="B245" s="22" t="s">
        <v>55</v>
      </c>
      <c r="C245" s="23" t="s">
        <v>2087</v>
      </c>
      <c r="D245" s="24" t="str">
        <f t="shared" si="25"/>
        <v>Osi.TemplateAddTo("7f5b6373-71d8-47fb-aa12-574ed005ed20", GetHostCharacter(), 1, 1);</v>
      </c>
    </row>
    <row r="246">
      <c r="A246" s="21" t="str">
        <f>HYPERLINK("https://bg3.wiki/wiki/Key_to_the_Murder_Tribunal", "Key to the Murder Tribunal")</f>
        <v>Key to the Murder Tribunal</v>
      </c>
      <c r="B246" s="22" t="s">
        <v>55</v>
      </c>
      <c r="C246" s="23" t="s">
        <v>2088</v>
      </c>
      <c r="D246" s="24" t="str">
        <f t="shared" si="25"/>
        <v>Osi.TemplateAddTo("1adad160-50ee-4027-b786-403a793d36a0", GetHostCharacter(), 1, 1);</v>
      </c>
    </row>
    <row r="247">
      <c r="A247" s="21" t="str">
        <f>HYPERLINK("https://bg3.wiki/wiki/Kobold%27s_Chest_Key", "Kobold's Chest Key")</f>
        <v>Kobold's Chest Key</v>
      </c>
      <c r="B247" s="22" t="s">
        <v>55</v>
      </c>
      <c r="C247" s="23" t="s">
        <v>2089</v>
      </c>
      <c r="D247" s="24" t="str">
        <f t="shared" si="25"/>
        <v>Osi.TemplateAddTo("436e17a3-3855-416e-a03e-33fa6649d6df", GetHostCharacter(), 1, 1);</v>
      </c>
    </row>
    <row r="248">
      <c r="A248" s="21" t="str">
        <f>HYPERLINK("https://bg3.wiki/wiki/Kurwin%27s_Mortuary_Key", "Kurwin's Mortuary Key")</f>
        <v>Kurwin's Mortuary Key</v>
      </c>
      <c r="B248" s="22" t="s">
        <v>55</v>
      </c>
      <c r="C248" s="23" t="s">
        <v>2090</v>
      </c>
      <c r="D248" s="24" t="str">
        <f t="shared" si="25"/>
        <v>Osi.TemplateAddTo("6b5e6612-3f8d-4933-9f1d-9ca6af06e0f2", GetHostCharacter(), 1, 1);</v>
      </c>
    </row>
    <row r="249">
      <c r="A249" s="21" t="str">
        <f>HYPERLINK("https://bg3.wiki/wiki/Last_Light_Detention_Cell_Key", "Last Light Detention Cell Key")</f>
        <v>Last Light Detention Cell Key</v>
      </c>
      <c r="B249" s="22" t="s">
        <v>55</v>
      </c>
      <c r="C249" s="23" t="s">
        <v>2091</v>
      </c>
      <c r="D249" s="24" t="str">
        <f t="shared" si="25"/>
        <v>Osi.TemplateAddTo("fae075d1-bbb7-4288-9566-b2c1ff5c8e98", GetHostCharacter(), 1, 1);</v>
      </c>
    </row>
    <row r="250">
      <c r="A250" s="21" t="str">
        <f>HYPERLINK("https://bg3.wiki/wiki/Last_Light_Side_Entrance_Key", "Last Light Side Entrance Key")</f>
        <v>Last Light Side Entrance Key</v>
      </c>
      <c r="B250" s="22" t="s">
        <v>55</v>
      </c>
      <c r="C250" s="23" t="s">
        <v>2092</v>
      </c>
      <c r="D250" s="24" t="str">
        <f t="shared" si="25"/>
        <v>Osi.TemplateAddTo("77bb533f-e101-48a8-b9ef-e37e61d7dc65", GetHostCharacter(), 1, 1);</v>
      </c>
    </row>
    <row r="251">
      <c r="A251" s="21" t="str">
        <f>HYPERLINK("https://bg3.wiki/wiki/Limeleech%27s_Chest_Key", "Limeleech's Chest Key")</f>
        <v>Limeleech's Chest Key</v>
      </c>
      <c r="B251" s="22" t="s">
        <v>55</v>
      </c>
      <c r="C251" s="23" t="s">
        <v>2093</v>
      </c>
      <c r="D251" s="24" t="str">
        <f t="shared" si="25"/>
        <v>Osi.TemplateAddTo("300ecfa6-98db-4176-a011-9428d54c7223", GetHostCharacter(), 1, 1);</v>
      </c>
    </row>
    <row r="252">
      <c r="A252" s="21" t="str">
        <f>HYPERLINK("https://bg3.wiki/wiki/Loading_Dock_Chest_Key", "Loading Dock Chest Key")</f>
        <v>Loading Dock Chest Key</v>
      </c>
      <c r="B252" s="22" t="s">
        <v>55</v>
      </c>
      <c r="C252" s="23" t="s">
        <v>158</v>
      </c>
      <c r="D252" s="24"/>
    </row>
    <row r="253">
      <c r="A253" s="21" t="str">
        <f>HYPERLINK("https://bg3.wiki/wiki/Lockbox_Key", "Lockbox Key")</f>
        <v>Lockbox Key</v>
      </c>
      <c r="B253" s="22" t="s">
        <v>55</v>
      </c>
      <c r="C253" s="23" t="s">
        <v>2094</v>
      </c>
      <c r="D253" s="24" t="str">
        <f t="shared" ref="D253:D298" si="26">"Osi.TemplateAddTo("""&amp; C253 &amp;""", GetHostCharacter(), 1, 1);"</f>
        <v>Osi.TemplateAddTo("2705670f-65c4-449d-b80d-af37852ecf5f", GetHostCharacter(), 1, 1);</v>
      </c>
    </row>
    <row r="254">
      <c r="A254" s="21" t="str">
        <f>HYPERLINK("https://bg3.wiki/wiki/Lodge_Dormitory_Key", "Lodge Dormitory Key")</f>
        <v>Lodge Dormitory Key</v>
      </c>
      <c r="B254" s="22" t="s">
        <v>55</v>
      </c>
      <c r="C254" s="23" t="s">
        <v>2095</v>
      </c>
      <c r="D254" s="24" t="str">
        <f t="shared" si="26"/>
        <v>Osi.TemplateAddTo("3228b4b9-75bf-4ed7-ab74-4041195af33c", GetHostCharacter(), 1, 1);</v>
      </c>
    </row>
    <row r="255">
      <c r="A255" s="21" t="str">
        <f>HYPERLINK("https://bg3.wiki/wiki/Lora%27s_Key", "Lora's Key")</f>
        <v>Lora's Key</v>
      </c>
      <c r="B255" s="22" t="s">
        <v>55</v>
      </c>
      <c r="C255" s="23" t="s">
        <v>2096</v>
      </c>
      <c r="D255" s="24" t="str">
        <f t="shared" si="26"/>
        <v>Osi.TemplateAddTo("09e06316-54b5-4630-8e19-e4430a8e6dc3", GetHostCharacter(), 1, 1);</v>
      </c>
    </row>
    <row r="256">
      <c r="A256" s="21" t="str">
        <f>HYPERLINK("https://bg3.wiki/wiki/Lorgan%27s_Chest_Key", "Lorgan's Chest Key")</f>
        <v>Lorgan's Chest Key</v>
      </c>
      <c r="B256" s="22" t="s">
        <v>55</v>
      </c>
      <c r="C256" s="23" t="s">
        <v>2097</v>
      </c>
      <c r="D256" s="24" t="str">
        <f t="shared" si="26"/>
        <v>Osi.TemplateAddTo("bd6d32e6-4209-4e1f-a0fe-ebf830681abd", GetHostCharacter(), 1, 1);</v>
      </c>
    </row>
    <row r="257">
      <c r="A257" s="21" t="str">
        <f>HYPERLINK("https://bg3.wiki/wiki/Lost_Training_Hall_Key", "Lost Training Hall Key")</f>
        <v>Lost Training Hall Key</v>
      </c>
      <c r="B257" s="22" t="s">
        <v>55</v>
      </c>
      <c r="C257" s="23" t="s">
        <v>2098</v>
      </c>
      <c r="D257" s="24" t="str">
        <f t="shared" si="26"/>
        <v>Osi.TemplateAddTo("c1c052b5-1353-4833-bc02-363a254e247b", GetHostCharacter(), 1, 1);</v>
      </c>
    </row>
    <row r="258">
      <c r="A258" s="21" t="str">
        <f>HYPERLINK("https://bg3.wiki/wiki/Loudstone%27s_Chest_Key", "Loudstone's Chest Key")</f>
        <v>Loudstone's Chest Key</v>
      </c>
      <c r="B258" s="22" t="s">
        <v>55</v>
      </c>
      <c r="C258" s="23" t="s">
        <v>2099</v>
      </c>
      <c r="D258" s="24" t="str">
        <f t="shared" si="26"/>
        <v>Osi.TemplateAddTo("0843e8f9-d9b6-4c11-a870-566d9c1f8bcd", GetHostCharacter(), 1, 1);</v>
      </c>
    </row>
    <row r="259">
      <c r="A259" s="21" t="str">
        <f>HYPERLINK("https://bg3.wiki/wiki/Mechanical_Key", "Mechanical Key")</f>
        <v>Mechanical Key</v>
      </c>
      <c r="B259" s="22" t="s">
        <v>55</v>
      </c>
      <c r="C259" s="23" t="s">
        <v>2100</v>
      </c>
      <c r="D259" s="24" t="str">
        <f t="shared" si="26"/>
        <v>Osi.TemplateAddTo("e26dd31f-5adc-4ca0-90b9-dd0ab8d62fcd", GetHostCharacter(), 1, 1);</v>
      </c>
    </row>
    <row r="260">
      <c r="A260" s="21" t="str">
        <f>HYPERLINK("https://bg3.wiki/wiki/Metal_Crate_Key", "Metal Crate Key")</f>
        <v>Metal Crate Key</v>
      </c>
      <c r="B260" s="22" t="s">
        <v>55</v>
      </c>
      <c r="C260" s="23" t="s">
        <v>2101</v>
      </c>
      <c r="D260" s="24" t="str">
        <f t="shared" si="26"/>
        <v>Osi.TemplateAddTo("1a00cf0b-e8ea-467f-b122-0bea5f0c3ff2", GetHostCharacter(), 1, 1);</v>
      </c>
    </row>
    <row r="261">
      <c r="A261" s="21" t="str">
        <f>HYPERLINK("https://bg3.wiki/wiki/Moonrise_Guard%27s_Key", "Moonrise Guard's Key")</f>
        <v>Moonrise Guard's Key</v>
      </c>
      <c r="B261" s="22" t="s">
        <v>55</v>
      </c>
      <c r="C261" s="23" t="s">
        <v>2102</v>
      </c>
      <c r="D261" s="24" t="str">
        <f t="shared" si="26"/>
        <v>Osi.TemplateAddTo("8baa6d5d-ad19-4328-a1ca-2074c7b7732e", GetHostCharacter(), 1, 1);</v>
      </c>
    </row>
    <row r="262">
      <c r="A262" s="21" t="str">
        <f>HYPERLINK("https://bg3.wiki/wiki/Morgue_Cage_Key", "Morgue Cage Key")</f>
        <v>Morgue Cage Key</v>
      </c>
      <c r="B262" s="22" t="s">
        <v>55</v>
      </c>
      <c r="C262" s="23" t="s">
        <v>2103</v>
      </c>
      <c r="D262" s="24" t="str">
        <f t="shared" si="26"/>
        <v>Osi.TemplateAddTo("b022b127-df51-4620-91fc-2ed63d2ed90d", GetHostCharacter(), 1, 1);</v>
      </c>
    </row>
    <row r="263">
      <c r="A263" s="21" t="str">
        <f>HYPERLINK("https://bg3.wiki/wiki/Moss-Covered_Key", "Moss-Covered Key")</f>
        <v>Moss-Covered Key</v>
      </c>
      <c r="B263" s="22" t="s">
        <v>55</v>
      </c>
      <c r="C263" s="23" t="s">
        <v>2104</v>
      </c>
      <c r="D263" s="24" t="str">
        <f t="shared" si="26"/>
        <v>Osi.TemplateAddTo("d2c9c975-2965-4bd0-bdfe-d729d0293d4b", GetHostCharacter(), 1, 1);</v>
      </c>
    </row>
    <row r="264">
      <c r="A264" s="21" t="str">
        <f>HYPERLINK("https://bg3.wiki/wiki/Mottled_Key", "Mottled Key")</f>
        <v>Mottled Key</v>
      </c>
      <c r="B264" s="22" t="s">
        <v>55</v>
      </c>
      <c r="C264" s="23" t="s">
        <v>2105</v>
      </c>
      <c r="D264" s="24" t="str">
        <f t="shared" si="26"/>
        <v>Osi.TemplateAddTo("cc457a3c-7c97-4162-9cfa-4027505853e5", GetHostCharacter(), 1, 1);</v>
      </c>
    </row>
    <row r="265">
      <c r="A265" s="21" t="str">
        <f>HYPERLINK("https://bg3.wiki/wiki/Munition_Chest_Key", "Munition Chest Key")</f>
        <v>Munition Chest Key</v>
      </c>
      <c r="B265" s="22" t="s">
        <v>55</v>
      </c>
      <c r="C265" s="23" t="s">
        <v>2106</v>
      </c>
      <c r="D265" s="24" t="str">
        <f t="shared" si="26"/>
        <v>Osi.TemplateAddTo("ad61e4e4-f4af-4d8e-87d3-37dd310a5c3f", GetHostCharacter(), 1, 1);</v>
      </c>
    </row>
    <row r="266">
      <c r="A266" s="21" t="str">
        <f>HYPERLINK("https://bg3.wiki/wiki/Necrotic_Laboratory_Spare_Key", "Necrotic Laboratory Spare Key")</f>
        <v>Necrotic Laboratory Spare Key</v>
      </c>
      <c r="B266" s="22" t="s">
        <v>55</v>
      </c>
      <c r="C266" s="23" t="s">
        <v>2107</v>
      </c>
      <c r="D266" s="24" t="str">
        <f t="shared" si="26"/>
        <v>Osi.TemplateAddTo("d7fdb70e-75b3-487a-8ece-3e7d4b3a8370", GetHostCharacter(), 1, 1);</v>
      </c>
    </row>
    <row r="267">
      <c r="A267" s="21" t="str">
        <f>HYPERLINK("https://bg3.wiki/wiki/Office_Storage_Key", "Office Storage Key")</f>
        <v>Office Storage Key</v>
      </c>
      <c r="B267" s="22" t="s">
        <v>55</v>
      </c>
      <c r="C267" s="23" t="s">
        <v>2108</v>
      </c>
      <c r="D267" s="24" t="str">
        <f t="shared" si="26"/>
        <v>Osi.TemplateAddTo("5101d4bc-8c5e-401b-815a-520449e9a11e", GetHostCharacter(), 1, 1);</v>
      </c>
    </row>
    <row r="268">
      <c r="A268" s="21" t="str">
        <f>HYPERLINK("https://bg3.wiki/wiki/Old_Garlow%27s_Basement_Backroom_Key", "Old Garlow's Basement Backroom Key")</f>
        <v>Old Garlow's Basement Backroom Key</v>
      </c>
      <c r="B268" s="22" t="s">
        <v>55</v>
      </c>
      <c r="C268" s="23" t="s">
        <v>2109</v>
      </c>
      <c r="D268" s="24" t="str">
        <f t="shared" si="26"/>
        <v>Osi.TemplateAddTo("20ac6884-ee0b-4912-ab13-94eb04028cb0", GetHostCharacter(), 1, 1);</v>
      </c>
    </row>
    <row r="269">
      <c r="A269" s="21" t="str">
        <f>HYPERLINK("https://bg3.wiki/wiki/Old_Key", "Old Key")</f>
        <v>Old Key</v>
      </c>
      <c r="B269" s="22" t="s">
        <v>55</v>
      </c>
      <c r="C269" s="23" t="s">
        <v>2110</v>
      </c>
      <c r="D269" s="24" t="str">
        <f t="shared" si="26"/>
        <v>Osi.TemplateAddTo("5800deab-10e2-4f78-9077-3b3d4d283fb6", GetHostCharacter(), 1, 1);</v>
      </c>
    </row>
    <row r="270">
      <c r="A270" s="21" t="str">
        <f>HYPERLINK("https://bg3.wiki/wiki/Omotola%27s_Chest_Key", "Omotola's Chest Key")</f>
        <v>Omotola's Chest Key</v>
      </c>
      <c r="B270" s="22" t="s">
        <v>55</v>
      </c>
      <c r="C270" s="23" t="s">
        <v>2111</v>
      </c>
      <c r="D270" s="24" t="str">
        <f t="shared" si="26"/>
        <v>Osi.TemplateAddTo("2ad29cbb-fa1d-438f-a23b-a01e60a38401", GetHostCharacter(), 1, 1);</v>
      </c>
    </row>
    <row r="271">
      <c r="A271" s="21" t="str">
        <f>HYPERLINK("https://bg3.wiki/wiki/Omotola%27s_stockroom_key", "Omotola's stockroom key")</f>
        <v>Omotola's stockroom key</v>
      </c>
      <c r="B271" s="22" t="s">
        <v>55</v>
      </c>
      <c r="C271" s="23" t="s">
        <v>2112</v>
      </c>
      <c r="D271" s="24" t="str">
        <f t="shared" si="26"/>
        <v>Osi.TemplateAddTo("f0fc9761-2f4b-4cf5-9458-d4db9acbdbc1", GetHostCharacter(), 1, 1);</v>
      </c>
    </row>
    <row r="272">
      <c r="A272" s="21" t="str">
        <f>HYPERLINK("https://bg3.wiki/wiki/Orin%27s_Chest_Key", "Orin's Chest Key")</f>
        <v>Orin's Chest Key</v>
      </c>
      <c r="B272" s="22" t="s">
        <v>55</v>
      </c>
      <c r="C272" s="23" t="s">
        <v>2113</v>
      </c>
      <c r="D272" s="24" t="str">
        <f t="shared" si="26"/>
        <v>Osi.TemplateAddTo("632bd4d3-95ae-47f9-af1a-4f81f1c7abf4", GetHostCharacter(), 1, 1);</v>
      </c>
    </row>
    <row r="273">
      <c r="A273" s="21" t="str">
        <f>HYPERLINK("https://bg3.wiki/wiki/Oriona%27s_Chest_Key", "Oriona's Chest Key")</f>
        <v>Oriona's Chest Key</v>
      </c>
      <c r="B273" s="22" t="s">
        <v>55</v>
      </c>
      <c r="C273" s="23" t="s">
        <v>2114</v>
      </c>
      <c r="D273" s="24" t="str">
        <f t="shared" si="26"/>
        <v>Osi.TemplateAddTo("1cebc693-c34f-4eef-a4b1-7571a3c5558a", GetHostCharacter(), 1, 1);</v>
      </c>
    </row>
    <row r="274">
      <c r="A274" s="21" t="str">
        <f>HYPERLINK("https://bg3.wiki/wiki/Ornate_Key", "Ornate Key")</f>
        <v>Ornate Key</v>
      </c>
      <c r="B274" s="22" t="s">
        <v>55</v>
      </c>
      <c r="C274" s="23" t="s">
        <v>2115</v>
      </c>
      <c r="D274" s="24" t="str">
        <f t="shared" si="26"/>
        <v>Osi.TemplateAddTo("d9cf4a58-af56-4f4d-86b7-b94f8b1d42b2", GetHostCharacter(), 1, 1);</v>
      </c>
    </row>
    <row r="275">
      <c r="A275" s="21" t="str">
        <f>HYPERLINK("https://bg3.wiki/wiki/Padlock_Key", "Padlock Key")</f>
        <v>Padlock Key</v>
      </c>
      <c r="B275" s="22" t="s">
        <v>55</v>
      </c>
      <c r="C275" s="23" t="s">
        <v>2116</v>
      </c>
      <c r="D275" s="24" t="str">
        <f t="shared" si="26"/>
        <v>Osi.TemplateAddTo("62dda6b7-2992-488b-8ae7-07b82750e0cf", GetHostCharacter(), 1, 1);</v>
      </c>
    </row>
    <row r="276">
      <c r="A276" s="21" t="str">
        <f>HYPERLINK("https://bg3.wiki/wiki/Painted_Key", "Painted Key")</f>
        <v>Painted Key</v>
      </c>
      <c r="B276" s="22" t="s">
        <v>55</v>
      </c>
      <c r="C276" s="23" t="s">
        <v>2117</v>
      </c>
      <c r="D276" s="24" t="str">
        <f t="shared" si="26"/>
        <v>Osi.TemplateAddTo("6fb666cd-8134-4194-be0d-d42398fd39f0", GetHostCharacter(), 1, 1);</v>
      </c>
    </row>
    <row r="277">
      <c r="A277" s="21" t="str">
        <f>HYPERLINK("https://bg3.wiki/wiki/Park_Chest_Key", "Park Chest Key")</f>
        <v>Park Chest Key</v>
      </c>
      <c r="B277" s="22" t="s">
        <v>55</v>
      </c>
      <c r="C277" s="23" t="s">
        <v>2118</v>
      </c>
      <c r="D277" s="24" t="str">
        <f t="shared" si="26"/>
        <v>Osi.TemplateAddTo("8401b62b-8802-4ab3-99a9-64433b5524e7", GetHostCharacter(), 1, 1);</v>
      </c>
    </row>
    <row r="278">
      <c r="A278" s="21" t="str">
        <f>HYPERLINK("https://bg3.wiki/wiki/Peartree%27s_Chest_Key", "Peartree's Chest Key")</f>
        <v>Peartree's Chest Key</v>
      </c>
      <c r="B278" s="22" t="s">
        <v>55</v>
      </c>
      <c r="C278" s="23" t="s">
        <v>2119</v>
      </c>
      <c r="D278" s="24" t="str">
        <f t="shared" si="26"/>
        <v>Osi.TemplateAddTo("25a7818f-fb4e-4ce1-b00d-fe712369612f", GetHostCharacter(), 1, 1);</v>
      </c>
    </row>
    <row r="279">
      <c r="A279" s="21" t="str">
        <f>HYPERLINK("https://bg3.wiki/wiki/Peartree%27s_Hatch_Key", "Peartree's Hatch Key")</f>
        <v>Peartree's Hatch Key</v>
      </c>
      <c r="B279" s="22" t="s">
        <v>55</v>
      </c>
      <c r="C279" s="23" t="s">
        <v>2120</v>
      </c>
      <c r="D279" s="24" t="str">
        <f t="shared" si="26"/>
        <v>Osi.TemplateAddTo("87306996-4ae0-4d45-b843-313a830b33d5", GetHostCharacter(), 1, 1);</v>
      </c>
    </row>
    <row r="280">
      <c r="A280" s="21" t="str">
        <f>HYPERLINK("https://bg3.wiki/wiki/Pitted_Key", "Pitted Key")</f>
        <v>Pitted Key</v>
      </c>
      <c r="B280" s="22" t="s">
        <v>55</v>
      </c>
      <c r="C280" s="23" t="s">
        <v>2121</v>
      </c>
      <c r="D280" s="24" t="str">
        <f t="shared" si="26"/>
        <v>Osi.TemplateAddTo("d2f3647f-0331-4ebd-8b02-f428dc799d29", GetHostCharacter(), 1, 1);</v>
      </c>
    </row>
    <row r="281">
      <c r="A281" s="21" t="str">
        <f>HYPERLINK("https://bg3.wiki/wiki/Potter%27s_Chest_Key", "Potter's Chest Key")</f>
        <v>Potter's Chest Key</v>
      </c>
      <c r="B281" s="22" t="s">
        <v>55</v>
      </c>
      <c r="C281" s="23" t="s">
        <v>2122</v>
      </c>
      <c r="D281" s="24" t="str">
        <f t="shared" si="26"/>
        <v>Osi.TemplateAddTo("112bfde1-e48b-4f12-a95f-11fddd65ab7a", GetHostCharacter(), 1, 1);</v>
      </c>
    </row>
    <row r="282">
      <c r="A282" s="21" t="str">
        <f>HYPERLINK("https://bg3.wiki/wiki/Priestess%27_Key", "Priestess' Key")</f>
        <v>Priestess' Key</v>
      </c>
      <c r="B282" s="22" t="s">
        <v>55</v>
      </c>
      <c r="C282" s="23" t="s">
        <v>2123</v>
      </c>
      <c r="D282" s="24" t="str">
        <f t="shared" si="26"/>
        <v>Osi.TemplateAddTo("4030d903-9ea7-4017-b712-7aab6130da67", GetHostCharacter(), 1, 1);</v>
      </c>
    </row>
    <row r="283">
      <c r="A283" s="21" t="str">
        <f>HYPERLINK("https://bg3.wiki/wiki/Prison_Entrance_Key", "Prison Entrance Key")</f>
        <v>Prison Entrance Key</v>
      </c>
      <c r="B283" s="22" t="s">
        <v>55</v>
      </c>
      <c r="C283" s="23" t="s">
        <v>2124</v>
      </c>
      <c r="D283" s="24" t="str">
        <f t="shared" si="26"/>
        <v>Osi.TemplateAddTo("291662b7-f0f1-404f-9de5-54e308748d64", GetHostCharacter(), 1, 1);</v>
      </c>
    </row>
    <row r="284">
      <c r="A284" s="21" t="str">
        <f>HYPERLINK("https://bg3.wiki/wiki/Prison_Key", "Prison Key")</f>
        <v>Prison Key</v>
      </c>
      <c r="B284" s="22" t="s">
        <v>55</v>
      </c>
      <c r="C284" s="23" t="s">
        <v>2125</v>
      </c>
      <c r="D284" s="24" t="str">
        <f t="shared" si="26"/>
        <v>Osi.TemplateAddTo("9fdf22b0-925c-4173-881c-55c51baa2206", GetHostCharacter(), 1, 1);</v>
      </c>
    </row>
    <row r="285">
      <c r="A285" s="21" t="str">
        <f>HYPERLINK("https://bg3.wiki/wiki/Prison_Key_(Emerald_Grove)", "Prison Key (Emerald Grove)")</f>
        <v>Prison Key (Emerald Grove)</v>
      </c>
      <c r="B285" s="22" t="s">
        <v>55</v>
      </c>
      <c r="C285" s="23" t="s">
        <v>2126</v>
      </c>
      <c r="D285" s="24" t="str">
        <f t="shared" si="26"/>
        <v>Osi.TemplateAddTo("f76e7439-685b-42b0-a845-abae3b326470", GetHostCharacter(), 1, 1);</v>
      </c>
    </row>
    <row r="286">
      <c r="A286" s="21" t="str">
        <f>HYPERLINK("https://bg3.wiki/wiki/Prison_Key_(Moonrise)", "Prison Key (Moonrise)")</f>
        <v>Prison Key (Moonrise)</v>
      </c>
      <c r="B286" s="22" t="s">
        <v>55</v>
      </c>
      <c r="C286" s="23" t="s">
        <v>2127</v>
      </c>
      <c r="D286" s="24" t="str">
        <f t="shared" si="26"/>
        <v>Osi.TemplateAddTo("190b488e-5395-4d3d-911c-58d1f8700a81", GetHostCharacter(), 1, 1);</v>
      </c>
    </row>
    <row r="287">
      <c r="A287" s="21" t="str">
        <f>HYPERLINK("https://bg3.wiki/wiki/Prison_Key_(Plig)", "Prison Key (Plig)")</f>
        <v>Prison Key (Plig)</v>
      </c>
      <c r="B287" s="22" t="s">
        <v>55</v>
      </c>
      <c r="C287" s="23" t="s">
        <v>2128</v>
      </c>
      <c r="D287" s="24" t="str">
        <f t="shared" si="26"/>
        <v>Osi.TemplateAddTo("2ce28af9-743e-440f-a82b-be73e7285de6", GetHostCharacter(), 1, 1);</v>
      </c>
    </row>
    <row r="288">
      <c r="A288" s="21" t="str">
        <f>HYPERLINK("https://bg3.wiki/wiki/Queelia%27s_Key", "Queelia's Key")</f>
        <v>Queelia's Key</v>
      </c>
      <c r="B288" s="22" t="s">
        <v>55</v>
      </c>
      <c r="C288" s="23" t="s">
        <v>2129</v>
      </c>
      <c r="D288" s="24" t="str">
        <f t="shared" si="26"/>
        <v>Osi.TemplateAddTo("896952b3-ae61-4a22-be68-9e80979f5ee1", GetHostCharacter(), 1, 1);</v>
      </c>
    </row>
    <row r="289">
      <c r="A289" s="21" t="str">
        <f>HYPERLINK("https://bg3.wiki/wiki/Quirkilious%27_Chest_Key", "Quirkilious' Chest Key")</f>
        <v>Quirkilious' Chest Key</v>
      </c>
      <c r="B289" s="22" t="s">
        <v>55</v>
      </c>
      <c r="C289" s="23" t="s">
        <v>2130</v>
      </c>
      <c r="D289" s="24" t="str">
        <f t="shared" si="26"/>
        <v>Osi.TemplateAddTo("83153495-02c0-492c-9231-e1c9cb005b76", GetHostCharacter(), 1, 1);</v>
      </c>
    </row>
    <row r="290">
      <c r="A290" s="21" t="str">
        <f>HYPERLINK("https://bg3.wiki/wiki/Quirkilious%27_Stockroom_Key", "Quirkilious' Stockroom Key")</f>
        <v>Quirkilious' Stockroom Key</v>
      </c>
      <c r="B290" s="22" t="s">
        <v>55</v>
      </c>
      <c r="C290" s="23" t="s">
        <v>2131</v>
      </c>
      <c r="D290" s="24" t="str">
        <f t="shared" si="26"/>
        <v>Osi.TemplateAddTo("d1682300-dc03-43c3-83c4-e45631f4f836", GetHostCharacter(), 1, 1);</v>
      </c>
    </row>
    <row r="291">
      <c r="A291" s="21" t="str">
        <f>HYPERLINK("https://bg3.wiki/wiki/Rainforest%27s_Chest_Key", "Rainforest's Chest Key")</f>
        <v>Rainforest's Chest Key</v>
      </c>
      <c r="B291" s="22" t="s">
        <v>55</v>
      </c>
      <c r="C291" s="23" t="s">
        <v>2132</v>
      </c>
      <c r="D291" s="24" t="str">
        <f t="shared" si="26"/>
        <v>Osi.TemplateAddTo("ed975e0e-8da3-4d17-9e26-8f461ef2af2b", GetHostCharacter(), 1, 1);</v>
      </c>
    </row>
    <row r="292">
      <c r="A292" s="21" t="str">
        <f>HYPERLINK("https://bg3.wiki/wiki/Ringmaster%27s_Key", "Ringmaster's Key")</f>
        <v>Ringmaster's Key</v>
      </c>
      <c r="B292" s="22" t="s">
        <v>55</v>
      </c>
      <c r="C292" s="23" t="s">
        <v>2133</v>
      </c>
      <c r="D292" s="24" t="str">
        <f t="shared" si="26"/>
        <v>Osi.TemplateAddTo("fcb747ad-bfaf-4909-bb2b-594e44b5d0cd", GetHostCharacter(), 1, 1);</v>
      </c>
    </row>
    <row r="293">
      <c r="A293" s="21" t="str">
        <f>HYPERLINK("https://bg3.wiki/wiki/Rosanna%27s_Key", "Rosanna's Key")</f>
        <v>Rosanna's Key</v>
      </c>
      <c r="B293" s="22" t="s">
        <v>55</v>
      </c>
      <c r="C293" s="23" t="s">
        <v>2134</v>
      </c>
      <c r="D293" s="24" t="str">
        <f t="shared" si="26"/>
        <v>Osi.TemplateAddTo("e9c14645-c52b-4c0d-b928-aaa84ba043a4", GetHostCharacter(), 1, 1);</v>
      </c>
    </row>
    <row r="294">
      <c r="A294" s="21" t="str">
        <f>HYPERLINK("https://bg3.wiki/wiki/Rose%27s_Chest_Key", "Rose's Chest Key")</f>
        <v>Rose's Chest Key</v>
      </c>
      <c r="B294" s="22" t="s">
        <v>55</v>
      </c>
      <c r="C294" s="23" t="s">
        <v>2135</v>
      </c>
      <c r="D294" s="24" t="str">
        <f t="shared" si="26"/>
        <v>Osi.TemplateAddTo("23970fb8-fa47-4132-b4e4-7241744a5650", GetHostCharacter(), 1, 1);</v>
      </c>
    </row>
    <row r="295">
      <c r="A295" s="21" t="str">
        <f>HYPERLINK("https://bg3.wiki/wiki/Rosewood_Desk_Key", "Rosewood Desk Key")</f>
        <v>Rosewood Desk Key</v>
      </c>
      <c r="B295" s="22" t="s">
        <v>55</v>
      </c>
      <c r="C295" s="23" t="s">
        <v>2136</v>
      </c>
      <c r="D295" s="24" t="str">
        <f t="shared" si="26"/>
        <v>Osi.TemplateAddTo("9a4382e3-6b8d-40b9-b92b-824f9c4ea9ca", GetHostCharacter(), 1, 1);</v>
      </c>
    </row>
    <row r="296">
      <c r="A296" s="21" t="str">
        <f>HYPERLINK("https://bg3.wiki/wiki/Rusted_Key", "Rusted Key")</f>
        <v>Rusted Key</v>
      </c>
      <c r="B296" s="22" t="s">
        <v>55</v>
      </c>
      <c r="C296" s="23" t="s">
        <v>2137</v>
      </c>
      <c r="D296" s="24" t="str">
        <f t="shared" si="26"/>
        <v>Osi.TemplateAddTo("3e1a271d-3bb3-4a6f-9a84-c9b1d5c62700", GetHostCharacter(), 1, 1);</v>
      </c>
    </row>
    <row r="297">
      <c r="A297" s="21" t="str">
        <f>HYPERLINK("https://bg3.wiki/wiki/Rusted_Key_(Apothecary)", "Rusted Key (Apothecary)")</f>
        <v>Rusted Key (Apothecary)</v>
      </c>
      <c r="B297" s="22" t="s">
        <v>55</v>
      </c>
      <c r="C297" s="23" t="s">
        <v>2138</v>
      </c>
      <c r="D297" s="24" t="str">
        <f t="shared" si="26"/>
        <v>Osi.TemplateAddTo("23f9fe30-89af-41f1-8e9d-43276f636383", GetHostCharacter(), 1, 1);</v>
      </c>
    </row>
    <row r="298">
      <c r="A298" s="21" t="str">
        <f>HYPERLINK("https://bg3.wiki/wiki/Rusty_Key", "Rusty Key")</f>
        <v>Rusty Key</v>
      </c>
      <c r="B298" s="22" t="s">
        <v>55</v>
      </c>
      <c r="C298" s="23" t="s">
        <v>2139</v>
      </c>
      <c r="D298" s="24" t="str">
        <f t="shared" si="26"/>
        <v>Osi.TemplateAddTo("532f3df5-e42d-4dcb-acb7-0d95865dea7c", GetHostCharacter(), 1, 1);</v>
      </c>
    </row>
    <row r="299">
      <c r="A299" s="21" t="str">
        <f>HYPERLINK("https://bg3.wiki/wiki/Rusty_Key_(Entharl)", "Rusty Key (Entharl)")</f>
        <v>Rusty Key (Entharl)</v>
      </c>
      <c r="B299" s="22" t="s">
        <v>55</v>
      </c>
      <c r="C299" s="23" t="s">
        <v>158</v>
      </c>
      <c r="D299" s="24"/>
    </row>
    <row r="300">
      <c r="A300" s="21" t="str">
        <f>HYPERLINK("https://bg3.wiki/wiki/Sailor%27s_Key", "Sailor's Key")</f>
        <v>Sailor's Key</v>
      </c>
      <c r="B300" s="22" t="s">
        <v>55</v>
      </c>
      <c r="C300" s="23" t="s">
        <v>2140</v>
      </c>
      <c r="D300" s="24" t="str">
        <f t="shared" ref="D300:D308" si="27">"Osi.TemplateAddTo("""&amp; C300 &amp;""", GetHostCharacter(), 1, 1);"</f>
        <v>Osi.TemplateAddTo("361f8e4c-d2e6-4efe-b603-16e591aefa18", GetHostCharacter(), 1, 1);</v>
      </c>
    </row>
    <row r="301">
      <c r="A301" s="21" t="str">
        <f>HYPERLINK("https://bg3.wiki/wiki/Sarevok%27s_Golden_Key", "Sarevok's Golden Key")</f>
        <v>Sarevok's Golden Key</v>
      </c>
      <c r="B301" s="22" t="s">
        <v>55</v>
      </c>
      <c r="C301" s="23" t="s">
        <v>2141</v>
      </c>
      <c r="D301" s="24" t="str">
        <f t="shared" si="27"/>
        <v>Osi.TemplateAddTo("c8aea92c-3d69-4a66-a3df-7d5eebca33d2", GetHostCharacter(), 1, 1);</v>
      </c>
    </row>
    <row r="302">
      <c r="A302" s="21" t="str">
        <f>HYPERLINK("https://bg3.wiki/wiki/Security_Office_Key", "Security Office Key")</f>
        <v>Security Office Key</v>
      </c>
      <c r="B302" s="22" t="s">
        <v>55</v>
      </c>
      <c r="C302" s="23" t="s">
        <v>2142</v>
      </c>
      <c r="D302" s="24" t="str">
        <f t="shared" si="27"/>
        <v>Osi.TemplateAddTo("21d54bcd-9d1b-4f07-9975-9458001b0012", GetHostCharacter(), 1, 1);</v>
      </c>
    </row>
    <row r="303">
      <c r="A303" s="21" t="str">
        <f>HYPERLINK("https://bg3.wiki/wiki/Sel%C3%BBnite_Key", "Selûnite Key")</f>
        <v>Selûnite Key</v>
      </c>
      <c r="B303" s="22" t="s">
        <v>55</v>
      </c>
      <c r="C303" s="23" t="s">
        <v>2143</v>
      </c>
      <c r="D303" s="24" t="str">
        <f t="shared" si="27"/>
        <v>Osi.TemplateAddTo("592a4157-1b4d-483c-a86b-9900f980e961", GetHostCharacter(), 1, 1);</v>
      </c>
    </row>
    <row r="304">
      <c r="A304" s="21" t="str">
        <f>HYPERLINK("https://bg3.wiki/wiki/Serrik%27s_Chest_Key", "Serrik's Chest Key")</f>
        <v>Serrik's Chest Key</v>
      </c>
      <c r="B304" s="22" t="s">
        <v>55</v>
      </c>
      <c r="C304" s="23" t="s">
        <v>2144</v>
      </c>
      <c r="D304" s="24" t="str">
        <f t="shared" si="27"/>
        <v>Osi.TemplateAddTo("fe438134-4649-4661-81ba-aaee57001826", GetHostCharacter(), 1, 1);</v>
      </c>
    </row>
    <row r="305">
      <c r="A305" s="21" t="str">
        <f>HYPERLINK("https://bg3.wiki/wiki/Severn%27s_Sewer_Key", "Severn's Sewer Key")</f>
        <v>Severn's Sewer Key</v>
      </c>
      <c r="B305" s="22" t="s">
        <v>55</v>
      </c>
      <c r="C305" s="23" t="s">
        <v>2145</v>
      </c>
      <c r="D305" s="24" t="str">
        <f t="shared" si="27"/>
        <v>Osi.TemplateAddTo("440244c3-ab77-4e7d-b43d-0b6591b4be7e", GetHostCharacter(), 1, 1);</v>
      </c>
    </row>
    <row r="306">
      <c r="A306" s="21" t="str">
        <f>HYPERLINK("https://bg3.wiki/wiki/Sharess%27_Caress_Cellar_Key", "Sharess' Caress Cellar Key")</f>
        <v>Sharess' Caress Cellar Key</v>
      </c>
      <c r="B306" s="22" t="s">
        <v>55</v>
      </c>
      <c r="C306" s="23" t="s">
        <v>2146</v>
      </c>
      <c r="D306" s="24" t="str">
        <f t="shared" si="27"/>
        <v>Osi.TemplateAddTo("1d1965dc-ae73-4a8f-aca1-cfe8465d4ab4", GetHostCharacter(), 1, 1);</v>
      </c>
    </row>
    <row r="307">
      <c r="A307" s="21" t="str">
        <f>HYPERLINK("https://bg3.wiki/wiki/Sharess%27_Caress_Rooms_Key", "Sharess' Caress Rooms Key")</f>
        <v>Sharess' Caress Rooms Key</v>
      </c>
      <c r="B307" s="22" t="s">
        <v>55</v>
      </c>
      <c r="C307" s="23" t="s">
        <v>2147</v>
      </c>
      <c r="D307" s="24" t="str">
        <f t="shared" si="27"/>
        <v>Osi.TemplateAddTo("2561ddc7-2ca4-409d-aea4-0dcf481722eb", GetHostCharacter(), 1, 1);</v>
      </c>
    </row>
    <row r="308">
      <c r="A308" s="21" t="str">
        <f>HYPERLINK("https://bg3.wiki/wiki/Shiny_Key", "Shiny Key")</f>
        <v>Shiny Key</v>
      </c>
      <c r="B308" s="22" t="s">
        <v>55</v>
      </c>
      <c r="C308" s="23" t="s">
        <v>2148</v>
      </c>
      <c r="D308" s="24" t="str">
        <f t="shared" si="27"/>
        <v>Osi.TemplateAddTo("d9f6a4d9-e944-409c-aac2-fd0fb2ce9db6", GetHostCharacter(), 1, 1);</v>
      </c>
    </row>
    <row r="309">
      <c r="A309" s="21" t="str">
        <f>HYPERLINK("https://bg3.wiki/wiki/Silver_Key", "Silver Key")</f>
        <v>Silver Key</v>
      </c>
      <c r="B309" s="22" t="s">
        <v>11</v>
      </c>
      <c r="C309" s="23" t="s">
        <v>158</v>
      </c>
      <c r="D309" s="24"/>
    </row>
    <row r="310">
      <c r="A310" s="21" t="str">
        <f>HYPERLINK("https://bg3.wiki/wiki/Silver_Key_(Chamber_of_Loss)", "Silver Key (Chamber of Loss)")</f>
        <v>Silver Key (Chamber of Loss)</v>
      </c>
      <c r="B310" s="22" t="s">
        <v>55</v>
      </c>
      <c r="C310" s="23" t="s">
        <v>158</v>
      </c>
      <c r="D310" s="24"/>
    </row>
    <row r="311">
      <c r="A311" s="21" t="str">
        <f>HYPERLINK("https://bg3.wiki/wiki/Silver_Key_(Szarr_Palace)", "Silver Key (Szarr Palace)")</f>
        <v>Silver Key (Szarr Palace)</v>
      </c>
      <c r="B311" s="22" t="s">
        <v>55</v>
      </c>
      <c r="C311" s="23" t="s">
        <v>158</v>
      </c>
      <c r="D311" s="24"/>
    </row>
    <row r="312">
      <c r="A312" s="21" t="str">
        <f>HYPERLINK("https://bg3.wiki/wiki/Society_of_Brilliance_Traveller%27s_Chest_Key", "Society of Brilliance Traveller's Chest Key")</f>
        <v>Society of Brilliance Traveller's Chest Key</v>
      </c>
      <c r="B312" s="22" t="s">
        <v>55</v>
      </c>
      <c r="C312" s="23" t="s">
        <v>2149</v>
      </c>
      <c r="D312" s="24" t="str">
        <f t="shared" ref="D312:D313" si="28">"Osi.TemplateAddTo("""&amp; C312 &amp;""", GetHostCharacter(), 1, 1);"</f>
        <v>Osi.TemplateAddTo("605e8b8b-a53c-4941-9079-0c6fddc35a0d", GetHostCharacter(), 1, 1);</v>
      </c>
    </row>
    <row r="313">
      <c r="A313" s="21" t="str">
        <f>HYPERLINK("https://bg3.wiki/wiki/Soft-Step_Trial_Key", "Soft-Step Trial Key")</f>
        <v>Soft-Step Trial Key</v>
      </c>
      <c r="B313" s="22" t="s">
        <v>55</v>
      </c>
      <c r="C313" s="23" t="s">
        <v>2150</v>
      </c>
      <c r="D313" s="24" t="str">
        <f t="shared" si="28"/>
        <v>Osi.TemplateAddTo("c3daa5ff-0f98-4cff-adcf-cb9cf9d8f993", GetHostCharacter(), 1, 1);</v>
      </c>
    </row>
    <row r="314">
      <c r="A314" s="21" t="str">
        <f>HYPERLINK("https://bg3.wiki/wiki/Sorcerous_Sundries_Basement_Chest_Key", "Sorcerous Sundries Basement Chest Key")</f>
        <v>Sorcerous Sundries Basement Chest Key</v>
      </c>
      <c r="B314" s="22" t="s">
        <v>55</v>
      </c>
      <c r="C314" s="23" t="s">
        <v>158</v>
      </c>
      <c r="D314" s="24"/>
    </row>
    <row r="315">
      <c r="A315" s="21" t="str">
        <f>HYPERLINK("https://bg3.wiki/wiki/Sorcerous_Sundries_Mystery_Door_Key", "Sorcerous Sundries Mystery Door Key")</f>
        <v>Sorcerous Sundries Mystery Door Key</v>
      </c>
      <c r="B315" s="22" t="s">
        <v>55</v>
      </c>
      <c r="C315" s="23" t="s">
        <v>2151</v>
      </c>
      <c r="D315" s="24" t="str">
        <f t="shared" ref="D315:D342" si="29">"Osi.TemplateAddTo("""&amp; C315 &amp;""", GetHostCharacter(), 1, 1);"</f>
        <v>Osi.TemplateAddTo("d09715be-6cdc-4090-809d-37fd50f74f74", GetHostCharacter(), 1, 1);</v>
      </c>
    </row>
    <row r="316">
      <c r="A316" s="21" t="str">
        <f>HYPERLINK("https://bg3.wiki/wiki/Sorcerous_Sundries_Office_Key", "Sorcerous Sundries Office Key")</f>
        <v>Sorcerous Sundries Office Key</v>
      </c>
      <c r="B316" s="22" t="s">
        <v>55</v>
      </c>
      <c r="C316" s="23" t="s">
        <v>2152</v>
      </c>
      <c r="D316" s="24" t="str">
        <f t="shared" si="29"/>
        <v>Osi.TemplateAddTo("386113a1-43b9-407c-941d-f485eff30b9c", GetHostCharacter(), 1, 1);</v>
      </c>
    </row>
    <row r="317">
      <c r="A317" s="21" t="str">
        <f>HYPERLINK("https://bg3.wiki/wiki/Storage_Key", "Storage Key")</f>
        <v>Storage Key</v>
      </c>
      <c r="B317" s="22" t="s">
        <v>55</v>
      </c>
      <c r="C317" s="23" t="s">
        <v>2153</v>
      </c>
      <c r="D317" s="24" t="str">
        <f t="shared" si="29"/>
        <v>Osi.TemplateAddTo("3576ad38-6d0d-4e22-b5b4-4cabb937a167", GetHostCharacter(), 1, 1);</v>
      </c>
    </row>
    <row r="318">
      <c r="A318" s="21" t="str">
        <f>HYPERLINK("https://bg3.wiki/wiki/Storage_Key_(Stylin%27_Horst)", "Storage Key (Stylin' Horst)")</f>
        <v>Storage Key (Stylin' Horst)</v>
      </c>
      <c r="B318" s="22" t="s">
        <v>55</v>
      </c>
      <c r="C318" s="23" t="s">
        <v>2154</v>
      </c>
      <c r="D318" s="24" t="str">
        <f t="shared" si="29"/>
        <v>Osi.TemplateAddTo("afda0da3-ed3e-4464-b305-e9399a9ed455", GetHostCharacter(), 1, 1);</v>
      </c>
    </row>
    <row r="319">
      <c r="A319" s="21" t="str">
        <f>HYPERLINK("https://bg3.wiki/wiki/Storage_Room_Key", "Storage Room Key")</f>
        <v>Storage Room Key</v>
      </c>
      <c r="B319" s="22" t="s">
        <v>55</v>
      </c>
      <c r="C319" s="23" t="s">
        <v>2155</v>
      </c>
      <c r="D319" s="24" t="str">
        <f t="shared" si="29"/>
        <v>Osi.TemplateAddTo("2b89aef4-8c83-48a5-a72b-d8615ee96785", GetHostCharacter(), 1, 1);</v>
      </c>
    </row>
    <row r="320">
      <c r="A320" s="21" t="str">
        <f>HYPERLINK("https://bg3.wiki/wiki/Suite_Key", "Suite Key")</f>
        <v>Suite Key</v>
      </c>
      <c r="B320" s="22" t="s">
        <v>55</v>
      </c>
      <c r="C320" s="23" t="s">
        <v>2156</v>
      </c>
      <c r="D320" s="24" t="str">
        <f t="shared" si="29"/>
        <v>Osi.TemplateAddTo("c8feace1-e292-4fb9-bb98-2bae35020fc5", GetHostCharacter(), 1, 1);</v>
      </c>
    </row>
    <row r="321">
      <c r="A321" s="21" t="str">
        <f>HYPERLINK("https://bg3.wiki/wiki/Sword_Coast_Couriers_Key", "Sword Coast Couriers Key")</f>
        <v>Sword Coast Couriers Key</v>
      </c>
      <c r="B321" s="22" t="s">
        <v>55</v>
      </c>
      <c r="C321" s="23" t="s">
        <v>2157</v>
      </c>
      <c r="D321" s="24" t="str">
        <f t="shared" si="29"/>
        <v>Osi.TemplateAddTo("ad360ff8-c563-4ced-b3df-cb20e0ee4289", GetHostCharacter(), 1, 1);</v>
      </c>
    </row>
    <row r="322">
      <c r="A322" s="21" t="str">
        <f>HYPERLINK("https://bg3.wiki/wiki/Tabernacle_Hatch_Key", "Tabernacle Hatch Key")</f>
        <v>Tabernacle Hatch Key</v>
      </c>
      <c r="B322" s="22" t="s">
        <v>55</v>
      </c>
      <c r="C322" s="23" t="s">
        <v>2158</v>
      </c>
      <c r="D322" s="24" t="str">
        <f t="shared" si="29"/>
        <v>Osi.TemplateAddTo("81c1aa56-f1cb-43b6-925c-a53c613ed35e", GetHostCharacter(), 1, 1);</v>
      </c>
    </row>
    <row r="323">
      <c r="A323" s="21" t="str">
        <f>HYPERLINK("https://bg3.wiki/wiki/Tarnished_Silver_Key", "Tarnished Silver Key")</f>
        <v>Tarnished Silver Key</v>
      </c>
      <c r="B323" s="22" t="s">
        <v>55</v>
      </c>
      <c r="C323" s="23" t="s">
        <v>2159</v>
      </c>
      <c r="D323" s="24" t="str">
        <f t="shared" si="29"/>
        <v>Osi.TemplateAddTo("3d7e3104-8788-4d8c-bf90-b1145d7596e4", GetHostCharacter(), 1, 1);</v>
      </c>
    </row>
    <row r="324">
      <c r="A324" s="21" t="str">
        <f>HYPERLINK("https://bg3.wiki/wiki/Teahouse_Key", "Teahouse Key")</f>
        <v>Teahouse Key</v>
      </c>
      <c r="B324" s="22" t="s">
        <v>55</v>
      </c>
      <c r="C324" s="23" t="s">
        <v>2160</v>
      </c>
      <c r="D324" s="24" t="str">
        <f t="shared" si="29"/>
        <v>Osi.TemplateAddTo("bd566ba9-9b66-44d0-8834-34182d8e1afa", GetHostCharacter(), 1, 1);</v>
      </c>
    </row>
    <row r="325">
      <c r="A325" s="21" t="str">
        <f>HYPERLINK("https://bg3.wiki/wiki/Tefoco%27s_Basement_Chest_Key", "Tefoco's Basement Chest Key")</f>
        <v>Tefoco's Basement Chest Key</v>
      </c>
      <c r="B325" s="22" t="s">
        <v>55</v>
      </c>
      <c r="C325" s="23" t="s">
        <v>2161</v>
      </c>
      <c r="D325" s="24" t="str">
        <f t="shared" si="29"/>
        <v>Osi.TemplateAddTo("77dbd7d8-a512-4a8b-8152-635cd7142a2f", GetHostCharacter(), 1, 1);</v>
      </c>
    </row>
    <row r="326">
      <c r="A326" s="21" t="str">
        <f>HYPERLINK("https://bg3.wiki/wiki/Tefoco%27s_Hatch_Key", "Tefoco's Hatch Key")</f>
        <v>Tefoco's Hatch Key</v>
      </c>
      <c r="B326" s="22" t="s">
        <v>55</v>
      </c>
      <c r="C326" s="23" t="s">
        <v>2162</v>
      </c>
      <c r="D326" s="24" t="str">
        <f t="shared" si="29"/>
        <v>Osi.TemplateAddTo("2d795d84-6293-4010-9fe0-e82f77bf10db", GetHostCharacter(), 1, 1);</v>
      </c>
    </row>
    <row r="327">
      <c r="A327" s="21" t="str">
        <f>HYPERLINK("https://bg3.wiki/wiki/Temple_Trader%27s_Key", "Temple Trader's Key")</f>
        <v>Temple Trader's Key</v>
      </c>
      <c r="B327" s="22" t="s">
        <v>55</v>
      </c>
      <c r="C327" s="23" t="s">
        <v>2163</v>
      </c>
      <c r="D327" s="24" t="str">
        <f t="shared" si="29"/>
        <v>Osi.TemplateAddTo("16cb6f4c-306a-4d4a-9cbf-d8dd522fb327", GetHostCharacter(), 1, 1);</v>
      </c>
    </row>
    <row r="328">
      <c r="A328" s="21" t="str">
        <f>HYPERLINK("https://bg3.wiki/wiki/The_Forge_Key", "The Forge Key")</f>
        <v>The Forge Key</v>
      </c>
      <c r="B328" s="22" t="s">
        <v>55</v>
      </c>
      <c r="C328" s="23" t="s">
        <v>2164</v>
      </c>
      <c r="D328" s="24" t="str">
        <f t="shared" si="29"/>
        <v>Osi.TemplateAddTo("21727b7b-1ed0-40e8-a329-1daa1cec511a", GetHostCharacter(), 1, 1);</v>
      </c>
    </row>
    <row r="329">
      <c r="A329" s="21" t="str">
        <f>HYPERLINK("https://bg3.wiki/wiki/The_Glitter_Gala_Stockroom_Key", "The Glitter Gala Stockroom Key")</f>
        <v>The Glitter Gala Stockroom Key</v>
      </c>
      <c r="B329" s="22" t="s">
        <v>55</v>
      </c>
      <c r="C329" s="23" t="s">
        <v>2165</v>
      </c>
      <c r="D329" s="24" t="str">
        <f t="shared" si="29"/>
        <v>Osi.TemplateAddTo("c7906b00-3ecb-4e16-8f5e-552d3b9b5b9f", GetHostCharacter(), 1, 1);</v>
      </c>
    </row>
    <row r="330">
      <c r="A330" s="21" t="str">
        <f>HYPERLINK("https://bg3.wiki/wiki/Toadbreath_Stash_Key", "Toadbreath Stash Key")</f>
        <v>Toadbreath Stash Key</v>
      </c>
      <c r="B330" s="22" t="s">
        <v>55</v>
      </c>
      <c r="C330" s="23" t="s">
        <v>2166</v>
      </c>
      <c r="D330" s="24" t="str">
        <f t="shared" si="29"/>
        <v>Osi.TemplateAddTo("0131ba2b-4ca1-48c5-9d72-534ec6275f15", GetHostCharacter(), 1, 1);</v>
      </c>
    </row>
    <row r="331">
      <c r="A331" s="21" t="str">
        <f>HYPERLINK("https://bg3.wiki/wiki/Toll_Collector%27s_Key", "Toll Collector's Key")</f>
        <v>Toll Collector's Key</v>
      </c>
      <c r="B331" s="22" t="s">
        <v>55</v>
      </c>
      <c r="C331" s="23" t="s">
        <v>2167</v>
      </c>
      <c r="D331" s="24" t="str">
        <f t="shared" si="29"/>
        <v>Osi.TemplateAddTo("d2f08a74-8e8a-413a-b17e-da0bbfb4492f", GetHostCharacter(), 1, 1);</v>
      </c>
    </row>
    <row r="332">
      <c r="A332" s="21" t="str">
        <f>HYPERLINK("https://bg3.wiki/wiki/Tollhouse_Basement_Key", "Tollhouse Basement Key")</f>
        <v>Tollhouse Basement Key</v>
      </c>
      <c r="B332" s="22" t="s">
        <v>55</v>
      </c>
      <c r="C332" s="23" t="s">
        <v>2168</v>
      </c>
      <c r="D332" s="24" t="str">
        <f t="shared" si="29"/>
        <v>Osi.TemplateAddTo("bd652e24-9a79-4330-8af0-13499805afb1", GetHostCharacter(), 1, 1);</v>
      </c>
    </row>
    <row r="333">
      <c r="A333" s="21" t="str">
        <f>HYPERLINK("https://bg3.wiki/wiki/Tollhouse_Clerk%27s_Key", "Tollhouse Clerk's Key")</f>
        <v>Tollhouse Clerk's Key</v>
      </c>
      <c r="B333" s="22" t="s">
        <v>55</v>
      </c>
      <c r="C333" s="23" t="s">
        <v>2169</v>
      </c>
      <c r="D333" s="24" t="str">
        <f t="shared" si="29"/>
        <v>Osi.TemplateAddTo("d6622a6a-47a5-4fd3-8dc1-4fae24099ecb", GetHostCharacter(), 1, 1);</v>
      </c>
    </row>
    <row r="334">
      <c r="A334" s="21" t="str">
        <f>HYPERLINK("https://bg3.wiki/wiki/Tollhouse_Master%27s_Office_Key", "Tollhouse Master's Office Key")</f>
        <v>Tollhouse Master's Office Key</v>
      </c>
      <c r="B334" s="22" t="s">
        <v>55</v>
      </c>
      <c r="C334" s="23" t="s">
        <v>2170</v>
      </c>
      <c r="D334" s="24" t="str">
        <f t="shared" si="29"/>
        <v>Osi.TemplateAddTo("badfe1fe-ef67-4874-9263-3f1a4f4f41de", GetHostCharacter(), 1, 1);</v>
      </c>
    </row>
    <row r="335">
      <c r="A335" s="21" t="str">
        <f>HYPERLINK("https://bg3.wiki/wiki/Tombstone_Shop_Key", "Tombstone Shop Key")</f>
        <v>Tombstone Shop Key</v>
      </c>
      <c r="B335" s="22" t="s">
        <v>55</v>
      </c>
      <c r="C335" s="23" t="s">
        <v>2171</v>
      </c>
      <c r="D335" s="24" t="str">
        <f t="shared" si="29"/>
        <v>Osi.TemplateAddTo("b5d480b0-a0f2-4b69-a9a6-f4bbf7f7279f", GetHostCharacter(), 1, 1);</v>
      </c>
    </row>
    <row r="336">
      <c r="A336" s="21" t="str">
        <f>HYPERLINK("https://bg3.wiki/wiki/Torturer%27s_Key", "Torturer's Key")</f>
        <v>Torturer's Key</v>
      </c>
      <c r="B336" s="22" t="s">
        <v>55</v>
      </c>
      <c r="C336" s="23" t="s">
        <v>2172</v>
      </c>
      <c r="D336" s="24" t="str">
        <f t="shared" si="29"/>
        <v>Osi.TemplateAddTo("536107bd-277b-42bb-8eaf-2b787123615c", GetHostCharacter(), 1, 1);</v>
      </c>
    </row>
    <row r="337">
      <c r="A337" s="21" t="str">
        <f>HYPERLINK("https://bg3.wiki/wiki/Tower-Shaped_Key", "Tower-Shaped Key")</f>
        <v>Tower-Shaped Key</v>
      </c>
      <c r="B337" s="22" t="s">
        <v>55</v>
      </c>
      <c r="C337" s="23" t="s">
        <v>2173</v>
      </c>
      <c r="D337" s="24" t="str">
        <f t="shared" si="29"/>
        <v>Osi.TemplateAddTo("a5ea7cd3-6599-40e5-b609-50056b65a361", GetHostCharacter(), 1, 1);</v>
      </c>
    </row>
    <row r="338">
      <c r="A338" s="21" t="str">
        <f>HYPERLINK("https://bg3.wiki/wiki/Toymaker%27s_Basement_Chest_Key", "Toymaker's Basement Chest Key")</f>
        <v>Toymaker's Basement Chest Key</v>
      </c>
      <c r="B338" s="22" t="s">
        <v>55</v>
      </c>
      <c r="C338" s="23" t="s">
        <v>2174</v>
      </c>
      <c r="D338" s="24" t="str">
        <f t="shared" si="29"/>
        <v>Osi.TemplateAddTo("1558e201-8a0b-480b-93b4-27107d7b1604", GetHostCharacter(), 1, 1);</v>
      </c>
    </row>
    <row r="339">
      <c r="A339" s="21" t="str">
        <f>HYPERLINK("https://bg3.wiki/wiki/Toymaker%27s_Basement_Key", "Toymaker's Basement Key")</f>
        <v>Toymaker's Basement Key</v>
      </c>
      <c r="B339" s="22" t="s">
        <v>55</v>
      </c>
      <c r="C339" s="23" t="s">
        <v>2175</v>
      </c>
      <c r="D339" s="24" t="str">
        <f t="shared" si="29"/>
        <v>Osi.TemplateAddTo("21c8402c-392c-4b15-b51c-cdbb3a506019", GetHostCharacter(), 1, 1);</v>
      </c>
    </row>
    <row r="340">
      <c r="A340" s="21" t="str">
        <f>HYPERLINK("https://bg3.wiki/wiki/Toymaker%27s_House_Key", "Toymaker's House Key")</f>
        <v>Toymaker's House Key</v>
      </c>
      <c r="B340" s="22" t="s">
        <v>55</v>
      </c>
      <c r="C340" s="23" t="s">
        <v>2176</v>
      </c>
      <c r="D340" s="24" t="str">
        <f t="shared" si="29"/>
        <v>Osi.TemplateAddTo("d4dd3f37-1a25-4654-9528-2b5775ea0a6a", GetHostCharacter(), 1, 1);</v>
      </c>
    </row>
    <row r="341">
      <c r="A341" s="21" t="str">
        <f>HYPERLINK("https://bg3.wiki/wiki/Tribunal_Prison_Key", "Tribunal Prison Key")</f>
        <v>Tribunal Prison Key</v>
      </c>
      <c r="B341" s="22" t="s">
        <v>55</v>
      </c>
      <c r="C341" s="23" t="s">
        <v>2177</v>
      </c>
      <c r="D341" s="24" t="str">
        <f t="shared" si="29"/>
        <v>Osi.TemplateAddTo("59e66412-2a14-4bfd-97df-f3a7b5fb0840", GetHostCharacter(), 1, 1);</v>
      </c>
    </row>
    <row r="342">
      <c r="A342" s="21" t="str">
        <f>HYPERLINK("https://bg3.wiki/wiki/Undercity_Ruins_Chasm_Door_Key", "Undercity Ruins Chasm Door Key")</f>
        <v>Undercity Ruins Chasm Door Key</v>
      </c>
      <c r="B342" s="22" t="s">
        <v>55</v>
      </c>
      <c r="C342" s="23" t="s">
        <v>2178</v>
      </c>
      <c r="D342" s="24" t="str">
        <f t="shared" si="29"/>
        <v>Osi.TemplateAddTo("3093aa62-98a2-44c1-aa5f-1d1966cf94e2", GetHostCharacter(), 1, 1);</v>
      </c>
    </row>
    <row r="343">
      <c r="A343" s="21" t="str">
        <f>HYPERLINK("https://bg3.wiki/wiki/Vault_Chest_Key", "Vault Chest Key")</f>
        <v>Vault Chest Key</v>
      </c>
      <c r="B343" s="22" t="s">
        <v>55</v>
      </c>
      <c r="C343" s="23" t="s">
        <v>158</v>
      </c>
      <c r="D343" s="24"/>
    </row>
    <row r="344">
      <c r="A344" s="21" t="str">
        <f>HYPERLINK("https://bg3.wiki/wiki/Vault_Key", "Vault Key")</f>
        <v>Vault Key</v>
      </c>
      <c r="B344" s="22" t="s">
        <v>55</v>
      </c>
      <c r="C344" s="23" t="s">
        <v>2179</v>
      </c>
      <c r="D344" s="24" t="str">
        <f t="shared" ref="D344:D346" si="30">"Osi.TemplateAddTo("""&amp; C344 &amp;""", GetHostCharacter(), 1, 1);"</f>
        <v>Osi.TemplateAddTo("03f0e9fc-7df2-4599-8764-5c5e4003e52d", GetHostCharacter(), 1, 1);</v>
      </c>
    </row>
    <row r="345">
      <c r="A345" s="21" t="str">
        <f>HYPERLINK("https://bg3.wiki/wiki/Viconia%27s_Personal_Chest_Key", "Viconia's Personal Chest Key")</f>
        <v>Viconia's Personal Chest Key</v>
      </c>
      <c r="B345" s="22" t="s">
        <v>55</v>
      </c>
      <c r="C345" s="23" t="s">
        <v>2180</v>
      </c>
      <c r="D345" s="24" t="str">
        <f t="shared" si="30"/>
        <v>Osi.TemplateAddTo("7ccd0e19-4546-435b-b704-8e20efc79196", GetHostCharacter(), 1, 1);</v>
      </c>
    </row>
    <row r="346">
      <c r="A346" s="21" t="str">
        <f>HYPERLINK("https://bg3.wiki/wiki/Windmill_Key", "Windmill Key")</f>
        <v>Windmill Key</v>
      </c>
      <c r="B346" s="22" t="s">
        <v>55</v>
      </c>
      <c r="C346" s="23" t="s">
        <v>2181</v>
      </c>
      <c r="D346" s="24" t="str">
        <f t="shared" si="30"/>
        <v>Osi.TemplateAddTo("3c28b4d6-df28-4a36-90de-09bb1161743c", GetHostCharacter(), 1, 1);</v>
      </c>
    </row>
    <row r="347">
      <c r="A347" s="21" t="str">
        <f>HYPERLINK("https://bg3.wiki/wiki/Wine_Cellar_Key", "Wine Cellar Key")</f>
        <v>Wine Cellar Key</v>
      </c>
      <c r="B347" s="22" t="s">
        <v>55</v>
      </c>
      <c r="C347" s="23" t="s">
        <v>158</v>
      </c>
      <c r="D347" s="24"/>
    </row>
    <row r="348">
      <c r="A348" s="21" t="str">
        <f>HYPERLINK("https://bg3.wiki/wiki/Worn_Key", "Worn Key")</f>
        <v>Worn Key</v>
      </c>
      <c r="B348" s="22" t="s">
        <v>55</v>
      </c>
      <c r="C348" s="23" t="s">
        <v>2182</v>
      </c>
      <c r="D348" s="24" t="str">
        <f>"Osi.TemplateAddTo("""&amp; C348 &amp;""", GetHostCharacter(), 1, 1);"</f>
        <v>Osi.TemplateAddTo("3f0eee91-d773-4b70-bfe2-c859e4c57450", GetHostCharacter(), 1, 1);</v>
      </c>
    </row>
    <row r="349">
      <c r="A349" s="21" t="str">
        <f>HYPERLINK("https://bg3.wiki/wiki/Worn_Key_(Toron)", "Worn Key (Toron)")</f>
        <v>Worn Key (Toron)</v>
      </c>
      <c r="B349" s="22" t="s">
        <v>55</v>
      </c>
      <c r="C349" s="23" t="s">
        <v>2183</v>
      </c>
      <c r="D349" s="24"/>
    </row>
    <row r="350">
      <c r="A350" s="21" t="str">
        <f>HYPERLINK("https://bg3.wiki/wiki/Wyrm%27s_Rock_Prison_Cell_Key", "Wyrm's Rock Prison Cell Key")</f>
        <v>Wyrm's Rock Prison Cell Key</v>
      </c>
      <c r="B350" s="22" t="s">
        <v>55</v>
      </c>
      <c r="C350" s="23" t="s">
        <v>158</v>
      </c>
      <c r="D350" s="24" t="str">
        <f t="shared" ref="D350:D353" si="31">"Osi.TemplateAddTo("""&amp; C350 &amp;""", GetHostCharacter(), 1, 1);"</f>
        <v>Osi.TemplateAddTo("ToDo: Find UUID. Not on Wiki/Easycheat", GetHostCharacter(), 1, 1);</v>
      </c>
    </row>
    <row r="351">
      <c r="A351" s="21" t="str">
        <f>HYPERLINK("https://bg3.wiki/wiki/Wyrm%27s_Rock_Prison_Key", "Wyrm's Rock Prison Key")</f>
        <v>Wyrm's Rock Prison Key</v>
      </c>
      <c r="B351" s="22" t="s">
        <v>55</v>
      </c>
      <c r="C351" s="23" t="s">
        <v>2184</v>
      </c>
      <c r="D351" s="24" t="str">
        <f t="shared" si="31"/>
        <v>Osi.TemplateAddTo("27302fcd-c10a-42c3-8aaa-fab8983ea335", GetHostCharacter(), 1, 1);</v>
      </c>
    </row>
    <row r="352">
      <c r="A352" s="21" t="str">
        <f>HYPERLINK("https://bg3.wiki/wiki/Yannis%27_Chest_Key", "Yannis' Chest Key")</f>
        <v>Yannis' Chest Key</v>
      </c>
      <c r="B352" s="22" t="s">
        <v>55</v>
      </c>
      <c r="C352" s="23" t="s">
        <v>2185</v>
      </c>
      <c r="D352" s="24" t="str">
        <f t="shared" si="31"/>
        <v>Osi.TemplateAddTo("71d03c8b-7cd4-4e8b-896f-bfe0223ead13", GetHostCharacter(), 1, 1);</v>
      </c>
    </row>
    <row r="353">
      <c r="A353" s="21" t="str">
        <f>HYPERLINK("https://bg3.wiki/wiki/Zevlor%27s_Key", "Zevlor's Key")</f>
        <v>Zevlor's Key</v>
      </c>
      <c r="B353" s="22" t="s">
        <v>55</v>
      </c>
      <c r="C353" s="23" t="s">
        <v>2186</v>
      </c>
      <c r="D353" s="24" t="str">
        <f t="shared" si="31"/>
        <v>Osi.TemplateAddTo("9f5db85d-f7f1-4083-8371-bddf5efc0ccb", GetHostCharacter(), 1, 1);</v>
      </c>
    </row>
    <row r="354">
      <c r="A354" s="38" t="str">
        <f>HYPERLINK("https://bg3.wiki/wiki/Zhentarim_Key", "Zhentarim Key")</f>
        <v>Zhentarim Key</v>
      </c>
      <c r="B354" s="39" t="s">
        <v>55</v>
      </c>
      <c r="C354" s="40" t="s">
        <v>158</v>
      </c>
      <c r="D354" s="41"/>
    </row>
    <row r="355">
      <c r="C355" s="42"/>
    </row>
  </sheetData>
  <conditionalFormatting sqref="B1:B355">
    <cfRule type="cellIs" dxfId="0" priority="1" operator="equal">
      <formula>"Common"</formula>
    </cfRule>
  </conditionalFormatting>
  <conditionalFormatting sqref="B1:B355">
    <cfRule type="cellIs" dxfId="1" priority="2" operator="equal">
      <formula>"rare"</formula>
    </cfRule>
  </conditionalFormatting>
  <conditionalFormatting sqref="B1:B355">
    <cfRule type="cellIs" dxfId="2" priority="3" operator="equal">
      <formula>"Very Rare"</formula>
    </cfRule>
  </conditionalFormatting>
  <conditionalFormatting sqref="B1:B355">
    <cfRule type="cellIs" dxfId="3" priority="4" operator="equal">
      <formula>"Uncommon"</formula>
    </cfRule>
  </conditionalFormatting>
  <conditionalFormatting sqref="B1:B355">
    <cfRule type="cellIs" dxfId="4" priority="5" operator="equal">
      <formula>"Legendary"</formula>
    </cfRule>
  </conditionalFormatting>
  <conditionalFormatting sqref="B1:B355">
    <cfRule type="cellIs" dxfId="5" priority="6" operator="equal">
      <formula>"Story Item"</formula>
    </cfRule>
  </conditionalFormatting>
  <conditionalFormatting sqref="C1:C355">
    <cfRule type="containsText" dxfId="6" priority="7" operator="containsText" text="todo">
      <formula>NOT(ISERROR(SEARCH(("todo"),(C1))))</formula>
    </cfRule>
  </conditionalFormatting>
  <drawing r:id="rId1"/>
  <tableParts count="5">
    <tablePart r:id="rId7"/>
    <tablePart r:id="rId8"/>
    <tablePart r:id="rId9"/>
    <tablePart r:id="rId10"/>
    <tablePart r:id="rId1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9.5"/>
    <col customWidth="1" min="3" max="3" width="20.13"/>
    <col customWidth="1" min="4" max="4" width="70.0"/>
  </cols>
  <sheetData>
    <row r="1">
      <c r="C1" s="42"/>
    </row>
    <row r="2">
      <c r="A2" s="55" t="s">
        <v>2187</v>
      </c>
      <c r="B2" s="22"/>
      <c r="C2" s="23"/>
      <c r="D2" s="22"/>
    </row>
    <row r="3">
      <c r="A3" s="34" t="s">
        <v>7</v>
      </c>
      <c r="B3" s="35" t="s">
        <v>8</v>
      </c>
      <c r="C3" s="35" t="s">
        <v>9</v>
      </c>
      <c r="D3" s="36" t="s">
        <v>10</v>
      </c>
    </row>
    <row r="4">
      <c r="A4" s="21" t="str">
        <f>HYPERLINK("https://bg3.wiki/wiki/Acorn_Truffle", "Acorn Truffle")</f>
        <v>Acorn Truffle</v>
      </c>
      <c r="B4" s="22" t="s">
        <v>11</v>
      </c>
      <c r="C4" s="23" t="s">
        <v>2188</v>
      </c>
      <c r="D4" s="24" t="str">
        <f t="shared" ref="D4:D28" si="1">"Osi.TemplateAddTo("""&amp; C4 &amp;""", GetHostCharacter(), 15, 1);"</f>
        <v>Osi.TemplateAddTo("1e6070d3-74e5-4c42-933a-2f151e6b5a0f", GetHostCharacter(), 15, 1);</v>
      </c>
    </row>
    <row r="5">
      <c r="A5" s="21" t="str">
        <f>HYPERLINK("https://bg3.wiki/wiki/Autumncrocus", "Autumncrocus")</f>
        <v>Autumncrocus</v>
      </c>
      <c r="B5" s="22" t="s">
        <v>11</v>
      </c>
      <c r="C5" s="23" t="s">
        <v>2189</v>
      </c>
      <c r="D5" s="24" t="str">
        <f t="shared" si="1"/>
        <v>Osi.TemplateAddTo("691da3f8-0fca-4aa9-b5cd-89bc96e3cc74", GetHostCharacter(), 15, 1);</v>
      </c>
    </row>
    <row r="6">
      <c r="A6" s="21" t="str">
        <f>HYPERLINK("https://bg3.wiki/wiki/Balsam", "Balsam")</f>
        <v>Balsam</v>
      </c>
      <c r="B6" s="22" t="s">
        <v>11</v>
      </c>
      <c r="C6" s="23" t="s">
        <v>2190</v>
      </c>
      <c r="D6" s="24" t="str">
        <f t="shared" si="1"/>
        <v>Osi.TemplateAddTo("fb318355-d2d9-48c5-8ef1-d0e574cef0d5", GetHostCharacter(), 15, 1);</v>
      </c>
    </row>
    <row r="7">
      <c r="A7" s="21" t="str">
        <f>HYPERLINK("https://bg3.wiki/wiki/Behir_Scales", "Behir Scales")</f>
        <v>Behir Scales</v>
      </c>
      <c r="B7" s="22" t="s">
        <v>11</v>
      </c>
      <c r="C7" s="23" t="s">
        <v>2191</v>
      </c>
      <c r="D7" s="24" t="str">
        <f t="shared" si="1"/>
        <v>Osi.TemplateAddTo("0970e30e-f26a-4050-9f48-13923163d7b9", GetHostCharacter(), 15, 1);</v>
      </c>
    </row>
    <row r="8">
      <c r="A8" s="21" t="str">
        <f>HYPERLINK("https://bg3.wiki/wiki/Beholder_Iris", "Beholder Iris")</f>
        <v>Beholder Iris</v>
      </c>
      <c r="B8" s="22" t="s">
        <v>11</v>
      </c>
      <c r="C8" s="23" t="s">
        <v>2192</v>
      </c>
      <c r="D8" s="24" t="str">
        <f t="shared" si="1"/>
        <v>Osi.TemplateAddTo("74e9637a-ed03-4072-897c-7539786340e3", GetHostCharacter(), 15, 1);</v>
      </c>
    </row>
    <row r="9">
      <c r="A9" s="21" t="str">
        <f>HYPERLINK("https://bg3.wiki/wiki/Belladonna", "Belladonna")</f>
        <v>Belladonna</v>
      </c>
      <c r="B9" s="22" t="s">
        <v>11</v>
      </c>
      <c r="C9" s="23" t="s">
        <v>2193</v>
      </c>
      <c r="D9" s="24" t="str">
        <f t="shared" si="1"/>
        <v>Osi.TemplateAddTo("897f5ff9-d889-4b78-a1d7-afa88ccaadb3", GetHostCharacter(), 15, 1);</v>
      </c>
    </row>
    <row r="10">
      <c r="A10" s="21" t="str">
        <f>HYPERLINK("https://bg3.wiki/wiki/Bixa_Root", "Bixa Root")</f>
        <v>Bixa Root</v>
      </c>
      <c r="B10" s="22" t="s">
        <v>11</v>
      </c>
      <c r="C10" s="23" t="s">
        <v>2194</v>
      </c>
      <c r="D10" s="24" t="str">
        <f t="shared" si="1"/>
        <v>Osi.TemplateAddTo("b3baa987-efe1-4cec-b290-74408d6d4771", GetHostCharacter(), 15, 1);</v>
      </c>
    </row>
    <row r="11">
      <c r="A11" s="21" t="str">
        <f>HYPERLINK("https://bg3.wiki/wiki/Black_Oleander", "Black Oleander")</f>
        <v>Black Oleander</v>
      </c>
      <c r="B11" s="22" t="s">
        <v>11</v>
      </c>
      <c r="C11" s="23" t="s">
        <v>2195</v>
      </c>
      <c r="D11" s="24" t="str">
        <f t="shared" si="1"/>
        <v>Osi.TemplateAddTo("bc79fef0-6e8d-4703-9ed6-caa9abda3212", GetHostCharacter(), 15, 1);</v>
      </c>
    </row>
    <row r="12">
      <c r="A12" s="21" t="str">
        <f>HYPERLINK("https://bg3.wiki/wiki/Bonecap", "Bonecap")</f>
        <v>Bonecap</v>
      </c>
      <c r="B12" s="22" t="s">
        <v>11</v>
      </c>
      <c r="C12" s="23" t="s">
        <v>2196</v>
      </c>
      <c r="D12" s="24" t="str">
        <f t="shared" si="1"/>
        <v>Osi.TemplateAddTo("e9f6d6d3-bd95-414d-903a-b697bb222ae7", GetHostCharacter(), 15, 1);</v>
      </c>
    </row>
    <row r="13">
      <c r="A13" s="21" t="str">
        <f>HYPERLINK("https://bg3.wiki/wiki/Broken_Machinery", "Broken Machinery")</f>
        <v>Broken Machinery</v>
      </c>
      <c r="B13" s="22" t="s">
        <v>11</v>
      </c>
      <c r="C13" s="23" t="s">
        <v>2197</v>
      </c>
      <c r="D13" s="24" t="str">
        <f t="shared" si="1"/>
        <v>Osi.TemplateAddTo("9c943199-0b97-45b4-8915-a8aa9399125b", GetHostCharacter(), 15, 1);</v>
      </c>
    </row>
    <row r="14">
      <c r="A14" s="21" t="str">
        <f>HYPERLINK("https://bg3.wiki/wiki/Bullywug_Trumpet", "Bullywug Trumpet")</f>
        <v>Bullywug Trumpet</v>
      </c>
      <c r="B14" s="22" t="s">
        <v>11</v>
      </c>
      <c r="C14" s="23" t="s">
        <v>2198</v>
      </c>
      <c r="D14" s="24" t="str">
        <f t="shared" si="1"/>
        <v>Osi.TemplateAddTo("4c7df0ef-2262-472f-af6e-9289a78cf371", GetHostCharacter(), 15, 1);</v>
      </c>
    </row>
    <row r="15">
      <c r="A15" s="21" t="str">
        <f>HYPERLINK("https://bg3.wiki/wiki/Carrion_Crawler_Tentacle", "Carrion Crawler Tentacle")</f>
        <v>Carrion Crawler Tentacle</v>
      </c>
      <c r="B15" s="22" t="s">
        <v>11</v>
      </c>
      <c r="C15" s="23" t="s">
        <v>2199</v>
      </c>
      <c r="D15" s="24" t="str">
        <f t="shared" si="1"/>
        <v>Osi.TemplateAddTo("79959650-9482-422a-b25b-c5830118612d", GetHostCharacter(), 15, 1);</v>
      </c>
    </row>
    <row r="16">
      <c r="A16" s="21" t="str">
        <f>HYPERLINK("https://bg3.wiki/wiki/Chasm_Creeper", "Chasm Creeper")</f>
        <v>Chasm Creeper</v>
      </c>
      <c r="B16" s="22" t="s">
        <v>11</v>
      </c>
      <c r="C16" s="23" t="s">
        <v>2200</v>
      </c>
      <c r="D16" s="24" t="str">
        <f t="shared" si="1"/>
        <v>Osi.TemplateAddTo("b964697f-1f1d-48d5-8772-d5edfdd0ed39", GetHostCharacter(), 15, 1);</v>
      </c>
    </row>
    <row r="17">
      <c r="A17" s="21" t="str">
        <f>HYPERLINK("https://bg3.wiki/wiki/Cloud_Giant_Finger", "Cloud Giant Finger")</f>
        <v>Cloud Giant Finger</v>
      </c>
      <c r="B17" s="22" t="s">
        <v>11</v>
      </c>
      <c r="C17" s="23" t="s">
        <v>2201</v>
      </c>
      <c r="D17" s="24" t="str">
        <f t="shared" si="1"/>
        <v>Osi.TemplateAddTo("c9f4a4f1-7d4e-4958-bc7a-bd7d5dfbd161", GetHostCharacter(), 15, 1);</v>
      </c>
    </row>
    <row r="18">
      <c r="A18" s="21" t="str">
        <f>HYPERLINK("https://bg3.wiki/wiki/Corpse_Rose", "Corpse Rose")</f>
        <v>Corpse Rose</v>
      </c>
      <c r="B18" s="22" t="s">
        <v>11</v>
      </c>
      <c r="C18" s="23" t="s">
        <v>2202</v>
      </c>
      <c r="D18" s="24" t="str">
        <f t="shared" si="1"/>
        <v>Osi.TemplateAddTo("61edb466-ed1c-4225-aed6-ebeae9c19247", GetHostCharacter(), 15, 1);</v>
      </c>
    </row>
    <row r="19">
      <c r="A19" s="21" t="str">
        <f>HYPERLINK("https://bg3.wiki/wiki/Crystalline_Lens", "Crystalline Lens")</f>
        <v>Crystalline Lens</v>
      </c>
      <c r="B19" s="22" t="s">
        <v>11</v>
      </c>
      <c r="C19" s="23" t="s">
        <v>2203</v>
      </c>
      <c r="D19" s="24" t="str">
        <f t="shared" si="1"/>
        <v>Osi.TemplateAddTo("63a8a0ba-82fe-4f5d-9224-1330dd15c042", GetHostCharacter(), 15, 1);</v>
      </c>
    </row>
    <row r="20">
      <c r="A20" s="21" t="str">
        <f>HYPERLINK("https://bg3.wiki/wiki/Daggerroot", "Daggerroot")</f>
        <v>Daggerroot</v>
      </c>
      <c r="B20" s="22" t="s">
        <v>11</v>
      </c>
      <c r="C20" s="23" t="s">
        <v>2204</v>
      </c>
      <c r="D20" s="24" t="str">
        <f t="shared" si="1"/>
        <v>Osi.TemplateAddTo("12126dc3-50ce-48cd-836f-c4d769a85134", GetHostCharacter(), 15, 1);</v>
      </c>
    </row>
    <row r="21">
      <c r="A21" s="21" t="str">
        <f>HYPERLINK("https://bg3.wiki/wiki/Divine_Bone_Shard", "Divine Bone Shard")</f>
        <v>Divine Bone Shard</v>
      </c>
      <c r="B21" s="22" t="s">
        <v>11</v>
      </c>
      <c r="C21" s="23" t="s">
        <v>2205</v>
      </c>
      <c r="D21" s="24" t="str">
        <f t="shared" si="1"/>
        <v>Osi.TemplateAddTo("8f7f7240-0218-4aa9-b849-bc2f57e21b5e", GetHostCharacter(), 15, 1);</v>
      </c>
    </row>
    <row r="22">
      <c r="A22" s="21" t="str">
        <f>HYPERLINK("https://bg3.wiki/wiki/Dragon_Egg_Mushroom", "Dragon Egg Mushroom")</f>
        <v>Dragon Egg Mushroom</v>
      </c>
      <c r="B22" s="22" t="s">
        <v>11</v>
      </c>
      <c r="C22" s="23" t="s">
        <v>2206</v>
      </c>
      <c r="D22" s="24" t="str">
        <f t="shared" si="1"/>
        <v>Osi.TemplateAddTo("19c9becf-ab0e-4e2f-9253-12456ff9b465", GetHostCharacter(), 15, 1);</v>
      </c>
    </row>
    <row r="23">
      <c r="A23" s="21" t="str">
        <f>HYPERLINK("https://bg3.wiki/wiki/Eagle_Feather", "Eagle Feather")</f>
        <v>Eagle Feather</v>
      </c>
      <c r="B23" s="22" t="s">
        <v>11</v>
      </c>
      <c r="C23" s="23" t="s">
        <v>2207</v>
      </c>
      <c r="D23" s="24" t="str">
        <f t="shared" si="1"/>
        <v>Osi.TemplateAddTo("31a1344c-0e53-4738-a338-477a33405115", GetHostCharacter(), 15, 1);</v>
      </c>
    </row>
    <row r="24">
      <c r="A24" s="21" t="str">
        <f>HYPERLINK("https://bg3.wiki/wiki/Fire_Amber", "Fire Amber")</f>
        <v>Fire Amber</v>
      </c>
      <c r="B24" s="22" t="s">
        <v>11</v>
      </c>
      <c r="C24" s="23" t="s">
        <v>2208</v>
      </c>
      <c r="D24" s="24" t="str">
        <f t="shared" si="1"/>
        <v>Osi.TemplateAddTo("001f36eb-a95b-455c-9fb7-ed6ae5f071b8", GetHostCharacter(), 15, 1);</v>
      </c>
    </row>
    <row r="25">
      <c r="A25" s="21" t="str">
        <f>HYPERLINK("https://bg3.wiki/wiki/Frost_Salamander_Tongue", "Frost Salamander Tongue")</f>
        <v>Frost Salamander Tongue</v>
      </c>
      <c r="B25" s="22" t="s">
        <v>11</v>
      </c>
      <c r="C25" s="23" t="s">
        <v>2209</v>
      </c>
      <c r="D25" s="24" t="str">
        <f t="shared" si="1"/>
        <v>Osi.TemplateAddTo("25940d8a-110b-4f0e-82df-af8c6b15fb34", GetHostCharacter(), 15, 1);</v>
      </c>
    </row>
    <row r="26">
      <c r="A26" s="21" t="str">
        <f>HYPERLINK("https://bg3.wiki/wiki/Frosted_Ear", "Frosted Ear")</f>
        <v>Frosted Ear</v>
      </c>
      <c r="B26" s="22" t="s">
        <v>11</v>
      </c>
      <c r="C26" s="23" t="s">
        <v>2210</v>
      </c>
      <c r="D26" s="24" t="str">
        <f t="shared" si="1"/>
        <v>Osi.TemplateAddTo("95119b16-2001-4f9e-9cd6-5e422e8b73c6", GetHostCharacter(), 15, 1);</v>
      </c>
    </row>
    <row r="27">
      <c r="A27" s="21" t="str">
        <f>HYPERLINK("https://bg3.wiki/wiki/Gauth_Eyestalk", "Gauth Eyestalk")</f>
        <v>Gauth Eyestalk</v>
      </c>
      <c r="B27" s="22" t="s">
        <v>11</v>
      </c>
      <c r="C27" s="23" t="s">
        <v>2211</v>
      </c>
      <c r="D27" s="24" t="str">
        <f t="shared" si="1"/>
        <v>Osi.TemplateAddTo("a9297f74-af38-4442-8702-8cbb9af6af72", GetHostCharacter(), 15, 1);</v>
      </c>
    </row>
    <row r="28">
      <c r="A28" s="21" t="str">
        <f>HYPERLINK("https://bg3.wiki/wiki/Gremishka_Tail", "Gremishka Tail")</f>
        <v>Gremishka Tail</v>
      </c>
      <c r="B28" s="22" t="s">
        <v>11</v>
      </c>
      <c r="C28" s="23" t="s">
        <v>2212</v>
      </c>
      <c r="D28" s="24" t="str">
        <f t="shared" si="1"/>
        <v>Osi.TemplateAddTo("d78bb918-7cd2-4507-ab0d-e1b817f4bc4c", GetHostCharacter(), 15, 1);</v>
      </c>
    </row>
    <row r="29">
      <c r="A29" s="21" t="str">
        <f>HYPERLINK("https://bg3.wiki/wiki/Harpy_Feather", "Harpy Feather")</f>
        <v>Harpy Feather</v>
      </c>
      <c r="B29" s="22" t="s">
        <v>11</v>
      </c>
      <c r="C29" s="23" t="s">
        <v>158</v>
      </c>
      <c r="D29" s="24"/>
    </row>
    <row r="30">
      <c r="A30" s="21" t="str">
        <f>HYPERLINK("https://bg3.wiki/wiki/Hastening_Spores", "Hastening Spores")</f>
        <v>Hastening Spores</v>
      </c>
      <c r="B30" s="22" t="s">
        <v>11</v>
      </c>
      <c r="C30" s="23" t="s">
        <v>2213</v>
      </c>
      <c r="D30" s="24" t="str">
        <f t="shared" ref="D30:D46" si="2">"Osi.TemplateAddTo("""&amp; C30 &amp;""", GetHostCharacter(), 15, 1);"</f>
        <v>Osi.TemplateAddTo("7860b790-b34f-4569-9da7-d8657e60551e", GetHostCharacter(), 15, 1);</v>
      </c>
    </row>
    <row r="31">
      <c r="A31" s="21" t="str">
        <f>HYPERLINK("https://bg3.wiki/wiki/Heart-Shaped_Rock", "Heart-Shaped Rock")</f>
        <v>Heart-Shaped Rock</v>
      </c>
      <c r="B31" s="22" t="s">
        <v>11</v>
      </c>
      <c r="C31" s="23" t="s">
        <v>2214</v>
      </c>
      <c r="D31" s="24" t="str">
        <f t="shared" si="2"/>
        <v>Osi.TemplateAddTo("876b106b-57f3-4d9f-9859-e3d840e922bd", GetHostCharacter(), 15, 1);</v>
      </c>
    </row>
    <row r="32">
      <c r="A32" s="21" t="str">
        <f>HYPERLINK("https://bg3.wiki/wiki/Hill_Giant_Finger", "Hill Giant Finger")</f>
        <v>Hill Giant Finger</v>
      </c>
      <c r="B32" s="22" t="s">
        <v>11</v>
      </c>
      <c r="C32" s="23" t="s">
        <v>2215</v>
      </c>
      <c r="D32" s="24" t="str">
        <f t="shared" si="2"/>
        <v>Osi.TemplateAddTo("f4ed5a49-9b95-4e99-b58e-a0a85bf1fc2d", GetHostCharacter(), 15, 1);</v>
      </c>
    </row>
    <row r="33">
      <c r="A33" s="21" t="str">
        <f>HYPERLINK("https://bg3.wiki/wiki/Hook", "Hook")</f>
        <v>Hook</v>
      </c>
      <c r="B33" s="22" t="s">
        <v>11</v>
      </c>
      <c r="C33" s="23" t="s">
        <v>2216</v>
      </c>
      <c r="D33" s="24" t="str">
        <f t="shared" si="2"/>
        <v>Osi.TemplateAddTo("38808280-6ae5-4d99-b3c5-6381633df693", GetHostCharacter(), 15, 1);</v>
      </c>
    </row>
    <row r="34">
      <c r="A34" s="21" t="str">
        <f>HYPERLINK("https://bg3.wiki/wiki/Hyena_Ear", "Hyena Ear")</f>
        <v>Hyena Ear</v>
      </c>
      <c r="B34" s="22" t="s">
        <v>11</v>
      </c>
      <c r="C34" s="23" t="s">
        <v>2217</v>
      </c>
      <c r="D34" s="24" t="str">
        <f t="shared" si="2"/>
        <v>Osi.TemplateAddTo("b899c719-a20e-43d9-8512-30298717e52d", GetHostCharacter(), 15, 1);</v>
      </c>
    </row>
    <row r="35">
      <c r="A35" s="21" t="str">
        <f>HYPERLINK("https://bg3.wiki/wiki/Imp_Patagium", "Imp Patagium")</f>
        <v>Imp Patagium</v>
      </c>
      <c r="B35" s="22" t="s">
        <v>11</v>
      </c>
      <c r="C35" s="23" t="s">
        <v>2218</v>
      </c>
      <c r="D35" s="24" t="str">
        <f t="shared" si="2"/>
        <v>Osi.TemplateAddTo("0fc46120-a4fa-4787-8c70-5fdcd2308690", GetHostCharacter(), 15, 1);</v>
      </c>
    </row>
    <row r="36">
      <c r="A36" s="21" t="str">
        <f>HYPERLINK("https://bg3.wiki/wiki/Intellect_Devourer_Cerebellum", "Intellect Devourer Cerebellum")</f>
        <v>Intellect Devourer Cerebellum</v>
      </c>
      <c r="B36" s="22" t="s">
        <v>11</v>
      </c>
      <c r="C36" s="23" t="s">
        <v>2219</v>
      </c>
      <c r="D36" s="24" t="str">
        <f t="shared" si="2"/>
        <v>Osi.TemplateAddTo("81e32e6d-35f5-4595-bcc8-b7192ef02868", GetHostCharacter(), 15, 1);</v>
      </c>
    </row>
    <row r="37">
      <c r="A37" s="21" t="str">
        <f>HYPERLINK("https://bg3.wiki/wiki/Ki-Rin_Hair", "Ki-Rin Hair")</f>
        <v>Ki-Rin Hair</v>
      </c>
      <c r="B37" s="22" t="s">
        <v>11</v>
      </c>
      <c r="C37" s="23" t="s">
        <v>2220</v>
      </c>
      <c r="D37" s="24" t="str">
        <f t="shared" si="2"/>
        <v>Osi.TemplateAddTo("d8ecc728-bfd9-401d-9dcd-ac87ea3b7e0e", GetHostCharacter(), 15, 1);</v>
      </c>
    </row>
    <row r="38">
      <c r="A38" s="21" t="str">
        <f>HYPERLINK("https://bg3.wiki/wiki/Laculite", "Laculite")</f>
        <v>Laculite</v>
      </c>
      <c r="B38" s="22" t="s">
        <v>11</v>
      </c>
      <c r="C38" s="23" t="s">
        <v>2221</v>
      </c>
      <c r="D38" s="24" t="str">
        <f t="shared" si="2"/>
        <v>Osi.TemplateAddTo("7483130a-0b77-499e-be31-487811203af1", GetHostCharacter(), 15, 1);</v>
      </c>
    </row>
    <row r="39">
      <c r="A39" s="21" t="str">
        <f>HYPERLINK("https://bg3.wiki/wiki/Lolth%27s_Candle", "Lolth's Candle")</f>
        <v>Lolth's Candle</v>
      </c>
      <c r="B39" s="22" t="s">
        <v>11</v>
      </c>
      <c r="C39" s="23" t="s">
        <v>2222</v>
      </c>
      <c r="D39" s="24" t="str">
        <f t="shared" si="2"/>
        <v>Osi.TemplateAddTo("6f023cc2-467c-4931-90af-ba0c3f751eee", GetHostCharacter(), 15, 1);</v>
      </c>
    </row>
    <row r="40">
      <c r="A40" s="21" t="str">
        <f>HYPERLINK("https://bg3.wiki/wiki/Mergrass", "Mergrass")</f>
        <v>Mergrass</v>
      </c>
      <c r="B40" s="22" t="s">
        <v>11</v>
      </c>
      <c r="C40" s="23" t="s">
        <v>2223</v>
      </c>
      <c r="D40" s="24" t="str">
        <f t="shared" si="2"/>
        <v>Osi.TemplateAddTo("0a494c98-84c0-4055-8208-0e363bd53ed3", GetHostCharacter(), 15, 1);</v>
      </c>
    </row>
    <row r="41">
      <c r="A41" s="21" t="str">
        <f>HYPERLINK("https://bg3.wiki/wiki/Mud_Mephit_Wing", "Mud Mephit Wing")</f>
        <v>Mud Mephit Wing</v>
      </c>
      <c r="B41" s="22" t="s">
        <v>11</v>
      </c>
      <c r="C41" s="23" t="s">
        <v>2224</v>
      </c>
      <c r="D41" s="24" t="str">
        <f t="shared" si="2"/>
        <v>Osi.TemplateAddTo("663fb1db-da77-41ab-baa9-312a78b198b8", GetHostCharacter(), 15, 1);</v>
      </c>
    </row>
    <row r="42">
      <c r="A42" s="21" t="str">
        <f>HYPERLINK("https://bg3.wiki/wiki/Mugwort", "Mugwort")</f>
        <v>Mugwort</v>
      </c>
      <c r="B42" s="22" t="s">
        <v>11</v>
      </c>
      <c r="C42" s="23" t="s">
        <v>2225</v>
      </c>
      <c r="D42" s="24" t="str">
        <f t="shared" si="2"/>
        <v>Osi.TemplateAddTo("a0776643-f25b-4aef-a025-bff959d8dd0f", GetHostCharacter(), 15, 1);</v>
      </c>
    </row>
    <row r="43">
      <c r="A43" s="21" t="str">
        <f>HYPERLINK("https://bg3.wiki/wiki/Night_Orchid", "Night Orchid")</f>
        <v>Night Orchid</v>
      </c>
      <c r="B43" s="22" t="s">
        <v>11</v>
      </c>
      <c r="C43" s="23" t="s">
        <v>2226</v>
      </c>
      <c r="D43" s="24" t="str">
        <f t="shared" si="2"/>
        <v>Osi.TemplateAddTo("11f6de17-4682-419c-808f-8a328d2cce15", GetHostCharacter(), 15, 1);</v>
      </c>
    </row>
    <row r="44">
      <c r="A44" s="21" t="str">
        <f>HYPERLINK("https://bg3.wiki/wiki/Nightlight_Frond", "Nightlight Frond")</f>
        <v>Nightlight Frond</v>
      </c>
      <c r="B44" s="22" t="s">
        <v>11</v>
      </c>
      <c r="C44" s="23" t="s">
        <v>2227</v>
      </c>
      <c r="D44" s="24" t="str">
        <f t="shared" si="2"/>
        <v>Osi.TemplateAddTo("7a164775-4a77-47a4-a8b2-5bd5bdc311cf", GetHostCharacter(), 15, 1);</v>
      </c>
    </row>
    <row r="45">
      <c r="A45" s="21" t="str">
        <f>HYPERLINK("https://bg3.wiki/wiki/Nothic_Eye", "Nothic Eye")</f>
        <v>Nothic Eye</v>
      </c>
      <c r="B45" s="22" t="s">
        <v>11</v>
      </c>
      <c r="C45" s="23" t="s">
        <v>2228</v>
      </c>
      <c r="D45" s="24" t="str">
        <f t="shared" si="2"/>
        <v>Osi.TemplateAddTo("d166bccb-5613-40e4-b611-c350b7e129c5", GetHostCharacter(), 15, 1);</v>
      </c>
    </row>
    <row r="46">
      <c r="A46" s="21" t="str">
        <f>HYPERLINK("https://bg3.wiki/wiki/Ochre_Jelly_Slime", "Ochre Jelly Slime")</f>
        <v>Ochre Jelly Slime</v>
      </c>
      <c r="B46" s="22" t="s">
        <v>11</v>
      </c>
      <c r="C46" s="23" t="s">
        <v>2229</v>
      </c>
      <c r="D46" s="24" t="str">
        <f t="shared" si="2"/>
        <v>Osi.TemplateAddTo("540e8376-f6ac-4261-a920-f288abf176e1", GetHostCharacter(), 15, 1);</v>
      </c>
    </row>
    <row r="47">
      <c r="A47" s="21" t="str">
        <f>HYPERLINK("https://bg3.wiki/wiki/Owlbear_Beak", "Owlbear Beak")</f>
        <v>Owlbear Beak</v>
      </c>
      <c r="B47" s="22" t="s">
        <v>11</v>
      </c>
      <c r="C47" s="23" t="s">
        <v>158</v>
      </c>
      <c r="D47" s="24"/>
    </row>
    <row r="48">
      <c r="A48" s="21" t="str">
        <f>HYPERLINK("https://bg3.wiki/wiki/Pegasus_Feather", "Pegasus Feather")</f>
        <v>Pegasus Feather</v>
      </c>
      <c r="B48" s="22" t="s">
        <v>11</v>
      </c>
      <c r="C48" s="23" t="s">
        <v>2230</v>
      </c>
      <c r="D48" s="24" t="str">
        <f t="shared" ref="D48:D71" si="3">"Osi.TemplateAddTo("""&amp; C48 &amp;""", GetHostCharacter(), 15, 1);"</f>
        <v>Osi.TemplateAddTo("afba7d49-658a-4f8b-89e0-8795292868a7", GetHostCharacter(), 15, 1);</v>
      </c>
    </row>
    <row r="49">
      <c r="A49" s="21" t="str">
        <f>HYPERLINK("https://bg3.wiki/wiki/Planetar_Feather", "Planetar Feather")</f>
        <v>Planetar Feather</v>
      </c>
      <c r="B49" s="22" t="s">
        <v>11</v>
      </c>
      <c r="C49" s="23" t="s">
        <v>2231</v>
      </c>
      <c r="D49" s="24" t="str">
        <f t="shared" si="3"/>
        <v>Osi.TemplateAddTo("ee2faf6e-2af2-4eb9-aee4-94aedab7e81b", GetHostCharacter(), 15, 1);</v>
      </c>
    </row>
    <row r="50">
      <c r="A50" s="21" t="str">
        <f>HYPERLINK("https://bg3.wiki/wiki/Poison_Spore", "Poison Spore")</f>
        <v>Poison Spore</v>
      </c>
      <c r="B50" s="22" t="s">
        <v>11</v>
      </c>
      <c r="C50" s="23" t="s">
        <v>2232</v>
      </c>
      <c r="D50" s="24" t="str">
        <f t="shared" si="3"/>
        <v>Osi.TemplateAddTo("e9d39b0d-bcd6-4b5b-9d54-c68b3b650b54", GetHostCharacter(), 15, 1);</v>
      </c>
    </row>
    <row r="51">
      <c r="A51" s="21" t="str">
        <f>HYPERLINK("https://bg3.wiki/wiki/Poppy_Flower", "Poppy Flower")</f>
        <v>Poppy Flower</v>
      </c>
      <c r="B51" s="22" t="s">
        <v>11</v>
      </c>
      <c r="C51" s="23" t="s">
        <v>2233</v>
      </c>
      <c r="D51" s="24" t="str">
        <f t="shared" si="3"/>
        <v>Osi.TemplateAddTo("16c583b8-4729-4603-aeee-d224bf645653", GetHostCharacter(), 15, 1);</v>
      </c>
    </row>
    <row r="52">
      <c r="A52" s="21" t="str">
        <f>HYPERLINK("https://bg3.wiki/wiki/Purple_Worm_Gullet", "Purple Worm Gullet")</f>
        <v>Purple Worm Gullet</v>
      </c>
      <c r="B52" s="22" t="s">
        <v>11</v>
      </c>
      <c r="C52" s="23" t="s">
        <v>2234</v>
      </c>
      <c r="D52" s="24" t="str">
        <f t="shared" si="3"/>
        <v>Osi.TemplateAddTo("6f41c4eb-ce25-47f9-8702-ae81a3da7cb8", GetHostCharacter(), 15, 1);</v>
      </c>
    </row>
    <row r="53">
      <c r="A53" s="21" t="str">
        <f>HYPERLINK("https://bg3.wiki/wiki/Putrefied_Tumour", "Putrefied Tumour")</f>
        <v>Putrefied Tumour</v>
      </c>
      <c r="B53" s="22" t="s">
        <v>11</v>
      </c>
      <c r="C53" s="23" t="s">
        <v>2235</v>
      </c>
      <c r="D53" s="24" t="str">
        <f t="shared" si="3"/>
        <v>Osi.TemplateAddTo("b7cf1a87-b128-4282-ba38-eb884875d725", GetHostCharacter(), 15, 1);</v>
      </c>
    </row>
    <row r="54">
      <c r="A54" s="21" t="str">
        <f>HYPERLINK("https://bg3.wiki/wiki/Rogue%27s_Morsel", "Rogue's Morsel")</f>
        <v>Rogue's Morsel</v>
      </c>
      <c r="B54" s="22" t="s">
        <v>11</v>
      </c>
      <c r="C54" s="23" t="s">
        <v>2236</v>
      </c>
      <c r="D54" s="24" t="str">
        <f t="shared" si="3"/>
        <v>Osi.TemplateAddTo("a09f8033-f5d8-44de-97ad-09499d967989", GetHostCharacter(), 15, 1);</v>
      </c>
    </row>
    <row r="55">
      <c r="A55" s="21" t="str">
        <f>HYPERLINK("https://bg3.wiki/wiki/Shadowroot_Sac", "Shadowroot Sac")</f>
        <v>Shadowroot Sac</v>
      </c>
      <c r="B55" s="22" t="s">
        <v>11</v>
      </c>
      <c r="C55" s="23" t="s">
        <v>2237</v>
      </c>
      <c r="D55" s="24" t="str">
        <f t="shared" si="3"/>
        <v>Osi.TemplateAddTo("44eaf801-ed52-4322-ae70-31258dd93c82", GetHostCharacter(), 15, 1);</v>
      </c>
    </row>
    <row r="56">
      <c r="A56" s="21" t="str">
        <f>HYPERLINK("https://bg3.wiki/wiki/Silk_Gland", "Silk Gland")</f>
        <v>Silk Gland</v>
      </c>
      <c r="B56" s="22" t="s">
        <v>11</v>
      </c>
      <c r="C56" s="23" t="s">
        <v>2238</v>
      </c>
      <c r="D56" s="24" t="str">
        <f t="shared" si="3"/>
        <v>Osi.TemplateAddTo("1db12e7c-e88b-4151-af11-4e2010ef319d", GetHostCharacter(), 15, 1);</v>
      </c>
    </row>
    <row r="57">
      <c r="A57" s="21" t="str">
        <f>HYPERLINK("https://bg3.wiki/wiki/Swarming_Toadstool", "Swarming Toadstool")</f>
        <v>Swarming Toadstool</v>
      </c>
      <c r="B57" s="22" t="s">
        <v>11</v>
      </c>
      <c r="C57" s="23" t="s">
        <v>2239</v>
      </c>
      <c r="D57" s="24" t="str">
        <f t="shared" si="3"/>
        <v>Osi.TemplateAddTo("0180607d-dbf8-48e6-98d9-89e67aa9f13a", GetHostCharacter(), 15, 1);</v>
      </c>
    </row>
    <row r="58">
      <c r="A58" s="21" t="str">
        <f>HYPERLINK("https://bg3.wiki/wiki/Sylvan_Stone", "Sylvan Stone")</f>
        <v>Sylvan Stone</v>
      </c>
      <c r="B58" s="22" t="s">
        <v>11</v>
      </c>
      <c r="C58" s="23" t="s">
        <v>2240</v>
      </c>
      <c r="D58" s="24" t="str">
        <f t="shared" si="3"/>
        <v>Osi.TemplateAddTo("1524e46d-179d-4785-99ce-f515e1c52e32", GetHostCharacter(), 15, 1);</v>
      </c>
    </row>
    <row r="59">
      <c r="A59" s="21" t="str">
        <f>HYPERLINK("https://bg3.wiki/wiki/Timmask_Spores_(ingredient)", "Timmask Spores (ingredient)")</f>
        <v>Timmask Spores (ingredient)</v>
      </c>
      <c r="B59" s="22" t="s">
        <v>11</v>
      </c>
      <c r="C59" s="23" t="s">
        <v>2241</v>
      </c>
      <c r="D59" s="24" t="str">
        <f t="shared" si="3"/>
        <v>Osi.TemplateAddTo("8e2dd06c-c62f-4235-b0f8-f353c6b1ec9d", GetHostCharacter(), 15, 1);</v>
      </c>
    </row>
    <row r="60">
      <c r="A60" s="21" t="str">
        <f>HYPERLINK("https://bg3.wiki/wiki/Tongue_of_Madness", "Tongue of Madness")</f>
        <v>Tongue of Madness</v>
      </c>
      <c r="B60" s="22" t="s">
        <v>11</v>
      </c>
      <c r="C60" s="23" t="s">
        <v>2242</v>
      </c>
      <c r="D60" s="24" t="str">
        <f t="shared" si="3"/>
        <v>Osi.TemplateAddTo("714a8375-9eb4-438d-a191-f5b4b1e86cc3", GetHostCharacter(), 15, 1);</v>
      </c>
    </row>
    <row r="61">
      <c r="A61" s="21" t="str">
        <f>HYPERLINK("https://bg3.wiki/wiki/Unicorn_Horn", "Unicorn Horn")</f>
        <v>Unicorn Horn</v>
      </c>
      <c r="B61" s="22" t="s">
        <v>11</v>
      </c>
      <c r="C61" s="23" t="s">
        <v>2243</v>
      </c>
      <c r="D61" s="24" t="str">
        <f t="shared" si="3"/>
        <v>Osi.TemplateAddTo("62b7589c-3daf-4141-bbec-6c17b7f427d9", GetHostCharacter(), 15, 1);</v>
      </c>
    </row>
    <row r="62">
      <c r="A62" s="21" t="str">
        <f>HYPERLINK("https://bg3.wiki/wiki/Valerian_Flower", "Valerian Flower")</f>
        <v>Valerian Flower</v>
      </c>
      <c r="B62" s="22" t="s">
        <v>11</v>
      </c>
      <c r="C62" s="23" t="s">
        <v>2244</v>
      </c>
      <c r="D62" s="24" t="str">
        <f t="shared" si="3"/>
        <v>Osi.TemplateAddTo("cfdb70fc-7fc1-4f18-9317-79704886e4d9", GetHostCharacter(), 15, 1);</v>
      </c>
    </row>
    <row r="63">
      <c r="A63" s="21" t="str">
        <f>HYPERLINK("https://bg3.wiki/wiki/Venomous_Fang", "Venomous Fang")</f>
        <v>Venomous Fang</v>
      </c>
      <c r="B63" s="22" t="s">
        <v>11</v>
      </c>
      <c r="C63" s="23" t="s">
        <v>2245</v>
      </c>
      <c r="D63" s="24" t="str">
        <f t="shared" si="3"/>
        <v>Osi.TemplateAddTo("cc01a1b5-f43e-425d-9a7b-b929ed5faf53", GetHostCharacter(), 15, 1);</v>
      </c>
    </row>
    <row r="64">
      <c r="A64" s="21" t="str">
        <f>HYPERLINK("https://bg3.wiki/wiki/Viridian_Crystal", "Viridian Crystal")</f>
        <v>Viridian Crystal</v>
      </c>
      <c r="B64" s="22" t="s">
        <v>11</v>
      </c>
      <c r="C64" s="23" t="s">
        <v>2246</v>
      </c>
      <c r="D64" s="24" t="str">
        <f t="shared" si="3"/>
        <v>Osi.TemplateAddTo("8037a20b-a2bf-41c9-b509-bb6b455c778c", GetHostCharacter(), 15, 1);</v>
      </c>
    </row>
    <row r="65">
      <c r="A65" s="21" t="str">
        <f>HYPERLINK("https://bg3.wiki/wiki/Weavemoss", "Weavemoss")</f>
        <v>Weavemoss</v>
      </c>
      <c r="B65" s="22" t="s">
        <v>11</v>
      </c>
      <c r="C65" s="23" t="s">
        <v>2247</v>
      </c>
      <c r="D65" s="24" t="str">
        <f t="shared" si="3"/>
        <v>Osi.TemplateAddTo("0a64fa93-9123-4810-a656-2c8b27c87563", GetHostCharacter(), 15, 1);</v>
      </c>
    </row>
    <row r="66">
      <c r="A66" s="21" t="str">
        <f>HYPERLINK("https://bg3.wiki/wiki/Wispweed", "Wispweed")</f>
        <v>Wispweed</v>
      </c>
      <c r="B66" s="22" t="s">
        <v>11</v>
      </c>
      <c r="C66" s="23" t="s">
        <v>2248</v>
      </c>
      <c r="D66" s="24" t="str">
        <f t="shared" si="3"/>
        <v>Osi.TemplateAddTo("4faa8cef-27ee-4085-aa90-78fcf8e2e72d", GetHostCharacter(), 15, 1);</v>
      </c>
    </row>
    <row r="67">
      <c r="A67" s="21" t="str">
        <f>HYPERLINK("https://bg3.wiki/wiki/Wood_Bark", "Wood Bark")</f>
        <v>Wood Bark</v>
      </c>
      <c r="B67" s="22" t="s">
        <v>11</v>
      </c>
      <c r="C67" s="23" t="s">
        <v>2249</v>
      </c>
      <c r="D67" s="24" t="str">
        <f t="shared" si="3"/>
        <v>Osi.TemplateAddTo("2daaea29-7606-4f81-8d83-7285a2948bb1", GetHostCharacter(), 15, 1);</v>
      </c>
    </row>
    <row r="68">
      <c r="A68" s="21" t="str">
        <f>HYPERLINK("https://bg3.wiki/wiki/Worg_Fang", "Worg Fang")</f>
        <v>Worg Fang</v>
      </c>
      <c r="B68" s="22" t="s">
        <v>11</v>
      </c>
      <c r="C68" s="23" t="s">
        <v>2250</v>
      </c>
      <c r="D68" s="24" t="str">
        <f t="shared" si="3"/>
        <v>Osi.TemplateAddTo("247e7543-f8e6-477e-af66-550996e9131f", GetHostCharacter(), 15, 1);</v>
      </c>
    </row>
    <row r="69">
      <c r="A69" s="21" t="str">
        <f>HYPERLINK("https://bg3.wiki/wiki/Wyvern_Stinger", "Wyvern Stinger")</f>
        <v>Wyvern Stinger</v>
      </c>
      <c r="B69" s="22" t="s">
        <v>11</v>
      </c>
      <c r="C69" s="23" t="s">
        <v>2251</v>
      </c>
      <c r="D69" s="24" t="str">
        <f t="shared" si="3"/>
        <v>Osi.TemplateAddTo("a8231611-b876-4ef8-8166-12680f014349", GetHostCharacter(), 15, 1);</v>
      </c>
    </row>
    <row r="70">
      <c r="A70" s="21" t="str">
        <f>HYPERLINK("https://bg3.wiki/wiki/Xorn_Scales", "Xorn Scales")</f>
        <v>Xorn Scales</v>
      </c>
      <c r="B70" s="22" t="s">
        <v>11</v>
      </c>
      <c r="C70" s="23" t="s">
        <v>2252</v>
      </c>
      <c r="D70" s="24" t="str">
        <f t="shared" si="3"/>
        <v>Osi.TemplateAddTo("7a8e6286-82f8-47f8-a576-b91996542a39", GetHostCharacter(), 15, 1);</v>
      </c>
    </row>
    <row r="71">
      <c r="A71" s="38" t="str">
        <f>HYPERLINK("https://bg3.wiki/wiki/Yellow_Musk_Creeper_Petals", "Yellow Musk Creeper Petals")</f>
        <v>Yellow Musk Creeper Petals</v>
      </c>
      <c r="B71" s="39" t="s">
        <v>11</v>
      </c>
      <c r="C71" s="40" t="s">
        <v>2253</v>
      </c>
      <c r="D71" s="41" t="str">
        <f t="shared" si="3"/>
        <v>Osi.TemplateAddTo("87d2b517-1777-4bee-96be-f79ba52edfcc", GetHostCharacter(), 15, 1);</v>
      </c>
    </row>
    <row r="72">
      <c r="C72" s="42"/>
    </row>
    <row r="73">
      <c r="A73" s="55" t="s">
        <v>2254</v>
      </c>
      <c r="B73" s="22"/>
      <c r="C73" s="23"/>
      <c r="D73" s="22"/>
    </row>
    <row r="74">
      <c r="A74" s="34" t="s">
        <v>7</v>
      </c>
      <c r="B74" s="35" t="s">
        <v>8</v>
      </c>
      <c r="C74" s="35" t="s">
        <v>9</v>
      </c>
      <c r="D74" s="36" t="s">
        <v>10</v>
      </c>
    </row>
    <row r="75">
      <c r="A75" s="83" t="str">
        <f>HYPERLINK("https://bg3.wiki/wiki/Ashes_of_Balsam", "Ashes of Balsam")</f>
        <v>Ashes of Balsam</v>
      </c>
      <c r="B75" s="22" t="s">
        <v>11</v>
      </c>
      <c r="C75" s="23" t="s">
        <v>2255</v>
      </c>
      <c r="D75" s="24" t="str">
        <f t="shared" ref="D75:D138" si="4">"Osi.TemplateAddTo("""&amp; C75 &amp;""", GetHostCharacter(), 15, 1);"</f>
        <v>Osi.TemplateAddTo("a31d379e-b7fa-4d2b-bf16-80347e9f4a23", GetHostCharacter(), 15, 1);</v>
      </c>
    </row>
    <row r="76">
      <c r="A76" s="21" t="str">
        <f>HYPERLINK("https://bg3.wiki/wiki/Ashes_of_Daggerroot", "Ashes of Daggerroot")</f>
        <v>Ashes of Daggerroot</v>
      </c>
      <c r="B76" s="22" t="s">
        <v>11</v>
      </c>
      <c r="C76" s="23" t="s">
        <v>2256</v>
      </c>
      <c r="D76" s="24" t="str">
        <f t="shared" si="4"/>
        <v>Osi.TemplateAddTo("fc04bc03-be3e-4cdb-901a-f6d33a537967", GetHostCharacter(), 15, 1);</v>
      </c>
    </row>
    <row r="77">
      <c r="A77" s="21" t="str">
        <f>HYPERLINK("https://bg3.wiki/wiki/Ashes_of_Dragon_Egg_Mushroom", "Ashes of Dragon Egg Mushroom")</f>
        <v>Ashes of Dragon Egg Mushroom</v>
      </c>
      <c r="B77" s="22" t="s">
        <v>11</v>
      </c>
      <c r="C77" s="23" t="s">
        <v>2257</v>
      </c>
      <c r="D77" s="24" t="str">
        <f t="shared" si="4"/>
        <v>Osi.TemplateAddTo("ea7e0cc0-fe51-43b0-ba8b-4d955ec58941", GetHostCharacter(), 15, 1);</v>
      </c>
    </row>
    <row r="78">
      <c r="A78" s="21" t="str">
        <f>HYPERLINK("https://bg3.wiki/wiki/Ashes_of_Dried_Fey_Flower", "Ashes of Dried Fey Flower")</f>
        <v>Ashes of Dried Fey Flower</v>
      </c>
      <c r="B78" s="22" t="s">
        <v>11</v>
      </c>
      <c r="C78" s="23" t="s">
        <v>2258</v>
      </c>
      <c r="D78" s="24" t="str">
        <f t="shared" si="4"/>
        <v>Osi.TemplateAddTo("3b31efae-7361-4ccc-a9e3-bf8b82e9f36d", GetHostCharacter(), 15, 1);</v>
      </c>
    </row>
    <row r="79">
      <c r="A79" s="21" t="str">
        <f>HYPERLINK("https://bg3.wiki/wiki/Ashes_of_Fire_Amber", "Ashes of Fire Amber")</f>
        <v>Ashes of Fire Amber</v>
      </c>
      <c r="B79" s="22" t="s">
        <v>11</v>
      </c>
      <c r="C79" s="23" t="s">
        <v>2259</v>
      </c>
      <c r="D79" s="24" t="str">
        <f t="shared" si="4"/>
        <v>Osi.TemplateAddTo("290c1dbc-08e8-45dc-bfb0-f45dc5bb87e2", GetHostCharacter(), 15, 1);</v>
      </c>
    </row>
    <row r="80">
      <c r="A80" s="21" t="str">
        <f>HYPERLINK("https://bg3.wiki/wiki/Ashes_of_Hyena_Ear", "Ashes of Hyena Ear")</f>
        <v>Ashes of Hyena Ear</v>
      </c>
      <c r="B80" s="22" t="s">
        <v>11</v>
      </c>
      <c r="C80" s="23" t="s">
        <v>2260</v>
      </c>
      <c r="D80" s="24" t="str">
        <f t="shared" si="4"/>
        <v>Osi.TemplateAddTo("eb9ac491-ef6b-4163-9819-b91d11a7d6f2", GetHostCharacter(), 15, 1);</v>
      </c>
    </row>
    <row r="81">
      <c r="A81" s="21" t="str">
        <f>HYPERLINK("https://bg3.wiki/wiki/Ashes_of_Imp_Patagium", "Ashes of Imp Patagium")</f>
        <v>Ashes of Imp Patagium</v>
      </c>
      <c r="B81" s="22" t="s">
        <v>11</v>
      </c>
      <c r="C81" s="23" t="s">
        <v>2261</v>
      </c>
      <c r="D81" s="24" t="str">
        <f t="shared" si="4"/>
        <v>Osi.TemplateAddTo("3bb0fa56-00e5-4a22-b6d5-641d7fd811d3", GetHostCharacter(), 15, 1);</v>
      </c>
    </row>
    <row r="82">
      <c r="A82" s="21" t="str">
        <f>HYPERLINK("https://bg3.wiki/wiki/Ashes_of_Mephit_Magma", "Ashes of Mephit Magma")</f>
        <v>Ashes of Mephit Magma</v>
      </c>
      <c r="B82" s="22" t="s">
        <v>11</v>
      </c>
      <c r="C82" s="23" t="s">
        <v>2262</v>
      </c>
      <c r="D82" s="24" t="str">
        <f t="shared" si="4"/>
        <v>Osi.TemplateAddTo("e30f5da5-3195-4105-84de-4054f48e2ec2", GetHostCharacter(), 15, 1);</v>
      </c>
    </row>
    <row r="83">
      <c r="A83" s="21" t="str">
        <f>HYPERLINK("https://bg3.wiki/wiki/Ashes_of_Worg_Fang", "Ashes of Worg Fang")</f>
        <v>Ashes of Worg Fang</v>
      </c>
      <c r="B83" s="22" t="s">
        <v>11</v>
      </c>
      <c r="C83" s="23" t="s">
        <v>2263</v>
      </c>
      <c r="D83" s="24" t="str">
        <f t="shared" si="4"/>
        <v>Osi.TemplateAddTo("314a234e-549d-41c0-992a-5a3765215eec", GetHostCharacter(), 15, 1);</v>
      </c>
    </row>
    <row r="84">
      <c r="A84" s="21" t="str">
        <f>HYPERLINK("https://bg3.wiki/wiki/Ashes_of_Wyvern_Stinger", "Ashes of Wyvern Stinger")</f>
        <v>Ashes of Wyvern Stinger</v>
      </c>
      <c r="B84" s="22" t="s">
        <v>11</v>
      </c>
      <c r="C84" s="23" t="s">
        <v>2264</v>
      </c>
      <c r="D84" s="24" t="str">
        <f t="shared" si="4"/>
        <v>Osi.TemplateAddTo("13aa0c56-538e-4a7c-a4d1-115e2704a274", GetHostCharacter(), 15, 1);</v>
      </c>
    </row>
    <row r="85">
      <c r="A85" s="21" t="str">
        <f>HYPERLINK("https://bg3.wiki/wiki/Essence_of_Acorn_Truffle", "Essence of Acorn Truffle")</f>
        <v>Essence of Acorn Truffle</v>
      </c>
      <c r="B85" s="22" t="s">
        <v>11</v>
      </c>
      <c r="C85" s="23" t="s">
        <v>2265</v>
      </c>
      <c r="D85" s="24" t="str">
        <f t="shared" si="4"/>
        <v>Osi.TemplateAddTo("69e2d2d1-3617-4f8b-8c40-3eb0ad71f521", GetHostCharacter(), 15, 1);</v>
      </c>
    </row>
    <row r="86">
      <c r="A86" s="21" t="str">
        <f>HYPERLINK("https://bg3.wiki/wiki/Essence_of_Beholder_Eye", "Essence of Beholder Eye")</f>
        <v>Essence of Beholder Eye</v>
      </c>
      <c r="B86" s="22" t="s">
        <v>11</v>
      </c>
      <c r="C86" s="23" t="s">
        <v>2266</v>
      </c>
      <c r="D86" s="24" t="str">
        <f t="shared" si="4"/>
        <v>Osi.TemplateAddTo("a9ef5d89-a2e0-49b4-b9ab-8a3b75e85a45", GetHostCharacter(), 15, 1);</v>
      </c>
    </row>
    <row r="87">
      <c r="A87" s="21" t="str">
        <f>HYPERLINK("https://bg3.wiki/wiki/Essence_of_Crystalline_Lens", "Essence of Crystalline Lens")</f>
        <v>Essence of Crystalline Lens</v>
      </c>
      <c r="B87" s="22" t="s">
        <v>11</v>
      </c>
      <c r="C87" s="23" t="s">
        <v>2267</v>
      </c>
      <c r="D87" s="24" t="str">
        <f t="shared" si="4"/>
        <v>Osi.TemplateAddTo("8994ae94-f6a4-479f-9dbd-75b6913a3a0e", GetHostCharacter(), 15, 1);</v>
      </c>
    </row>
    <row r="88">
      <c r="A88" s="21" t="str">
        <f>HYPERLINK("https://bg3.wiki/wiki/Essence_of_Gremishka_Tail", "Essence of Gremishka Tail")</f>
        <v>Essence of Gremishka Tail</v>
      </c>
      <c r="B88" s="22" t="s">
        <v>11</v>
      </c>
      <c r="C88" s="23" t="s">
        <v>2268</v>
      </c>
      <c r="D88" s="24" t="str">
        <f t="shared" si="4"/>
        <v>Osi.TemplateAddTo("75f47914-f32c-4845-876d-e152ddfc3014", GetHostCharacter(), 15, 1);</v>
      </c>
    </row>
    <row r="89">
      <c r="A89" s="21" t="str">
        <f>HYPERLINK("https://bg3.wiki/wiki/Essence_of_Nightlight", "Essence of Nightlight")</f>
        <v>Essence of Nightlight</v>
      </c>
      <c r="B89" s="22" t="s">
        <v>11</v>
      </c>
      <c r="C89" s="23" t="s">
        <v>2269</v>
      </c>
      <c r="D89" s="24" t="str">
        <f t="shared" si="4"/>
        <v>Osi.TemplateAddTo("83b2f9b8-9f69-41c3-a2b8-d3b34fea9f33", GetHostCharacter(), 15, 1);</v>
      </c>
    </row>
    <row r="90">
      <c r="A90" s="21" t="str">
        <f>HYPERLINK("https://bg3.wiki/wiki/Essence_of_Planetar_Feather", "Essence of Planetar Feather")</f>
        <v>Essence of Planetar Feather</v>
      </c>
      <c r="B90" s="22" t="s">
        <v>11</v>
      </c>
      <c r="C90" s="23" t="s">
        <v>2270</v>
      </c>
      <c r="D90" s="24" t="str">
        <f t="shared" si="4"/>
        <v>Osi.TemplateAddTo("36e1bfca-e983-458c-8eb7-597af32f7644", GetHostCharacter(), 15, 1);</v>
      </c>
    </row>
    <row r="91">
      <c r="A91" s="21" t="str">
        <f>HYPERLINK("https://bg3.wiki/wiki/Essence_of_Swarming_Toadstool", "Essence of Swarming Toadstool")</f>
        <v>Essence of Swarming Toadstool</v>
      </c>
      <c r="B91" s="22" t="s">
        <v>11</v>
      </c>
      <c r="C91" s="23" t="s">
        <v>2271</v>
      </c>
      <c r="D91" s="24" t="str">
        <f t="shared" si="4"/>
        <v>Osi.TemplateAddTo("8f392687-af6e-491d-891f-0c3e6627a7c5", GetHostCharacter(), 15, 1);</v>
      </c>
    </row>
    <row r="92">
      <c r="A92" s="21" t="str">
        <f>HYPERLINK("https://bg3.wiki/wiki/Essence_of_Sylvan_Stone", "Essence of Sylvan Stone")</f>
        <v>Essence of Sylvan Stone</v>
      </c>
      <c r="B92" s="22" t="s">
        <v>11</v>
      </c>
      <c r="C92" s="23" t="s">
        <v>2272</v>
      </c>
      <c r="D92" s="24" t="str">
        <f t="shared" si="4"/>
        <v>Osi.TemplateAddTo("c335c7b7-7495-48ec-b1cb-b2218e1dc6f3", GetHostCharacter(), 15, 1);</v>
      </c>
    </row>
    <row r="93">
      <c r="A93" s="21" t="str">
        <f>HYPERLINK("https://bg3.wiki/wiki/Essence_of_Timmask_Spores", "Essence of Timmask Spores")</f>
        <v>Essence of Timmask Spores</v>
      </c>
      <c r="B93" s="22" t="s">
        <v>11</v>
      </c>
      <c r="C93" s="23" t="s">
        <v>2273</v>
      </c>
      <c r="D93" s="24" t="str">
        <f t="shared" si="4"/>
        <v>Osi.TemplateAddTo("ebad980-402d-4178-84dd-e41bb10155ce", GetHostCharacter(), 15, 1);</v>
      </c>
    </row>
    <row r="94">
      <c r="A94" s="21" t="str">
        <f>HYPERLINK("https://bg3.wiki/wiki/Essence_of_Unicorn_Horn", "Essence of Unicorn Horn")</f>
        <v>Essence of Unicorn Horn</v>
      </c>
      <c r="B94" s="22" t="s">
        <v>11</v>
      </c>
      <c r="C94" s="23" t="s">
        <v>2274</v>
      </c>
      <c r="D94" s="24" t="str">
        <f t="shared" si="4"/>
        <v>Osi.TemplateAddTo("cecf2e17-8922-45b7-8841-f49415b9a688", GetHostCharacter(), 15, 1);</v>
      </c>
    </row>
    <row r="95">
      <c r="A95" s="21" t="str">
        <f>HYPERLINK("https://bg3.wiki/wiki/Salts_of_Carrion_Crawler_Tentacle", "Salts of Carrion Crawler Tentacle")</f>
        <v>Salts of Carrion Crawler Tentacle</v>
      </c>
      <c r="B95" s="22" t="s">
        <v>11</v>
      </c>
      <c r="C95" s="23" t="s">
        <v>2275</v>
      </c>
      <c r="D95" s="24" t="str">
        <f t="shared" si="4"/>
        <v>Osi.TemplateAddTo("6f7be25a-a0eb-4b98-81e6-56f35c25b2c1", GetHostCharacter(), 15, 1);</v>
      </c>
    </row>
    <row r="96">
      <c r="A96" s="21" t="str">
        <f>HYPERLINK("https://bg3.wiki/wiki/Salts_of_Chasm_Creeper", "Salts of Chasm Creeper")</f>
        <v>Salts of Chasm Creeper</v>
      </c>
      <c r="B96" s="22" t="s">
        <v>11</v>
      </c>
      <c r="C96" s="23" t="s">
        <v>2276</v>
      </c>
      <c r="D96" s="24" t="str">
        <f t="shared" si="4"/>
        <v>Osi.TemplateAddTo("8fc068d8-7a56-42a6-8a48-91f0b9fbf303", GetHostCharacter(), 15, 1);</v>
      </c>
    </row>
    <row r="97">
      <c r="A97" s="21" t="str">
        <f>HYPERLINK("https://bg3.wiki/wiki/Salts_of_Cloud_Giant_Fingernails", "Salts of Cloud Giant Fingernails")</f>
        <v>Salts of Cloud Giant Fingernails</v>
      </c>
      <c r="B97" s="22" t="s">
        <v>11</v>
      </c>
      <c r="C97" s="23" t="s">
        <v>2277</v>
      </c>
      <c r="D97" s="24" t="str">
        <f t="shared" si="4"/>
        <v>Osi.TemplateAddTo("9047c28f-7eee-4268-94e0-9144a4864175", GetHostCharacter(), 15, 1);</v>
      </c>
    </row>
    <row r="98">
      <c r="A98" s="21" t="str">
        <f>HYPERLINK("https://bg3.wiki/wiki/Salts_of_Copper_Shavings", "Salts of Copper Shavings")</f>
        <v>Salts of Copper Shavings</v>
      </c>
      <c r="B98" s="22" t="s">
        <v>11</v>
      </c>
      <c r="C98" s="23" t="s">
        <v>2278</v>
      </c>
      <c r="D98" s="24" t="str">
        <f t="shared" si="4"/>
        <v>Osi.TemplateAddTo("ea8bc956-7834-4618-af70-0ea0c8f9ea37", GetHostCharacter(), 15, 1);</v>
      </c>
    </row>
    <row r="99">
      <c r="A99" s="21" t="str">
        <f>HYPERLINK("https://bg3.wiki/wiki/Salts_of_Corpse_Rose", "Salts of Corpse Rose")</f>
        <v>Salts of Corpse Rose</v>
      </c>
      <c r="B99" s="22" t="s">
        <v>11</v>
      </c>
      <c r="C99" s="23" t="s">
        <v>2279</v>
      </c>
      <c r="D99" s="24" t="str">
        <f t="shared" si="4"/>
        <v>Osi.TemplateAddTo("a2f0c692-183f-42dd-8ee5-545f18820a7e", GetHostCharacter(), 15, 1);</v>
      </c>
    </row>
    <row r="100">
      <c r="A100" s="21" t="str">
        <f>HYPERLINK("https://bg3.wiki/wiki/Salts_of_Hill_Giant_Fingernails", "Salts of Hill Giant Fingernails")</f>
        <v>Salts of Hill Giant Fingernails</v>
      </c>
      <c r="B100" s="22" t="s">
        <v>11</v>
      </c>
      <c r="C100" s="23" t="s">
        <v>2280</v>
      </c>
      <c r="D100" s="24" t="str">
        <f t="shared" si="4"/>
        <v>Osi.TemplateAddTo("a1e2a4f8-7af0-4379-a2c2-f0ab5ee84b05", GetHostCharacter(), 15, 1);</v>
      </c>
    </row>
    <row r="101">
      <c r="A101" s="21" t="str">
        <f>HYPERLINK("https://bg3.wiki/wiki/Salts_of_Mugwort", "Salts of Mugwort")</f>
        <v>Salts of Mugwort</v>
      </c>
      <c r="B101" s="22" t="s">
        <v>11</v>
      </c>
      <c r="C101" s="23" t="s">
        <v>2281</v>
      </c>
      <c r="D101" s="24" t="str">
        <f t="shared" si="4"/>
        <v>Osi.TemplateAddTo("b707f039-af1d-456d-a606-1604f1d776c1", GetHostCharacter(), 15, 1);</v>
      </c>
    </row>
    <row r="102">
      <c r="A102" s="21" t="str">
        <f>HYPERLINK("https://bg3.wiki/wiki/Salts_of_Musk_Creeper", "Salts of Musk Creeper")</f>
        <v>Salts of Musk Creeper</v>
      </c>
      <c r="B102" s="22" t="s">
        <v>11</v>
      </c>
      <c r="C102" s="23" t="s">
        <v>2282</v>
      </c>
      <c r="D102" s="24" t="str">
        <f t="shared" si="4"/>
        <v>Osi.TemplateAddTo("fdf1889d-ae81-43a9-8848-74c6edea2b37", GetHostCharacter(), 15, 1);</v>
      </c>
    </row>
    <row r="103">
      <c r="A103" s="21" t="str">
        <f>HYPERLINK("https://bg3.wiki/wiki/Salts_of_Rogue%27s_Morsel", "Salts of Rogue's Morsel")</f>
        <v>Salts of Rogue's Morsel</v>
      </c>
      <c r="B103" s="22" t="s">
        <v>11</v>
      </c>
      <c r="C103" s="23" t="s">
        <v>2283</v>
      </c>
      <c r="D103" s="24" t="str">
        <f t="shared" si="4"/>
        <v>Osi.TemplateAddTo("d85f7014-8063-4eaa-a904-f51cbf59cff6", GetHostCharacter(), 15, 1);</v>
      </c>
    </row>
    <row r="104">
      <c r="A104" s="21" t="str">
        <f>HYPERLINK("https://bg3.wiki/wiki/Salts_of_Tree_Bark", "Salts of Tree Bark")</f>
        <v>Salts of Tree Bark</v>
      </c>
      <c r="B104" s="22" t="s">
        <v>11</v>
      </c>
      <c r="C104" s="23" t="s">
        <v>2284</v>
      </c>
      <c r="D104" s="24" t="str">
        <f t="shared" si="4"/>
        <v>Osi.TemplateAddTo("19d0c788-596c-4893-ac4a-bd609ed69753", GetHostCharacter(), 15, 1);</v>
      </c>
    </row>
    <row r="105">
      <c r="A105" s="21" t="str">
        <f>HYPERLINK("https://bg3.wiki/wiki/Salts_of_Viridian_Crystal", "Salts of Viridian Crystal")</f>
        <v>Salts of Viridian Crystal</v>
      </c>
      <c r="B105" s="22" t="s">
        <v>11</v>
      </c>
      <c r="C105" s="23" t="s">
        <v>2285</v>
      </c>
      <c r="D105" s="24" t="str">
        <f t="shared" si="4"/>
        <v>Osi.TemplateAddTo("79eba88f-c3a8-481a-84e3-304354b6725c", GetHostCharacter(), 15, 1);</v>
      </c>
    </row>
    <row r="106">
      <c r="A106" s="21" t="str">
        <f>HYPERLINK("https://bg3.wiki/wiki/Salts_of_Xorn_Scales", "Salts of Xorn Scales")</f>
        <v>Salts of Xorn Scales</v>
      </c>
      <c r="B106" s="22" t="s">
        <v>11</v>
      </c>
      <c r="C106" s="23" t="s">
        <v>2286</v>
      </c>
      <c r="D106" s="24" t="str">
        <f t="shared" si="4"/>
        <v>Osi.TemplateAddTo("36e2ac7a-5799-4949-8cc6-0d9ea1818dbe", GetHostCharacter(), 15, 1);</v>
      </c>
    </row>
    <row r="107">
      <c r="A107" s="21" t="str">
        <f>HYPERLINK("https://bg3.wiki/wiki/Solution_of_Night_Orchid", "Solution of Night Orchid")</f>
        <v>Solution of Night Orchid</v>
      </c>
      <c r="B107" s="22" t="s">
        <v>11</v>
      </c>
      <c r="C107" s="23" t="s">
        <v>2287</v>
      </c>
      <c r="D107" s="24" t="str">
        <f t="shared" si="4"/>
        <v>Osi.TemplateAddTo("4416dcc3-c469-4e59-90db-ba9a3ac05846", GetHostCharacter(), 15, 1);</v>
      </c>
    </row>
    <row r="108">
      <c r="A108" s="21" t="str">
        <f>HYPERLINK("https://bg3.wiki/wiki/Sublimate_of_Autumn_Crocus", "Sublimate of Autumn Crocus")</f>
        <v>Sublimate of Autumn Crocus</v>
      </c>
      <c r="B108" s="22" t="s">
        <v>11</v>
      </c>
      <c r="C108" s="23" t="s">
        <v>2288</v>
      </c>
      <c r="D108" s="24" t="str">
        <f t="shared" si="4"/>
        <v>Osi.TemplateAddTo("9a35caa4-86f4-4542-b46d-9550e815618d", GetHostCharacter(), 15, 1);</v>
      </c>
    </row>
    <row r="109">
      <c r="A109" s="21" t="str">
        <f>HYPERLINK("https://bg3.wiki/wiki/Sublimate_of_Behir_Scales", "Sublimate of Behir Scales")</f>
        <v>Sublimate of Behir Scales</v>
      </c>
      <c r="B109" s="22" t="s">
        <v>11</v>
      </c>
      <c r="C109" s="23" t="s">
        <v>2289</v>
      </c>
      <c r="D109" s="24" t="str">
        <f t="shared" si="4"/>
        <v>Osi.TemplateAddTo("f3f194fc-7a13-4e01-89fd-cf1cafb17297", GetHostCharacter(), 15, 1);</v>
      </c>
    </row>
    <row r="110">
      <c r="A110" s="21" t="str">
        <f>HYPERLINK("https://bg3.wiki/wiki/Sublimate_of_Belladonna", "Sublimate of Belladonna")</f>
        <v>Sublimate of Belladonna</v>
      </c>
      <c r="B110" s="22" t="s">
        <v>11</v>
      </c>
      <c r="C110" s="23" t="s">
        <v>2290</v>
      </c>
      <c r="D110" s="24" t="str">
        <f t="shared" si="4"/>
        <v>Osi.TemplateAddTo("ec632c57-bc8a-4f01-940b-b985adc58336", GetHostCharacter(), 15, 1);</v>
      </c>
    </row>
    <row r="111">
      <c r="A111" s="21" t="str">
        <f>HYPERLINK("https://bg3.wiki/wiki/Sublimate_of_Bloodstained_Hook", "Sublimate of Bloodstained Hook")</f>
        <v>Sublimate of Bloodstained Hook</v>
      </c>
      <c r="B111" s="22" t="s">
        <v>11</v>
      </c>
      <c r="C111" s="23" t="s">
        <v>2291</v>
      </c>
      <c r="D111" s="24" t="str">
        <f t="shared" si="4"/>
        <v>Osi.TemplateAddTo("c5e1a9c9-a691-494b-ae3d-d290198b3f6d", GetHostCharacter(), 15, 1);</v>
      </c>
    </row>
    <row r="112">
      <c r="A112" s="21" t="str">
        <f>HYPERLINK("https://bg3.wiki/wiki/Sublimate_of_Eagle_Feathers", "Sublimate of Eagle Feathers")</f>
        <v>Sublimate of Eagle Feathers</v>
      </c>
      <c r="B112" s="22" t="s">
        <v>11</v>
      </c>
      <c r="C112" s="23" t="s">
        <v>2292</v>
      </c>
      <c r="D112" s="24" t="str">
        <f t="shared" si="4"/>
        <v>Osi.TemplateAddTo("8d1080b3-e1d8-4c71-9dfb-459c4600fef5", GetHostCharacter(), 15, 1);</v>
      </c>
    </row>
    <row r="113">
      <c r="A113" s="21" t="str">
        <f>HYPERLINK("https://bg3.wiki/wiki/Sublimate_of_Frosted_Ears", "Sublimate of Frosted Ears")</f>
        <v>Sublimate of Frosted Ears</v>
      </c>
      <c r="B113" s="22" t="s">
        <v>11</v>
      </c>
      <c r="C113" s="23" t="s">
        <v>2293</v>
      </c>
      <c r="D113" s="24" t="str">
        <f t="shared" si="4"/>
        <v>Osi.TemplateAddTo("e922193d-916c-4f70-9ec6-15e29e6f5314", GetHostCharacter(), 15, 1);</v>
      </c>
    </row>
    <row r="114">
      <c r="A114" s="21" t="str">
        <f>HYPERLINK("https://bg3.wiki/wiki/Sublimate_of_Haste_Spores", "Sublimate of Haste Spores")</f>
        <v>Sublimate of Haste Spores</v>
      </c>
      <c r="B114" s="22" t="s">
        <v>11</v>
      </c>
      <c r="C114" s="23" t="s">
        <v>2294</v>
      </c>
      <c r="D114" s="24" t="str">
        <f t="shared" si="4"/>
        <v>Osi.TemplateAddTo("824f8096-3bcd-4c2e-aff7-3aa07c396ae1", GetHostCharacter(), 15, 1);</v>
      </c>
    </row>
    <row r="115">
      <c r="A115" s="21" t="str">
        <f>HYPERLINK("https://bg3.wiki/wiki/Sublimate_of_Ki-Rin_Hair", "Sublimate of Ki-Rin Hair")</f>
        <v>Sublimate of Ki-Rin Hair</v>
      </c>
      <c r="B115" s="22" t="s">
        <v>11</v>
      </c>
      <c r="C115" s="23" t="s">
        <v>2295</v>
      </c>
      <c r="D115" s="24" t="str">
        <f t="shared" si="4"/>
        <v>Osi.TemplateAddTo("4ee2434e-ca76-4e96-926b-49f7a20004c3", GetHostCharacter(), 15, 1);</v>
      </c>
    </row>
    <row r="116">
      <c r="A116" s="21" t="str">
        <f>HYPERLINK("https://bg3.wiki/wiki/Sublimate_of_Pegasus_Feathers", "Sublimate of Pegasus Feathers")</f>
        <v>Sublimate of Pegasus Feathers</v>
      </c>
      <c r="B116" s="22" t="s">
        <v>11</v>
      </c>
      <c r="C116" s="23" t="s">
        <v>2296</v>
      </c>
      <c r="D116" s="24" t="str">
        <f t="shared" si="4"/>
        <v>Osi.TemplateAddTo("a85d14c0-7144-49bd-8664-b24ba4ef0fff", GetHostCharacter(), 15, 1);</v>
      </c>
    </row>
    <row r="117">
      <c r="A117" s="21" t="str">
        <f>HYPERLINK("https://bg3.wiki/wiki/Sublimate_of_Poison_Spores", "Sublimate of Poison Spores")</f>
        <v>Sublimate of Poison Spores</v>
      </c>
      <c r="B117" s="22" t="s">
        <v>11</v>
      </c>
      <c r="C117" s="23" t="s">
        <v>2297</v>
      </c>
      <c r="D117" s="24" t="str">
        <f t="shared" si="4"/>
        <v>Osi.TemplateAddTo("921111eb-7ae5-466f-b9ff-4ad66ffcc2d6", GetHostCharacter(), 15, 1);</v>
      </c>
    </row>
    <row r="118">
      <c r="A118" s="21" t="str">
        <f>HYPERLINK("https://bg3.wiki/wiki/Sublimate_of_Tongue_of_Madness", "Sublimate of Tongue of Madness")</f>
        <v>Sublimate of Tongue of Madness</v>
      </c>
      <c r="B118" s="22" t="s">
        <v>11</v>
      </c>
      <c r="C118" s="23" t="s">
        <v>2298</v>
      </c>
      <c r="D118" s="24" t="str">
        <f t="shared" si="4"/>
        <v>Osi.TemplateAddTo("50b5475a-7f63-45d5-8158-6cdc8c6de31c", GetHostCharacter(), 15, 1);</v>
      </c>
    </row>
    <row r="119">
      <c r="A119" s="21" t="str">
        <f>HYPERLINK("https://bg3.wiki/wiki/Sublimate_of_Wispweed", "Sublimate of Wispweed")</f>
        <v>Sublimate of Wispweed</v>
      </c>
      <c r="B119" s="22" t="s">
        <v>11</v>
      </c>
      <c r="C119" s="23" t="s">
        <v>2299</v>
      </c>
      <c r="D119" s="24" t="str">
        <f t="shared" si="4"/>
        <v>Osi.TemplateAddTo("95356040-914c-4efa-8e5c-6555ce56db50", GetHostCharacter(), 15, 1);</v>
      </c>
    </row>
    <row r="120">
      <c r="A120" s="21" t="str">
        <f>HYPERLINK("https://bg3.wiki/wiki/Suspension_of_Bullywug_Trumpet", "Suspension of Bullywug Trumpet")</f>
        <v>Suspension of Bullywug Trumpet</v>
      </c>
      <c r="B120" s="22" t="s">
        <v>11</v>
      </c>
      <c r="C120" s="23" t="s">
        <v>2300</v>
      </c>
      <c r="D120" s="24" t="str">
        <f t="shared" si="4"/>
        <v>Osi.TemplateAddTo("c838bd3d-9943-44dc-8903-35d30ae6e385", GetHostCharacter(), 15, 1);</v>
      </c>
    </row>
    <row r="121">
      <c r="A121" s="21" t="str">
        <f>HYPERLINK("https://bg3.wiki/wiki/Suspension_of_Cerebrospinal_Fluid", "Suspension of Cerebrospinal Fluid")</f>
        <v>Suspension of Cerebrospinal Fluid</v>
      </c>
      <c r="B121" s="22" t="s">
        <v>11</v>
      </c>
      <c r="C121" s="23" t="s">
        <v>2301</v>
      </c>
      <c r="D121" s="24" t="str">
        <f t="shared" si="4"/>
        <v>Osi.TemplateAddTo("10db3d0b-b798-471f-81b6-58395adff3fa", GetHostCharacter(), 15, 1);</v>
      </c>
    </row>
    <row r="122">
      <c r="A122" s="21" t="str">
        <f>HYPERLINK("https://bg3.wiki/wiki/Suspension_of_Frost_Salamander_Tongue", "Suspension of Frost Salamander Tongue")</f>
        <v>Suspension of Frost Salamander Tongue</v>
      </c>
      <c r="B122" s="22" t="s">
        <v>11</v>
      </c>
      <c r="C122" s="23" t="s">
        <v>2302</v>
      </c>
      <c r="D122" s="24" t="str">
        <f t="shared" si="4"/>
        <v>Osi.TemplateAddTo("b00e1d1b-4421-4711-8de3-6ef15d0117b5", GetHostCharacter(), 15, 1);</v>
      </c>
    </row>
    <row r="123">
      <c r="A123" s="21" t="str">
        <f>HYPERLINK("https://bg3.wiki/wiki/Suspension_of_Gauth_Eye", "Suspension of Gauth Eye")</f>
        <v>Suspension of Gauth Eye</v>
      </c>
      <c r="B123" s="22" t="s">
        <v>11</v>
      </c>
      <c r="C123" s="23" t="s">
        <v>2303</v>
      </c>
      <c r="D123" s="24" t="str">
        <f t="shared" si="4"/>
        <v>Osi.TemplateAddTo("5f98a738-6249-418f-b50a-e478477962a0", GetHostCharacter(), 15, 1);</v>
      </c>
    </row>
    <row r="124">
      <c r="A124" s="21" t="str">
        <f>HYPERLINK("https://bg3.wiki/wiki/Suspension_of_Laculite", "Suspension of Laculite")</f>
        <v>Suspension of Laculite</v>
      </c>
      <c r="B124" s="22" t="s">
        <v>11</v>
      </c>
      <c r="C124" s="23" t="s">
        <v>2304</v>
      </c>
      <c r="D124" s="24" t="str">
        <f t="shared" si="4"/>
        <v>Osi.TemplateAddTo("bde5ba94-db83-4855-adcb-ba585416d37f", GetHostCharacter(), 15, 1);</v>
      </c>
    </row>
    <row r="125">
      <c r="A125" s="21" t="str">
        <f>HYPERLINK("https://bg3.wiki/wiki/Suspension_of_Mergrass", "Suspension of Mergrass")</f>
        <v>Suspension of Mergrass</v>
      </c>
      <c r="B125" s="22" t="s">
        <v>11</v>
      </c>
      <c r="C125" s="23" t="s">
        <v>2305</v>
      </c>
      <c r="D125" s="24" t="str">
        <f t="shared" si="4"/>
        <v>Osi.TemplateAddTo("d08620da-0fa0-413a-88e7-631f901c568e", GetHostCharacter(), 15, 1);</v>
      </c>
    </row>
    <row r="126">
      <c r="A126" s="21" t="str">
        <f>HYPERLINK("https://bg3.wiki/wiki/Suspension_of_Muddy_Goo", "Suspension of Muddy Goo")</f>
        <v>Suspension of Muddy Goo</v>
      </c>
      <c r="B126" s="22" t="s">
        <v>11</v>
      </c>
      <c r="C126" s="23" t="s">
        <v>2306</v>
      </c>
      <c r="D126" s="24" t="str">
        <f t="shared" si="4"/>
        <v>Osi.TemplateAddTo("081204a7-83e3-4d8d-8609-cb70008d8736", GetHostCharacter(), 15, 1);</v>
      </c>
    </row>
    <row r="127">
      <c r="A127" s="21" t="str">
        <f>HYPERLINK("https://bg3.wiki/wiki/Suspension_of_Nothic_Eye", "Suspension of Nothic Eye")</f>
        <v>Suspension of Nothic Eye</v>
      </c>
      <c r="B127" s="22" t="s">
        <v>11</v>
      </c>
      <c r="C127" s="23" t="s">
        <v>2307</v>
      </c>
      <c r="D127" s="24" t="str">
        <f t="shared" si="4"/>
        <v>Osi.TemplateAddTo("b2730900-61b4-4ffe-9fbe-c77f128d7f17", GetHostCharacter(), 15, 1);</v>
      </c>
    </row>
    <row r="128">
      <c r="A128" s="21" t="str">
        <f>HYPERLINK("https://bg3.wiki/wiki/Suspension_of_Ochre_Jelly", "Suspension of Ochre Jelly")</f>
        <v>Suspension of Ochre Jelly</v>
      </c>
      <c r="B128" s="22" t="s">
        <v>11</v>
      </c>
      <c r="C128" s="23" t="s">
        <v>2308</v>
      </c>
      <c r="D128" s="24" t="str">
        <f t="shared" si="4"/>
        <v>Osi.TemplateAddTo("d0886ef5-a9a3-4e2a-af6c-753f757dce6a", GetHostCharacter(), 15, 1);</v>
      </c>
    </row>
    <row r="129">
      <c r="A129" s="21" t="str">
        <f>HYPERLINK("https://bg3.wiki/wiki/Suspension_of_Purple_Worm_Slime", "Suspension of Purple Worm Slime")</f>
        <v>Suspension of Purple Worm Slime</v>
      </c>
      <c r="B129" s="22" t="s">
        <v>11</v>
      </c>
      <c r="C129" s="23" t="s">
        <v>2309</v>
      </c>
      <c r="D129" s="24" t="str">
        <f t="shared" si="4"/>
        <v>Osi.TemplateAddTo("73b78376-2690-4f14-bc68-e1f52a9004b1", GetHostCharacter(), 15, 1);</v>
      </c>
    </row>
    <row r="130">
      <c r="A130" s="21" t="str">
        <f>HYPERLINK("https://bg3.wiki/wiki/Suspension_of_Snake_Venom", "Suspension of Snake Venom")</f>
        <v>Suspension of Snake Venom</v>
      </c>
      <c r="B130" s="22" t="s">
        <v>11</v>
      </c>
      <c r="C130" s="23" t="s">
        <v>2310</v>
      </c>
      <c r="D130" s="24" t="str">
        <f t="shared" si="4"/>
        <v>Osi.TemplateAddTo("09bf68c6-db55-4405-b6dd-ba2d9a38e1ca"", GetHostCharacter(), 15, 1);</v>
      </c>
    </row>
    <row r="131">
      <c r="A131" s="21" t="str">
        <f>HYPERLINK("https://bg3.wiki/wiki/Suspension_of_Spider_Silk", "Suspension of Spider Silk")</f>
        <v>Suspension of Spider Silk</v>
      </c>
      <c r="B131" s="22" t="s">
        <v>11</v>
      </c>
      <c r="C131" s="23" t="s">
        <v>2311</v>
      </c>
      <c r="D131" s="24" t="str">
        <f t="shared" si="4"/>
        <v>Osi.TemplateAddTo("1d4227ab-0f38-48fe-bee0-e15b0118fc55", GetHostCharacter(), 15, 1);</v>
      </c>
    </row>
    <row r="132">
      <c r="A132" s="21" t="str">
        <f>HYPERLINK("https://bg3.wiki/wiki/Vitriol_of_Bonecap", "Vitriol of Bonecap")</f>
        <v>Vitriol of Bonecap</v>
      </c>
      <c r="B132" s="22" t="s">
        <v>11</v>
      </c>
      <c r="C132" s="23" t="s">
        <v>2312</v>
      </c>
      <c r="D132" s="24" t="str">
        <f t="shared" si="4"/>
        <v>Osi.TemplateAddTo("a9023a22-3d82-414a-aefc-e29fc5ca9f67", GetHostCharacter(), 15, 1);</v>
      </c>
    </row>
    <row r="133">
      <c r="A133" s="21" t="str">
        <f>HYPERLINK("https://bg3.wiki/wiki/Vitriol_of_Divine_Miasma", "Vitriol of Divine Miasma")</f>
        <v>Vitriol of Divine Miasma</v>
      </c>
      <c r="B133" s="22" t="s">
        <v>11</v>
      </c>
      <c r="C133" s="23" t="s">
        <v>2313</v>
      </c>
      <c r="D133" s="24" t="str">
        <f t="shared" si="4"/>
        <v>Osi.TemplateAddTo("b651dd4e-121f-4cb1-9bb0-975e07ab7df1", GetHostCharacter(), 15, 1);</v>
      </c>
    </row>
    <row r="134">
      <c r="A134" s="21" t="str">
        <f>HYPERLINK("https://bg3.wiki/wiki/Vitriol_of_Lolth%27s_Candle", "Vitriol of Lolth's Candle")</f>
        <v>Vitriol of Lolth's Candle</v>
      </c>
      <c r="B134" s="22" t="s">
        <v>11</v>
      </c>
      <c r="C134" s="23" t="s">
        <v>2314</v>
      </c>
      <c r="D134" s="24" t="str">
        <f t="shared" si="4"/>
        <v>Osi.TemplateAddTo("b342d1bf-2c36-40e4-bd29-1d5b7fb25c5a", GetHostCharacter(), 15, 1);</v>
      </c>
    </row>
    <row r="135">
      <c r="A135" s="21" t="str">
        <f>HYPERLINK("https://bg3.wiki/wiki/Vitriol_of_Oleander", "Vitriol of Oleander")</f>
        <v>Vitriol of Oleander</v>
      </c>
      <c r="B135" s="22" t="s">
        <v>11</v>
      </c>
      <c r="C135" s="23" t="s">
        <v>2315</v>
      </c>
      <c r="D135" s="24" t="str">
        <f t="shared" si="4"/>
        <v>Osi.TemplateAddTo("60dcc511-946e-4bc0-9127-ac7fefab7df2", GetHostCharacter(), 15, 1);</v>
      </c>
    </row>
    <row r="136">
      <c r="A136" s="21" t="str">
        <f>HYPERLINK("https://bg3.wiki/wiki/Vitriol_of_Putrefied_Tumour", "Vitriol of Putrefied Tumour")</f>
        <v>Vitriol of Putrefied Tumour</v>
      </c>
      <c r="B136" s="22" t="s">
        <v>11</v>
      </c>
      <c r="C136" s="23" t="s">
        <v>2316</v>
      </c>
      <c r="D136" s="24" t="str">
        <f t="shared" si="4"/>
        <v>Osi.TemplateAddTo("a602b074-9743-4ef8-b9ed-e8ba9aa68949", GetHostCharacter(), 15, 1);</v>
      </c>
    </row>
    <row r="137">
      <c r="A137" s="21" t="str">
        <f>HYPERLINK("https://bg3.wiki/wiki/Vitriol_of_Shadowroot_Sac", "Vitriol of Shadowroot Sac")</f>
        <v>Vitriol of Shadowroot Sac</v>
      </c>
      <c r="B137" s="22" t="s">
        <v>11</v>
      </c>
      <c r="C137" s="23" t="s">
        <v>2317</v>
      </c>
      <c r="D137" s="24" t="str">
        <f t="shared" si="4"/>
        <v>Osi.TemplateAddTo("a6015724-3ee4-4398-b157-a33b1024a7d4", GetHostCharacter(), 15, 1);</v>
      </c>
    </row>
    <row r="138">
      <c r="A138" s="38" t="str">
        <f>HYPERLINK("https://bg3.wiki/wiki/Vitriol_of_Weavemoss", "Vitriol of Weavemoss")</f>
        <v>Vitriol of Weavemoss</v>
      </c>
      <c r="B138" s="39" t="s">
        <v>11</v>
      </c>
      <c r="C138" s="40" t="s">
        <v>2318</v>
      </c>
      <c r="D138" s="41" t="str">
        <f t="shared" si="4"/>
        <v>Osi.TemplateAddTo("8d9e5180-6120-45a5-a464-7b9a461a4343", GetHostCharacter(), 15, 1);</v>
      </c>
    </row>
    <row r="139">
      <c r="C139" s="42"/>
    </row>
    <row r="140">
      <c r="A140" s="55" t="s">
        <v>2319</v>
      </c>
      <c r="B140" s="22"/>
      <c r="C140" s="23"/>
      <c r="D140" s="22"/>
    </row>
    <row r="141">
      <c r="A141" s="84" t="s">
        <v>2320</v>
      </c>
      <c r="B141" s="22"/>
      <c r="C141" s="23"/>
      <c r="D141" s="22"/>
    </row>
    <row r="142">
      <c r="A142" s="34" t="s">
        <v>7</v>
      </c>
      <c r="B142" s="35" t="s">
        <v>8</v>
      </c>
      <c r="C142" s="35" t="s">
        <v>9</v>
      </c>
      <c r="D142" s="36" t="s">
        <v>10</v>
      </c>
    </row>
    <row r="143">
      <c r="A143" s="21" t="str">
        <f>HYPERLINK("https://bg3.wiki/wiki/Baby_Blue_and_Gold_Dye", "Baby Blue and Gold Dye")</f>
        <v>Baby Blue and Gold Dye</v>
      </c>
      <c r="B143" s="22" t="s">
        <v>24</v>
      </c>
      <c r="C143" s="23" t="s">
        <v>2321</v>
      </c>
      <c r="D143" s="24" t="str">
        <f t="shared" ref="D143:D184" si="5">"Osi.TemplateAddTo("""&amp; C143 &amp;""", GetHostCharacter(), 1, 1);"</f>
        <v>Osi.TemplateAddTo("1dec170b-101f-457b-b22d-8d38c45168c7", GetHostCharacter(), 1, 1);</v>
      </c>
    </row>
    <row r="144">
      <c r="A144" s="21" t="str">
        <f>HYPERLINK("https://bg3.wiki/wiki/Black_and_Azure_Dye", "Black and Azure Dye")</f>
        <v>Black and Azure Dye</v>
      </c>
      <c r="B144" s="22" t="s">
        <v>24</v>
      </c>
      <c r="C144" s="23" t="s">
        <v>2322</v>
      </c>
      <c r="D144" s="24" t="str">
        <f t="shared" si="5"/>
        <v>Osi.TemplateAddTo("02bb51c0-00e5-408c-8e11-8de7b9580c04", GetHostCharacter(), 1, 1);</v>
      </c>
    </row>
    <row r="145">
      <c r="A145" s="21" t="str">
        <f>HYPERLINK("https://bg3.wiki/wiki/Black_and_Furnace_Red_Dye", "Black and Furnace Red Dye")</f>
        <v>Black and Furnace Red Dye</v>
      </c>
      <c r="B145" s="22" t="s">
        <v>24</v>
      </c>
      <c r="C145" s="23" t="s">
        <v>2323</v>
      </c>
      <c r="D145" s="24" t="str">
        <f t="shared" si="5"/>
        <v>Osi.TemplateAddTo("bb108620-186f-4a00-b7de-af9329d5497b", GetHostCharacter(), 1, 1);</v>
      </c>
    </row>
    <row r="146">
      <c r="A146" s="21" t="str">
        <f>HYPERLINK("https://bg3.wiki/wiki/Black_and_Jade_Green_Dye", "Black and Jade Green Dye")</f>
        <v>Black and Jade Green Dye</v>
      </c>
      <c r="B146" s="22" t="s">
        <v>24</v>
      </c>
      <c r="C146" s="23" t="s">
        <v>2324</v>
      </c>
      <c r="D146" s="24" t="str">
        <f t="shared" si="5"/>
        <v>Osi.TemplateAddTo("94ef7170-1c1d-489a-9c18-55209d864e3a", GetHostCharacter(), 1, 1);</v>
      </c>
    </row>
    <row r="147">
      <c r="A147" s="21" t="str">
        <f>HYPERLINK("https://bg3.wiki/wiki/Black_and_Summer_Green_Dye", "Black and Summer Green Dye")</f>
        <v>Black and Summer Green Dye</v>
      </c>
      <c r="B147" s="22" t="s">
        <v>24</v>
      </c>
      <c r="C147" s="23" t="s">
        <v>2325</v>
      </c>
      <c r="D147" s="24" t="str">
        <f t="shared" si="5"/>
        <v>Osi.TemplateAddTo("81512e6c-dbe4-451c-b5cc-7268656444c1", GetHostCharacter(), 1, 1);</v>
      </c>
    </row>
    <row r="148">
      <c r="A148" s="21" t="str">
        <f>HYPERLINK("https://bg3.wiki/wiki/Bloody_Plum_Dye", "Bloody Plum Dye")</f>
        <v>Bloody Plum Dye</v>
      </c>
      <c r="B148" s="22" t="s">
        <v>24</v>
      </c>
      <c r="C148" s="23" t="s">
        <v>2326</v>
      </c>
      <c r="D148" s="24" t="str">
        <f t="shared" si="5"/>
        <v>Osi.TemplateAddTo("2292d37f-7cb2-4458-83c6-1f2e48ffa23e", GetHostCharacter(), 1, 1);</v>
      </c>
    </row>
    <row r="149">
      <c r="A149" s="21" t="str">
        <f>HYPERLINK("https://bg3.wiki/wiki/Blue_Dye", "Blue Dye")</f>
        <v>Blue Dye</v>
      </c>
      <c r="B149" s="22" t="s">
        <v>17</v>
      </c>
      <c r="C149" s="23" t="s">
        <v>2327</v>
      </c>
      <c r="D149" s="24" t="str">
        <f t="shared" si="5"/>
        <v>Osi.TemplateAddTo("a4c2594e-33a6-49b2-ab6f-e992a3e0257e", GetHostCharacter(), 1, 1);</v>
      </c>
    </row>
    <row r="150">
      <c r="A150" s="21" t="str">
        <f>HYPERLINK("https://bg3.wiki/wiki/Boreal_Blue_Dye", "Boreal Blue Dye")</f>
        <v>Boreal Blue Dye</v>
      </c>
      <c r="B150" s="22" t="s">
        <v>19</v>
      </c>
      <c r="C150" s="23" t="s">
        <v>2328</v>
      </c>
      <c r="D150" s="24" t="str">
        <f t="shared" si="5"/>
        <v>Osi.TemplateAddTo("17f6e66e-1c23-41d2-9370-3bd9a5a90b4a", GetHostCharacter(), 1, 1);</v>
      </c>
    </row>
    <row r="151">
      <c r="A151" s="21" t="str">
        <f>HYPERLINK("https://bg3.wiki/wiki/Brown_Alabaster_Dye", "Brown Alabaster Dye")</f>
        <v>Brown Alabaster Dye</v>
      </c>
      <c r="B151" s="22" t="s">
        <v>24</v>
      </c>
      <c r="C151" s="23" t="s">
        <v>2329</v>
      </c>
      <c r="D151" s="24" t="str">
        <f t="shared" si="5"/>
        <v>Osi.TemplateAddTo("3336e3a5-0be1-407d-9c37-01536bb2e6c5", GetHostCharacter(), 1, 1);</v>
      </c>
    </row>
    <row r="152">
      <c r="A152" s="21" t="str">
        <f>HYPERLINK("https://bg3.wiki/wiki/Cobalt_Dye", "Cobalt Dye")</f>
        <v>Cobalt Dye</v>
      </c>
      <c r="B152" s="22" t="s">
        <v>19</v>
      </c>
      <c r="C152" s="23" t="s">
        <v>2330</v>
      </c>
      <c r="D152" s="24" t="str">
        <f t="shared" si="5"/>
        <v>Osi.TemplateAddTo("eedbd9cc-5072-47fd-90a6-36a24c435620", GetHostCharacter(), 1, 1);</v>
      </c>
    </row>
    <row r="153">
      <c r="A153" s="21" t="str">
        <f>HYPERLINK("https://bg3.wiki/wiki/Custard_and_Pink_Rose_Dye", "Custard and Pink Rose Dye")</f>
        <v>Custard and Pink Rose Dye</v>
      </c>
      <c r="B153" s="22" t="s">
        <v>19</v>
      </c>
      <c r="C153" s="23" t="s">
        <v>2331</v>
      </c>
      <c r="D153" s="24" t="str">
        <f t="shared" si="5"/>
        <v>Osi.TemplateAddTo("23899dcd-8f27-4144-b29d-ae61eaacd8c3", GetHostCharacter(), 1, 1);</v>
      </c>
    </row>
    <row r="154">
      <c r="A154" s="21" t="str">
        <f>HYPERLINK("https://bg3.wiki/wiki/Dark_Amethyst_Dye", "Dark Amethyst Dye")</f>
        <v>Dark Amethyst Dye</v>
      </c>
      <c r="B154" s="22" t="s">
        <v>19</v>
      </c>
      <c r="C154" s="23" t="s">
        <v>2332</v>
      </c>
      <c r="D154" s="24" t="str">
        <f t="shared" si="5"/>
        <v>Osi.TemplateAddTo("808cd643-ac73-415c-8ed8-0a81b8b71dd8", GetHostCharacter(), 1, 1);</v>
      </c>
    </row>
    <row r="155">
      <c r="A155" s="21" t="str">
        <f>HYPERLINK("https://bg3.wiki/wiki/Deep_Lilac_Dye", "Deep Lilac Dye")</f>
        <v>Deep Lilac Dye</v>
      </c>
      <c r="B155" s="22" t="s">
        <v>24</v>
      </c>
      <c r="C155" s="23" t="s">
        <v>2333</v>
      </c>
      <c r="D155" s="24" t="str">
        <f t="shared" si="5"/>
        <v>Osi.TemplateAddTo("7ac1bb07-e494-42d2-bb8d-6bf9e553a52a", GetHostCharacter(), 1, 1);</v>
      </c>
    </row>
    <row r="156">
      <c r="A156" s="21" t="str">
        <f>HYPERLINK("https://bg3.wiki/wiki/Drake_General_Dye", "Drake General Dye")</f>
        <v>Drake General Dye</v>
      </c>
      <c r="B156" s="22" t="s">
        <v>19</v>
      </c>
      <c r="C156" s="23" t="s">
        <v>2334</v>
      </c>
      <c r="D156" s="24" t="str">
        <f t="shared" si="5"/>
        <v>Osi.TemplateAddTo("dfb0bd5d-e4ed-4bd3-bcfe-45195260e7dc", GetHostCharacter(), 1, 1);</v>
      </c>
    </row>
    <row r="157">
      <c r="A157" s="21" t="str">
        <f>HYPERLINK("https://bg3.wiki/wiki/Dye_Remover", "Dye Remover")</f>
        <v>Dye Remover</v>
      </c>
      <c r="B157" s="22" t="s">
        <v>11</v>
      </c>
      <c r="C157" s="23" t="s">
        <v>2335</v>
      </c>
      <c r="D157" s="24" t="str">
        <f t="shared" si="5"/>
        <v>Osi.TemplateAddTo("19c7bbb1-29f5-4ec9-a72c-74a73318f8da", GetHostCharacter(), 1, 1);</v>
      </c>
    </row>
    <row r="158">
      <c r="A158" s="21" t="str">
        <f>HYPERLINK("https://bg3.wiki/wiki/Faewild_Green_and_Dun_Dye", "Faewild Green and Dun Dye")</f>
        <v>Faewild Green and Dun Dye</v>
      </c>
      <c r="B158" s="22" t="s">
        <v>19</v>
      </c>
      <c r="C158" s="23" t="s">
        <v>2336</v>
      </c>
      <c r="D158" s="24" t="str">
        <f t="shared" si="5"/>
        <v>Osi.TemplateAddTo("ea46200e-001b-45a1-b1d9-20920e747ba2", GetHostCharacter(), 1, 1);</v>
      </c>
    </row>
    <row r="159">
      <c r="A159" s="21" t="str">
        <f>HYPERLINK("https://bg3.wiki/wiki/Gorgeous_Maroon_Dye", "Gorgeous Maroon Dye")</f>
        <v>Gorgeous Maroon Dye</v>
      </c>
      <c r="B159" s="22" t="s">
        <v>19</v>
      </c>
      <c r="C159" s="23" t="s">
        <v>2337</v>
      </c>
      <c r="D159" s="24" t="str">
        <f t="shared" si="5"/>
        <v>Osi.TemplateAddTo("10e79bfb-c448-4af4-a153-bf3d19f83c62", GetHostCharacter(), 1, 1);</v>
      </c>
    </row>
    <row r="160">
      <c r="A160" s="21" t="str">
        <f>HYPERLINK("https://bg3.wiki/wiki/Green_Dye", "Green Dye")</f>
        <v>Green Dye</v>
      </c>
      <c r="B160" s="22" t="s">
        <v>17</v>
      </c>
      <c r="C160" s="23" t="s">
        <v>2338</v>
      </c>
      <c r="D160" s="24" t="str">
        <f t="shared" si="5"/>
        <v>Osi.TemplateAddTo("e6f417bd-9d84-416f-8c96-5a6917977b77", GetHostCharacter(), 1, 1);</v>
      </c>
    </row>
    <row r="161">
      <c r="A161" s="21" t="str">
        <f>HYPERLINK("https://bg3.wiki/wiki/Harlequin_Black_and_White_Dye", "Harlequin Black and White Dye")</f>
        <v>Harlequin Black and White Dye</v>
      </c>
      <c r="B161" s="22" t="s">
        <v>24</v>
      </c>
      <c r="C161" s="23" t="s">
        <v>2339</v>
      </c>
      <c r="D161" s="24" t="str">
        <f t="shared" si="5"/>
        <v>Osi.TemplateAddTo("ffdb4490-cbaf-4eac-97f8-893564d7ead9", GetHostCharacter(), 1, 1);</v>
      </c>
    </row>
    <row r="162">
      <c r="A162" s="21" t="str">
        <f>HYPERLINK("https://bg3.wiki/wiki/Indigo_Dye", "Indigo Dye")</f>
        <v>Indigo Dye</v>
      </c>
      <c r="B162" s="22" t="s">
        <v>24</v>
      </c>
      <c r="C162" s="23" t="s">
        <v>2340</v>
      </c>
      <c r="D162" s="24" t="str">
        <f t="shared" si="5"/>
        <v>Osi.TemplateAddTo("5adba582-b552-4850-9be9-c6e28f656675", GetHostCharacter(), 1, 1);</v>
      </c>
    </row>
    <row r="163">
      <c r="A163" s="21" t="str">
        <f>HYPERLINK("https://bg3.wiki/wiki/Jet_and_Pink_Rose_Dye", "Jet and Pink Rose Dye")</f>
        <v>Jet and Pink Rose Dye</v>
      </c>
      <c r="B163" s="22" t="s">
        <v>19</v>
      </c>
      <c r="C163" s="23" t="s">
        <v>2341</v>
      </c>
      <c r="D163" s="24" t="str">
        <f t="shared" si="5"/>
        <v>Osi.TemplateAddTo("db4761b2-cce8-4d6d-86ec-5cf0924a5f4c", GetHostCharacter(), 1, 1);</v>
      </c>
    </row>
    <row r="164">
      <c r="A164" s="21" t="str">
        <f>HYPERLINK("https://bg3.wiki/wiki/Lavender_Dye", "Lavender Dye")</f>
        <v>Lavender Dye</v>
      </c>
      <c r="B164" s="22" t="s">
        <v>24</v>
      </c>
      <c r="C164" s="23" t="s">
        <v>2342</v>
      </c>
      <c r="D164" s="24" t="str">
        <f t="shared" si="5"/>
        <v>Osi.TemplateAddTo("83cde47b-9e15-4ea5-98f4-4efd9ce93861", GetHostCharacter(), 1, 1);</v>
      </c>
    </row>
    <row r="165">
      <c r="A165" s="21" t="str">
        <f>HYPERLINK("https://bg3.wiki/wiki/Light_Blue_Dye", "Light Blue Dye")</f>
        <v>Light Blue Dye</v>
      </c>
      <c r="B165" s="22" t="s">
        <v>17</v>
      </c>
      <c r="C165" s="23" t="s">
        <v>2343</v>
      </c>
      <c r="D165" s="24" t="str">
        <f t="shared" si="5"/>
        <v>Osi.TemplateAddTo("a94ac1cd-96c9-4775-8dcd-c2b581bfeb50", GetHostCharacter(), 1, 1);</v>
      </c>
    </row>
    <row r="166">
      <c r="A166" s="21" t="str">
        <f>HYPERLINK("https://bg3.wiki/wiki/Lime,_Lemon,_and_Lichen_Dye", "Lime, Lemon, and Lichen Dye")</f>
        <v>Lime, Lemon, and Lichen Dye</v>
      </c>
      <c r="B166" s="22" t="s">
        <v>24</v>
      </c>
      <c r="C166" s="23" t="s">
        <v>2344</v>
      </c>
      <c r="D166" s="24" t="str">
        <f t="shared" si="5"/>
        <v>Osi.TemplateAddTo("43da55c8-55b7-41c6-9a44-3dd6843875f8", GetHostCharacter(), 1, 1);</v>
      </c>
    </row>
    <row r="167">
      <c r="A167" s="21" t="str">
        <f>HYPERLINK("https://bg3.wiki/wiki/Lush_Burgundy", "Lush Burgundy")</f>
        <v>Lush Burgundy</v>
      </c>
      <c r="B167" s="22" t="s">
        <v>19</v>
      </c>
      <c r="C167" s="23" t="s">
        <v>2345</v>
      </c>
      <c r="D167" s="24" t="str">
        <f t="shared" si="5"/>
        <v>Osi.TemplateAddTo("51cd678b-6a27-490d-b4d1-17cc89a32e40", GetHostCharacter(), 1, 1);</v>
      </c>
    </row>
    <row r="168">
      <c r="A168" s="21" t="str">
        <f>HYPERLINK("https://bg3.wiki/wiki/Mellow_Fruit_Dye", "Mellow Fruit Dye")</f>
        <v>Mellow Fruit Dye</v>
      </c>
      <c r="B168" s="22" t="s">
        <v>24</v>
      </c>
      <c r="C168" s="23" t="s">
        <v>2346</v>
      </c>
      <c r="D168" s="24" t="str">
        <f t="shared" si="5"/>
        <v>Osi.TemplateAddTo("2cd56a6a-35bb-417c-9eb6-d78bbe73d3cc", GetHostCharacter(), 1, 1);</v>
      </c>
    </row>
    <row r="169">
      <c r="A169" s="21" t="str">
        <f>HYPERLINK("https://bg3.wiki/wiki/Muddy_Red_Dye", "Muddy Red Dye")</f>
        <v>Muddy Red Dye</v>
      </c>
      <c r="B169" s="22" t="s">
        <v>17</v>
      </c>
      <c r="C169" s="23" t="s">
        <v>2347</v>
      </c>
      <c r="D169" s="24" t="str">
        <f t="shared" si="5"/>
        <v>Osi.TemplateAddTo("6904ea3d-89b6-4db7-a0bc-d890423e9312", GetHostCharacter(), 1, 1);</v>
      </c>
    </row>
    <row r="170">
      <c r="A170" s="21" t="str">
        <f>HYPERLINK("https://bg3.wiki/wiki/Ocean_Dye", "Ocean Dye")</f>
        <v>Ocean Dye</v>
      </c>
      <c r="B170" s="22" t="s">
        <v>17</v>
      </c>
      <c r="C170" s="23" t="s">
        <v>2348</v>
      </c>
      <c r="D170" s="24" t="str">
        <f t="shared" si="5"/>
        <v>Osi.TemplateAddTo("54cd5913-5226-4143-9186-6c1a8499de1c", GetHostCharacter(), 1, 1);</v>
      </c>
    </row>
    <row r="171">
      <c r="A171" s="21" t="str">
        <f>HYPERLINK("https://bg3.wiki/wiki/Orange_Dye", "Orange Dye")</f>
        <v>Orange Dye</v>
      </c>
      <c r="B171" s="22" t="s">
        <v>17</v>
      </c>
      <c r="C171" s="23" t="s">
        <v>2349</v>
      </c>
      <c r="D171" s="24" t="str">
        <f t="shared" si="5"/>
        <v>Osi.TemplateAddTo("1bb2ba7b-1ac3-4c2e-bcd3-85886d294204", GetHostCharacter(), 1, 1);</v>
      </c>
    </row>
    <row r="172">
      <c r="A172" s="21" t="str">
        <f>HYPERLINK("https://bg3.wiki/wiki/Pale_Green_Dye", "Pale Green Dye")</f>
        <v>Pale Green Dye</v>
      </c>
      <c r="B172" s="22" t="s">
        <v>17</v>
      </c>
      <c r="C172" s="23" t="s">
        <v>2350</v>
      </c>
      <c r="D172" s="24" t="str">
        <f t="shared" si="5"/>
        <v>Osi.TemplateAddTo("6d90deb8-8df3-4a6f-b31f-f13cf2eb68f9", GetHostCharacter(), 1, 1);</v>
      </c>
    </row>
    <row r="173">
      <c r="A173" s="21" t="str">
        <f>HYPERLINK("https://bg3.wiki/wiki/Pale_Orange_Dye", "Pale Orange Dye")</f>
        <v>Pale Orange Dye</v>
      </c>
      <c r="B173" s="22" t="s">
        <v>17</v>
      </c>
      <c r="C173" s="23" t="s">
        <v>2351</v>
      </c>
      <c r="D173" s="24" t="str">
        <f t="shared" si="5"/>
        <v>Osi.TemplateAddTo("84f7b0a1-8840-47a1-a27a-1ac79e383520", GetHostCharacter(), 1, 1);</v>
      </c>
    </row>
    <row r="174">
      <c r="A174" s="21" t="str">
        <f>HYPERLINK("https://bg3.wiki/wiki/Pale_Pink_Dye", "Pale Pink Dye")</f>
        <v>Pale Pink Dye</v>
      </c>
      <c r="B174" s="22" t="s">
        <v>24</v>
      </c>
      <c r="C174" s="23" t="s">
        <v>2352</v>
      </c>
      <c r="D174" s="24" t="str">
        <f t="shared" si="5"/>
        <v>Osi.TemplateAddTo("48a27277-7c18-49fe-9124-899919e162bc", GetHostCharacter(), 1, 1);</v>
      </c>
    </row>
    <row r="175">
      <c r="A175" s="21" t="str">
        <f>HYPERLINK("https://bg3.wiki/wiki/Peach_and_Apricot_Dye", "Peach and Apricot Dye")</f>
        <v>Peach and Apricot Dye</v>
      </c>
      <c r="B175" s="22" t="s">
        <v>19</v>
      </c>
      <c r="C175" s="23" t="s">
        <v>2353</v>
      </c>
      <c r="D175" s="24" t="str">
        <f t="shared" si="5"/>
        <v>Osi.TemplateAddTo("0e339e21-df58-4e46-a263-e91d4ed19dc9", GetHostCharacter(), 1, 1);</v>
      </c>
    </row>
    <row r="176">
      <c r="A176" s="21" t="str">
        <f>HYPERLINK("https://bg3.wiki/wiki/Pink_and_Leaf_Green_Dye", "Pink and Leaf Green Dye")</f>
        <v>Pink and Leaf Green Dye</v>
      </c>
      <c r="B176" s="22" t="s">
        <v>24</v>
      </c>
      <c r="C176" s="23" t="s">
        <v>2354</v>
      </c>
      <c r="D176" s="24" t="str">
        <f t="shared" si="5"/>
        <v>Osi.TemplateAddTo("78f41a7b-4742-419d-a0ac-b9a90a9e198e", GetHostCharacter(), 1, 1);</v>
      </c>
    </row>
    <row r="177">
      <c r="A177" s="21" t="str">
        <f>HYPERLINK("https://bg3.wiki/wiki/Purple_Dye", "Purple Dye")</f>
        <v>Purple Dye</v>
      </c>
      <c r="B177" s="22" t="s">
        <v>17</v>
      </c>
      <c r="C177" s="23" t="s">
        <v>2355</v>
      </c>
      <c r="D177" s="24" t="str">
        <f t="shared" si="5"/>
        <v>Osi.TemplateAddTo("fecebc29-385d-4bef-a18a-79705fb0ecf3", GetHostCharacter(), 1, 1);</v>
      </c>
    </row>
    <row r="178">
      <c r="A178" s="21" t="str">
        <f>HYPERLINK("https://bg3.wiki/wiki/Red_Dye", "Red Dye")</f>
        <v>Red Dye</v>
      </c>
      <c r="B178" s="22" t="s">
        <v>17</v>
      </c>
      <c r="C178" s="23" t="s">
        <v>2356</v>
      </c>
      <c r="D178" s="24" t="str">
        <f t="shared" si="5"/>
        <v>Osi.TemplateAddTo("809f228e-8d2b-46b8-8a33-51181505bc61", GetHostCharacter(), 1, 1);</v>
      </c>
    </row>
    <row r="179">
      <c r="A179" s="21" t="str">
        <f>HYPERLINK("https://bg3.wiki/wiki/Sage_Green_Dye", "Sage Green Dye")</f>
        <v>Sage Green Dye</v>
      </c>
      <c r="B179" s="22" t="s">
        <v>24</v>
      </c>
      <c r="C179" s="23" t="s">
        <v>2357</v>
      </c>
      <c r="D179" s="24" t="str">
        <f t="shared" si="5"/>
        <v>Osi.TemplateAddTo("a13f6fad-bca8-40c0-b5b1-592832c73050", GetHostCharacter(), 1, 1);</v>
      </c>
    </row>
    <row r="180">
      <c r="A180" s="21" t="str">
        <f>HYPERLINK("https://bg3.wiki/wiki/Sea_Green_Dye", "Sea Green Dye")</f>
        <v>Sea Green Dye</v>
      </c>
      <c r="B180" s="22" t="s">
        <v>17</v>
      </c>
      <c r="C180" s="23" t="s">
        <v>2358</v>
      </c>
      <c r="D180" s="24" t="str">
        <f t="shared" si="5"/>
        <v>Osi.TemplateAddTo("b702ddc5-f4fc-4976-adc4-18a8ddaab8d5", GetHostCharacter(), 1, 1);</v>
      </c>
    </row>
    <row r="181">
      <c r="A181" s="21" t="str">
        <f>HYPERLINK("https://bg3.wiki/wiki/Sinful_Red_on_Bone_White", "Sinful Red on Bone White")</f>
        <v>Sinful Red on Bone White</v>
      </c>
      <c r="B181" s="22" t="s">
        <v>19</v>
      </c>
      <c r="C181" s="23" t="s">
        <v>2359</v>
      </c>
      <c r="D181" s="24" t="str">
        <f t="shared" si="5"/>
        <v>Osi.TemplateAddTo("1d0d3883-6196-4ccd-8a49-8e4fb84f6c6b", GetHostCharacter(), 1, 1);</v>
      </c>
    </row>
    <row r="182">
      <c r="A182" s="21" t="str">
        <f>HYPERLINK("https://bg3.wiki/wiki/Swamp_Green_Dye", "Swamp Green Dye")</f>
        <v>Swamp Green Dye</v>
      </c>
      <c r="B182" s="22" t="s">
        <v>17</v>
      </c>
      <c r="C182" s="23" t="s">
        <v>2360</v>
      </c>
      <c r="D182" s="24" t="str">
        <f t="shared" si="5"/>
        <v>Osi.TemplateAddTo("ad60be55-7a95-4dcb-ae55-908a97f9955a", GetHostCharacter(), 1, 1);</v>
      </c>
    </row>
    <row r="183">
      <c r="A183" s="21" t="str">
        <f>HYPERLINK("https://bg3.wiki/wiki/White_and_Scarlet_Dye", "White and Scarlet Dye")</f>
        <v>White and Scarlet Dye</v>
      </c>
      <c r="B183" s="22" t="s">
        <v>24</v>
      </c>
      <c r="C183" s="23" t="s">
        <v>2361</v>
      </c>
      <c r="D183" s="24" t="str">
        <f t="shared" si="5"/>
        <v>Osi.TemplateAddTo("f42e3c96-e622-4d3a-97da-ce5a939feb3c", GetHostCharacter(), 1, 1);</v>
      </c>
    </row>
    <row r="184">
      <c r="A184" s="38" t="str">
        <f>HYPERLINK("https://bg3.wiki/wiki/Yellow_Dye", "Yellow Dye")</f>
        <v>Yellow Dye</v>
      </c>
      <c r="B184" s="39" t="s">
        <v>17</v>
      </c>
      <c r="C184" s="40" t="s">
        <v>2362</v>
      </c>
      <c r="D184" s="41" t="str">
        <f t="shared" si="5"/>
        <v>Osi.TemplateAddTo("09e48b43-f567-4acc-b98d-0c86c1396084", GetHostCharacter(), 1, 1);</v>
      </c>
    </row>
  </sheetData>
  <conditionalFormatting sqref="B1:B184">
    <cfRule type="cellIs" dxfId="0" priority="1" operator="equal">
      <formula>"Common"</formula>
    </cfRule>
  </conditionalFormatting>
  <conditionalFormatting sqref="B1:B139 B143:B184">
    <cfRule type="cellIs" dxfId="1" priority="2" operator="equal">
      <formula>"rare"</formula>
    </cfRule>
  </conditionalFormatting>
  <conditionalFormatting sqref="B1:B139 B143:B184">
    <cfRule type="cellIs" dxfId="2" priority="3" operator="equal">
      <formula>"Very Rare"</formula>
    </cfRule>
  </conditionalFormatting>
  <conditionalFormatting sqref="B1:B139 B143:B184">
    <cfRule type="cellIs" dxfId="3" priority="4" operator="equal">
      <formula>"Uncommon"</formula>
    </cfRule>
  </conditionalFormatting>
  <conditionalFormatting sqref="B1:B139 B143:B184">
    <cfRule type="cellIs" dxfId="4" priority="5" operator="equal">
      <formula>"Legendary"</formula>
    </cfRule>
  </conditionalFormatting>
  <conditionalFormatting sqref="B1:B139 B143:B184">
    <cfRule type="cellIs" dxfId="5" priority="6" operator="equal">
      <formula>"Story Item"</formula>
    </cfRule>
  </conditionalFormatting>
  <conditionalFormatting sqref="C1:C139 C142:C184">
    <cfRule type="containsText" dxfId="6" priority="7" operator="containsText" text="todo">
      <formula>NOT(ISERROR(SEARCH(("todo"),(C1))))</formula>
    </cfRule>
  </conditionalFormatting>
  <hyperlinks>
    <hyperlink r:id="rId1" ref="A141"/>
  </hyperlinks>
  <drawing r:id="rId2"/>
  <tableParts count="3">
    <tablePart r:id="rId6"/>
    <tablePart r:id="rId7"/>
    <tablePart r:id="rId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9.5"/>
    <col customWidth="1" min="3" max="3" width="20.13"/>
    <col customWidth="1" min="4" max="4" width="70.0"/>
  </cols>
  <sheetData>
    <row r="1">
      <c r="A1" s="27" t="s">
        <v>2363</v>
      </c>
      <c r="C1" s="42"/>
    </row>
    <row r="2">
      <c r="A2" s="34" t="s">
        <v>7</v>
      </c>
      <c r="B2" s="35" t="s">
        <v>8</v>
      </c>
      <c r="C2" s="35" t="s">
        <v>9</v>
      </c>
      <c r="D2" s="36" t="s">
        <v>10</v>
      </c>
    </row>
    <row r="3">
      <c r="A3" s="21" t="str">
        <f>HYPERLINK("https://bg3.wiki/wiki/Absolutist_Expedition_Trunk", "Absolutist Expedition Trunk")</f>
        <v>Absolutist Expedition Trunk</v>
      </c>
      <c r="B3" s="22" t="s">
        <v>11</v>
      </c>
      <c r="C3" s="23" t="s">
        <v>2364</v>
      </c>
      <c r="D3" s="24" t="str">
        <f t="shared" ref="D3:D11" si="1">"Osi.TemplateAddTo("""&amp; C3 &amp;""", GetHostCharacter(), 1, 1);"</f>
        <v>Osi.TemplateAddTo("1ecbf48e-cc21-4d20-89df-dc25501e323f", GetHostCharacter(), 1, 1);</v>
      </c>
    </row>
    <row r="4">
      <c r="A4" s="21" t="str">
        <f>HYPERLINK("https://bg3.wiki/wiki/Adamantine_Chest", "Adamantine Chest")</f>
        <v>Adamantine Chest</v>
      </c>
      <c r="B4" s="22" t="s">
        <v>11</v>
      </c>
      <c r="C4" s="23" t="s">
        <v>2365</v>
      </c>
      <c r="D4" s="24" t="str">
        <f t="shared" si="1"/>
        <v>Osi.TemplateAddTo("5b55442a-cf8d-4c4b-aacd-2079f5648bd5", GetHostCharacter(), 1, 1);</v>
      </c>
    </row>
    <row r="5">
      <c r="A5" s="21" t="str">
        <f>HYPERLINK("https://bg3.wiki/wiki/Adventurer%27s_Chest", "Adventurer's Chest")</f>
        <v>Adventurer's Chest</v>
      </c>
      <c r="B5" s="22" t="s">
        <v>11</v>
      </c>
      <c r="C5" s="23" t="s">
        <v>2366</v>
      </c>
      <c r="D5" s="24" t="str">
        <f t="shared" si="1"/>
        <v>Osi.TemplateAddTo("418d240e-eeab-4faf-9a5d-fd5ae4c29e5c", GetHostCharacter(), 1, 1);</v>
      </c>
    </row>
    <row r="6">
      <c r="A6" s="21" t="str">
        <f>HYPERLINK("https://bg3.wiki/wiki/Alchemy_Pouch", "Alchemy Pouch")</f>
        <v>Alchemy Pouch</v>
      </c>
      <c r="B6" s="22" t="s">
        <v>11</v>
      </c>
      <c r="C6" s="23" t="s">
        <v>2367</v>
      </c>
      <c r="D6" s="24" t="str">
        <f t="shared" si="1"/>
        <v>Osi.TemplateAddTo("b7543ff4-5010-4c01-9bcd-4da1047aebfc", GetHostCharacter(), 1, 1);</v>
      </c>
    </row>
    <row r="7">
      <c r="A7" s="21" t="str">
        <f>HYPERLINK("https://bg3.wiki/wiki/Animal_Carcass", "Animal Carcass")</f>
        <v>Animal Carcass</v>
      </c>
      <c r="B7" s="22" t="s">
        <v>11</v>
      </c>
      <c r="C7" s="23" t="s">
        <v>2368</v>
      </c>
      <c r="D7" s="24" t="str">
        <f t="shared" si="1"/>
        <v>Osi.TemplateAddTo("662c82b0-b1f8-42cc-9523-e7c02cf275b9", GetHostCharacter(), 1, 1);</v>
      </c>
    </row>
    <row r="8">
      <c r="A8" s="21" t="str">
        <f>HYPERLINK("https://bg3.wiki/wiki/Apprentice%27s_Pack", "Apprentice's Pack")</f>
        <v>Apprentice's Pack</v>
      </c>
      <c r="B8" s="22" t="s">
        <v>11</v>
      </c>
      <c r="C8" s="23" t="s">
        <v>2369</v>
      </c>
      <c r="D8" s="24" t="str">
        <f t="shared" si="1"/>
        <v>Osi.TemplateAddTo("59744953-6a46-4367-890b-567e9d798d1f", GetHostCharacter(), 1, 1);</v>
      </c>
    </row>
    <row r="9">
      <c r="A9" s="21" t="str">
        <f>HYPERLINK("https://bg3.wiki/wiki/Backpack", "Backpack")</f>
        <v>Backpack</v>
      </c>
      <c r="B9" s="22" t="s">
        <v>11</v>
      </c>
      <c r="C9" s="23" t="s">
        <v>2370</v>
      </c>
      <c r="D9" s="24" t="str">
        <f t="shared" si="1"/>
        <v>Osi.TemplateAddTo("47805d79-88f1-4933-86eb-f78f67cbc33f", GetHostCharacter(), 1, 1);</v>
      </c>
    </row>
    <row r="10">
      <c r="A10" s="21" t="str">
        <f>HYPERLINK("https://bg3.wiki/wiki/Baelen%27s_Pack", "Baelen's Pack")</f>
        <v>Baelen's Pack</v>
      </c>
      <c r="B10" s="22" t="s">
        <v>11</v>
      </c>
      <c r="C10" s="23" t="s">
        <v>2371</v>
      </c>
      <c r="D10" s="24" t="str">
        <f t="shared" si="1"/>
        <v>Osi.TemplateAddTo("152dcb1d-1906-4f6c-aa9c-014dc0c289fa", GetHostCharacter(), 1, 1);</v>
      </c>
    </row>
    <row r="11">
      <c r="A11" s="21" t="str">
        <f>HYPERLINK("https://bg3.wiki/wiki/Bag_of_Moulding", "Bag of Moulding")</f>
        <v>Bag of Moulding</v>
      </c>
      <c r="B11" s="22" t="s">
        <v>11</v>
      </c>
      <c r="C11" s="23" t="s">
        <v>2372</v>
      </c>
      <c r="D11" s="24" t="str">
        <f t="shared" si="1"/>
        <v>Osi.TemplateAddTo("e3781c5c-b674-4c9b-aec8-885e8c54698b", GetHostCharacter(), 1, 1);</v>
      </c>
    </row>
    <row r="12">
      <c r="A12" s="21" t="str">
        <f>HYPERLINK("https://bg3.wiki/wiki/Bottle_Rack", "Bottle Rack")</f>
        <v>Bottle Rack</v>
      </c>
      <c r="B12" s="22" t="s">
        <v>11</v>
      </c>
      <c r="C12" s="23" t="s">
        <v>158</v>
      </c>
      <c r="D12" s="24"/>
    </row>
    <row r="13">
      <c r="A13" s="21" t="str">
        <f>HYPERLINK("https://bg3.wiki/wiki/Bucket_of_Fish", "Bucket of Fish")</f>
        <v>Bucket of Fish</v>
      </c>
      <c r="B13" s="22" t="s">
        <v>11</v>
      </c>
      <c r="C13" s="23" t="s">
        <v>2373</v>
      </c>
      <c r="D13" s="24" t="str">
        <f t="shared" ref="D13:D17" si="2">"Osi.TemplateAddTo("""&amp; C13 &amp;""", GetHostCharacter(), 1, 1);"</f>
        <v>Osi.TemplateAddTo("c0b7e734-8f91-4471-8119-292c1131f7c2", GetHostCharacter(), 1, 1);</v>
      </c>
    </row>
    <row r="14">
      <c r="A14" s="21" t="str">
        <f>HYPERLINK("https://bg3.wiki/wiki/Burlap_Sack", "Burlap Sack")</f>
        <v>Burlap Sack</v>
      </c>
      <c r="B14" s="22" t="s">
        <v>11</v>
      </c>
      <c r="C14" s="23" t="s">
        <v>2374</v>
      </c>
      <c r="D14" s="24" t="str">
        <f t="shared" si="2"/>
        <v>Osi.TemplateAddTo("008878b4-75d3-44f6-bf05-cbc913289976", GetHostCharacter(), 1, 1);</v>
      </c>
    </row>
    <row r="15">
      <c r="A15" s="21" t="str">
        <f>HYPERLINK("https://bg3.wiki/wiki/Camp_Supply_Sack", "Camp Supply Sack")</f>
        <v>Camp Supply Sack</v>
      </c>
      <c r="B15" s="22" t="s">
        <v>11</v>
      </c>
      <c r="C15" s="23" t="s">
        <v>2375</v>
      </c>
      <c r="D15" s="24" t="str">
        <f t="shared" si="2"/>
        <v>Osi.TemplateAddTo("efcb70b7-868b-4214-968a-e23f6ad586bc", GetHostCharacter(), 1, 1);</v>
      </c>
    </row>
    <row r="16">
      <c r="A16" s="21" t="str">
        <f>HYPERLINK("https://bg3.wiki/wiki/Caravan_Strongbox", "Caravan Strongbox")</f>
        <v>Caravan Strongbox</v>
      </c>
      <c r="B16" s="22" t="s">
        <v>55</v>
      </c>
      <c r="C16" s="23" t="s">
        <v>2376</v>
      </c>
      <c r="D16" s="24" t="str">
        <f t="shared" si="2"/>
        <v>Osi.TemplateAddTo("fc3f4359-ec62-4cbf-8756-ecb9780c34e8", GetHostCharacter(), 1, 1);</v>
      </c>
    </row>
    <row r="17">
      <c r="A17" s="21" t="str">
        <f>HYPERLINK("https://bg3.wiki/wiki/Cartilaginous_Chest", "Cartilaginous Chest")</f>
        <v>Cartilaginous Chest</v>
      </c>
      <c r="B17" s="22" t="s">
        <v>11</v>
      </c>
      <c r="C17" s="23" t="s">
        <v>2377</v>
      </c>
      <c r="D17" s="24" t="str">
        <f t="shared" si="2"/>
        <v>Osi.TemplateAddTo("813c005f-72ab-4806-ad7e-2e3135e41d27", GetHostCharacter(), 1, 1);</v>
      </c>
    </row>
    <row r="18">
      <c r="A18" s="21" t="str">
        <f>HYPERLINK("https://bg3.wiki/wiki/Chest_of_Grateful_Words", "Chest of Grateful Words")</f>
        <v>Chest of Grateful Words</v>
      </c>
      <c r="B18" s="22" t="s">
        <v>11</v>
      </c>
      <c r="C18" s="23" t="s">
        <v>158</v>
      </c>
      <c r="D18" s="24"/>
    </row>
    <row r="19">
      <c r="A19" s="21" t="str">
        <f>HYPERLINK("https://bg3.wiki/wiki/Chest_of_the_Mundane", "Chest of the Mundane")</f>
        <v>Chest of the Mundane</v>
      </c>
      <c r="B19" s="22" t="s">
        <v>11</v>
      </c>
      <c r="C19" s="23" t="s">
        <v>2378</v>
      </c>
      <c r="D19" s="24" t="str">
        <f>"Osi.TemplateAddTo("""&amp; C19 &amp;""", GetHostCharacter(), 1, 1);"</f>
        <v>Osi.TemplateAddTo("fd56efe0-fbd4-471d-9661-856f732a77ef", GetHostCharacter(), 1, 1);</v>
      </c>
    </row>
    <row r="20">
      <c r="A20" s="21" t="str">
        <f>HYPERLINK("https://bg3.wiki/wiki/Clothing_Chest", "Clothing Chest")</f>
        <v>Clothing Chest</v>
      </c>
      <c r="B20" s="22" t="s">
        <v>11</v>
      </c>
      <c r="C20" s="23" t="s">
        <v>158</v>
      </c>
      <c r="D20" s="24"/>
    </row>
    <row r="21">
      <c r="A21" s="21" t="str">
        <f>HYPERLINK("https://bg3.wiki/wiki/Cormyte_Shipment_Box", "Cormyte Shipment Box")</f>
        <v>Cormyte Shipment Box</v>
      </c>
      <c r="B21" s="22" t="s">
        <v>444</v>
      </c>
      <c r="C21" s="23" t="s">
        <v>2379</v>
      </c>
      <c r="D21" s="24" t="str">
        <f>"Osi.TemplateAddTo("""&amp; C21 &amp;""", GetHostCharacter(), 1, 1);"</f>
        <v>Osi.TemplateAddTo("3a6bf1fb-2785-406a-85d4-6bd247714591", GetHostCharacter(), 1, 1);</v>
      </c>
    </row>
    <row r="22">
      <c r="A22" s="21" t="str">
        <f>HYPERLINK("https://bg3.wiki/wiki/Crate", "Crate")</f>
        <v>Crate</v>
      </c>
      <c r="B22" s="22" t="s">
        <v>11</v>
      </c>
      <c r="C22" s="23" t="s">
        <v>158</v>
      </c>
      <c r="D22" s="24"/>
    </row>
    <row r="23">
      <c r="A23" s="21" t="str">
        <f>HYPERLINK("https://bg3.wiki/wiki/Crude_Chest", "Crude Chest")</f>
        <v>Crude Chest</v>
      </c>
      <c r="B23" s="22" t="s">
        <v>11</v>
      </c>
      <c r="C23" s="23" t="s">
        <v>2380</v>
      </c>
      <c r="D23" s="24" t="str">
        <f t="shared" ref="D23:D25" si="3">"Osi.TemplateAddTo("""&amp; C23 &amp;""", GetHostCharacter(), 1, 1);"</f>
        <v>Osi.TemplateAddTo("b771aebb-e089-49a9-9bf6-471a00345afc", GetHostCharacter(), 1, 1);</v>
      </c>
    </row>
    <row r="24">
      <c r="A24" s="21" t="str">
        <f>HYPERLINK("https://bg3.wiki/wiki/Curious_Book", "Curious Book")</f>
        <v>Curious Book</v>
      </c>
      <c r="B24" s="22" t="s">
        <v>11</v>
      </c>
      <c r="C24" s="23" t="s">
        <v>2381</v>
      </c>
      <c r="D24" s="24" t="str">
        <f t="shared" si="3"/>
        <v>Osi.TemplateAddTo("da2a1502-399f-440d-93be-db6930231525", GetHostCharacter(), 1, 1);</v>
      </c>
    </row>
    <row r="25">
      <c r="A25" s="21" t="str">
        <f>HYPERLINK("https://bg3.wiki/wiki/Dale_Shipment_Trunk", "Dale Shipment Trunk")</f>
        <v>Dale Shipment Trunk</v>
      </c>
      <c r="B25" s="22" t="s">
        <v>11</v>
      </c>
      <c r="C25" s="23" t="s">
        <v>2382</v>
      </c>
      <c r="D25" s="24" t="str">
        <f t="shared" si="3"/>
        <v>Osi.TemplateAddTo("ec3165d4-4d9a-4d86-a276-092ebbafce4d", GetHostCharacter(), 1, 1);</v>
      </c>
    </row>
    <row r="26">
      <c r="A26" s="21" t="str">
        <f>HYPERLINK("https://bg3.wiki/wiki/Damaged_Vase", "Damaged Vase")</f>
        <v>Damaged Vase</v>
      </c>
      <c r="B26" s="22" t="s">
        <v>11</v>
      </c>
      <c r="C26" s="23" t="s">
        <v>158</v>
      </c>
      <c r="D26" s="24"/>
    </row>
    <row r="27">
      <c r="A27" s="21" t="str">
        <f>HYPERLINK("https://bg3.wiki/wiki/Decorated_Barrel", "Decorated Barrel")</f>
        <v>Decorated Barrel</v>
      </c>
      <c r="B27" s="22" t="s">
        <v>11</v>
      </c>
      <c r="C27" s="23" t="s">
        <v>2383</v>
      </c>
      <c r="D27" s="24" t="str">
        <f t="shared" ref="D27:D29" si="4">"Osi.TemplateAddTo("""&amp; C27 &amp;""", GetHostCharacter(), 1, 1);"</f>
        <v>Osi.TemplateAddTo("4964192d-2cf5-4099-9d78-ee6ce48b40f7", GetHostCharacter(), 1, 1);</v>
      </c>
    </row>
    <row r="28">
      <c r="A28" s="21" t="str">
        <f>HYPERLINK("https://bg3.wiki/wiki/Elaborate_Reliquary", "Elaborate Reliquary")</f>
        <v>Elaborate Reliquary</v>
      </c>
      <c r="B28" s="22" t="s">
        <v>11</v>
      </c>
      <c r="C28" s="23" t="s">
        <v>2384</v>
      </c>
      <c r="D28" s="24" t="str">
        <f t="shared" si="4"/>
        <v>Osi.TemplateAddTo("95dde668-cee0-47c0-92ed-1072db84f687", GetHostCharacter(), 1, 1);</v>
      </c>
    </row>
    <row r="29">
      <c r="A29" s="21" t="str">
        <f>HYPERLINK("https://bg3.wiki/wiki/Elegant_Chest", "Elegant Chest")</f>
        <v>Elegant Chest</v>
      </c>
      <c r="B29" s="22" t="s">
        <v>11</v>
      </c>
      <c r="C29" s="23" t="s">
        <v>2385</v>
      </c>
      <c r="D29" s="24" t="str">
        <f t="shared" si="4"/>
        <v>Osi.TemplateAddTo("c8829f73-f92e-4b59-88a9-8e186b667836", GetHostCharacter(), 1, 1);</v>
      </c>
    </row>
    <row r="30">
      <c r="A30" s="21" t="str">
        <f>HYPERLINK("https://bg3.wiki/wiki/Fish_Barrel", "Fish Barrel")</f>
        <v>Fish Barrel</v>
      </c>
      <c r="B30" s="22" t="s">
        <v>11</v>
      </c>
      <c r="C30" s="23" t="s">
        <v>158</v>
      </c>
      <c r="D30" s="24"/>
    </row>
    <row r="31">
      <c r="A31" s="21" t="str">
        <f>HYPERLINK("https://bg3.wiki/wiki/Gale%27s_Pouch", "Gale's Pouch")</f>
        <v>Gale's Pouch</v>
      </c>
      <c r="B31" s="22" t="s">
        <v>11</v>
      </c>
      <c r="C31" s="23" t="s">
        <v>2386</v>
      </c>
      <c r="D31" s="24" t="str">
        <f t="shared" ref="D31:D40" si="5">"Osi.TemplateAddTo("""&amp; C31 &amp;""", GetHostCharacter(), 1, 1);"</f>
        <v>Osi.TemplateAddTo("20963422-5c20-4d10-9227-584adcc7e41a", GetHostCharacter(), 1, 1);</v>
      </c>
    </row>
    <row r="32">
      <c r="A32" s="21" t="str">
        <f>HYPERLINK("https://bg3.wiki/wiki/Gilded_Chest", "Gilded Chest")</f>
        <v>Gilded Chest</v>
      </c>
      <c r="B32" s="22" t="s">
        <v>11</v>
      </c>
      <c r="C32" s="23" t="s">
        <v>2387</v>
      </c>
      <c r="D32" s="24" t="str">
        <f t="shared" si="5"/>
        <v>Osi.TemplateAddTo("7aef0ad4-113a-402b-8491-e2dbff9add19", GetHostCharacter(), 1, 1);</v>
      </c>
    </row>
    <row r="33">
      <c r="A33" s="21" t="str">
        <f>HYPERLINK("https://bg3.wiki/wiki/Grimy_Chest", "Grimy Chest")</f>
        <v>Grimy Chest</v>
      </c>
      <c r="B33" s="22" t="s">
        <v>11</v>
      </c>
      <c r="C33" s="23" t="s">
        <v>2388</v>
      </c>
      <c r="D33" s="24" t="str">
        <f t="shared" si="5"/>
        <v>Osi.TemplateAddTo("e9f5d430-4063-4c3b-a600-465c2bacd5b0", GetHostCharacter(), 1, 1);</v>
      </c>
    </row>
    <row r="34">
      <c r="A34" s="21" t="str">
        <f>HYPERLINK("https://bg3.wiki/wiki/Hand_Bag", "Hand Bag")</f>
        <v>Hand Bag</v>
      </c>
      <c r="B34" s="22" t="s">
        <v>444</v>
      </c>
      <c r="C34" s="23" t="s">
        <v>2389</v>
      </c>
      <c r="D34" s="24" t="str">
        <f t="shared" si="5"/>
        <v>Osi.TemplateAddTo("43404e7f-b5a9-491d-b0ef-f3fc7f002229", GetHostCharacter(), 1, 1);</v>
      </c>
    </row>
    <row r="35">
      <c r="A35" s="21" t="str">
        <f>HYPERLINK("https://bg3.wiki/wiki/Harper_Stash", "Harper Stash")</f>
        <v>Harper Stash</v>
      </c>
      <c r="B35" s="22" t="s">
        <v>11</v>
      </c>
      <c r="C35" s="23" t="s">
        <v>2390</v>
      </c>
      <c r="D35" s="24" t="str">
        <f t="shared" si="5"/>
        <v>Osi.TemplateAddTo("e776f2aa-0a7f-40b7-a4ec-7f951c7a5724", GetHostCharacter(), 1, 1);</v>
      </c>
    </row>
    <row r="36">
      <c r="A36" s="21" t="str">
        <f>HYPERLINK("https://bg3.wiki/wiki/Heavy_Backpack", "Heavy Backpack")</f>
        <v>Heavy Backpack</v>
      </c>
      <c r="B36" s="22" t="s">
        <v>11</v>
      </c>
      <c r="C36" s="23" t="s">
        <v>2391</v>
      </c>
      <c r="D36" s="24" t="str">
        <f t="shared" si="5"/>
        <v>Osi.TemplateAddTo("1075f497-108e-4697-90d1-4615963614f3", GetHostCharacter(), 1, 1);</v>
      </c>
    </row>
    <row r="37">
      <c r="A37" s="21" t="str">
        <f>HYPERLINK("https://bg3.wiki/wiki/Heavy_Chest", "Heavy Chest")</f>
        <v>Heavy Chest</v>
      </c>
      <c r="B37" s="22" t="s">
        <v>11</v>
      </c>
      <c r="C37" s="23" t="s">
        <v>2392</v>
      </c>
      <c r="D37" s="24" t="str">
        <f t="shared" si="5"/>
        <v>Osi.TemplateAddTo("0b90bf9d-66fd-4741-be1f-39181efca97a", GetHostCharacter(), 1, 1);</v>
      </c>
    </row>
    <row r="38">
      <c r="A38" s="21" t="str">
        <f>HYPERLINK("https://bg3.wiki/wiki/Innkeeper%27s_Lockbox", "Innkeeper's Lockbox")</f>
        <v>Innkeeper's Lockbox</v>
      </c>
      <c r="B38" s="22" t="s">
        <v>444</v>
      </c>
      <c r="C38" s="23" t="s">
        <v>2393</v>
      </c>
      <c r="D38" s="24" t="str">
        <f t="shared" si="5"/>
        <v>Osi.TemplateAddTo("bda09d2a-9a65-47b8-ba51-d6d7ab0f6129", GetHostCharacter(), 1, 1);</v>
      </c>
    </row>
    <row r="39">
      <c r="A39" s="21" t="str">
        <f>HYPERLINK("https://bg3.wiki/wiki/Kanon%27s_Belongings", "Kanon's Belongings")</f>
        <v>Kanon's Belongings</v>
      </c>
      <c r="B39" s="22" t="s">
        <v>11</v>
      </c>
      <c r="C39" s="23" t="s">
        <v>2394</v>
      </c>
      <c r="D39" s="24" t="str">
        <f t="shared" si="5"/>
        <v>Osi.TemplateAddTo("34f15197-44e7-4e5c-afd4-11a3c6b6c1b4", GetHostCharacter(), 1, 1);</v>
      </c>
    </row>
    <row r="40">
      <c r="A40" s="21" t="str">
        <f>HYPERLINK("https://bg3.wiki/wiki/Keychain", "Keychain")</f>
        <v>Keychain</v>
      </c>
      <c r="B40" s="22" t="s">
        <v>11</v>
      </c>
      <c r="C40" s="23" t="s">
        <v>2395</v>
      </c>
      <c r="D40" s="24" t="str">
        <f t="shared" si="5"/>
        <v>Osi.TemplateAddTo("ee329627-dbee-405f-b9a6-b260de9ad34c", GetHostCharacter(), 1, 1);</v>
      </c>
    </row>
    <row r="41">
      <c r="A41" s="21" t="str">
        <f>HYPERLINK("https://bg3.wiki/wiki/Loose_Plank", "Loose Plank")</f>
        <v>Loose Plank</v>
      </c>
      <c r="B41" s="22" t="s">
        <v>11</v>
      </c>
      <c r="C41" s="23" t="s">
        <v>158</v>
      </c>
      <c r="D41" s="24"/>
    </row>
    <row r="42">
      <c r="A42" s="21" t="str">
        <f>HYPERLINK("https://bg3.wiki/wiki/Looters%27_Trunk", "Looters' Trunk")</f>
        <v>Looters' Trunk</v>
      </c>
      <c r="B42" s="22" t="s">
        <v>11</v>
      </c>
      <c r="C42" s="23" t="s">
        <v>158</v>
      </c>
      <c r="D42" s="24"/>
    </row>
    <row r="43">
      <c r="A43" s="21" t="str">
        <f>HYPERLINK("https://bg3.wiki/wiki/Magical_Walnut", "Magical Walnut")</f>
        <v>Magical Walnut</v>
      </c>
      <c r="B43" s="22" t="s">
        <v>11</v>
      </c>
      <c r="C43" s="23" t="s">
        <v>2396</v>
      </c>
      <c r="D43" s="24" t="str">
        <f>"Osi.TemplateAddTo("""&amp; C43 &amp;""", GetHostCharacter(), 1, 1);"</f>
        <v>Osi.TemplateAddTo("8b910e28-a3e7-4e95-a766-b8c1eb8bf6f2", GetHostCharacter(), 1, 1);</v>
      </c>
    </row>
    <row r="44">
      <c r="A44" s="21" t="str">
        <f>HYPERLINK("https://bg3.wiki/wiki/Metal_Crate", "Metal Crate")</f>
        <v>Metal Crate</v>
      </c>
      <c r="B44" s="22" t="s">
        <v>11</v>
      </c>
      <c r="C44" s="23" t="s">
        <v>158</v>
      </c>
      <c r="D44" s="24"/>
    </row>
    <row r="45">
      <c r="A45" s="21" t="str">
        <f>HYPERLINK("https://bg3.wiki/wiki/Metal_Trunk", "Metal Trunk")</f>
        <v>Metal Trunk</v>
      </c>
      <c r="B45" s="22" t="s">
        <v>11</v>
      </c>
      <c r="C45" s="23" t="s">
        <v>158</v>
      </c>
      <c r="D45" s="24"/>
    </row>
    <row r="46">
      <c r="A46" s="21" t="str">
        <f>HYPERLINK("https://bg3.wiki/wiki/Moss-Covered_Chest", "Moss-Covered Chest")</f>
        <v>Moss-Covered Chest</v>
      </c>
      <c r="B46" s="22" t="s">
        <v>11</v>
      </c>
      <c r="C46" s="23" t="s">
        <v>2397</v>
      </c>
      <c r="D46" s="24" t="str">
        <f t="shared" ref="D46:D48" si="6">"Osi.TemplateAddTo("""&amp; C46 &amp;""", GetHostCharacter(), 1, 1);"</f>
        <v>Osi.TemplateAddTo("5c487da2-cda8-4af9-bab7-ed491da20911", GetHostCharacter(), 1, 1);</v>
      </c>
    </row>
    <row r="47">
      <c r="A47" s="21" t="str">
        <f>HYPERLINK("https://bg3.wiki/wiki/Old_Backpack", "Old Backpack")</f>
        <v>Old Backpack</v>
      </c>
      <c r="B47" s="22" t="s">
        <v>11</v>
      </c>
      <c r="C47" s="23" t="s">
        <v>2398</v>
      </c>
      <c r="D47" s="24" t="str">
        <f t="shared" si="6"/>
        <v>Osi.TemplateAddTo("c57205b5-da9d-47ab-9917-c316b007735a", GetHostCharacter(), 1, 1);</v>
      </c>
    </row>
    <row r="48">
      <c r="A48" s="21" t="str">
        <f>HYPERLINK("https://bg3.wiki/wiki/Old_Pouch", "Old Pouch")</f>
        <v>Old Pouch</v>
      </c>
      <c r="B48" s="22" t="s">
        <v>11</v>
      </c>
      <c r="C48" s="23" t="s">
        <v>2399</v>
      </c>
      <c r="D48" s="24" t="str">
        <f t="shared" si="6"/>
        <v>Osi.TemplateAddTo("ae7390dd-0663-4ae7-bef0-5c7e09173cb2", GetHostCharacter(), 1, 1);</v>
      </c>
    </row>
    <row r="49">
      <c r="A49" s="21" t="str">
        <f>HYPERLINK("https://bg3.wiki/wiki/Opulent_Chest", "Opulent Chest")</f>
        <v>Opulent Chest</v>
      </c>
      <c r="B49" s="22" t="s">
        <v>11</v>
      </c>
      <c r="C49" s="23" t="s">
        <v>158</v>
      </c>
      <c r="D49" s="24"/>
    </row>
    <row r="50">
      <c r="A50" s="21" t="str">
        <f>HYPERLINK("https://bg3.wiki/wiki/Ornate_Chest", "Ornate Chest")</f>
        <v>Ornate Chest</v>
      </c>
      <c r="B50" s="22" t="s">
        <v>11</v>
      </c>
      <c r="C50" s="23" t="s">
        <v>2400</v>
      </c>
      <c r="D50" s="24" t="str">
        <f t="shared" ref="D50:D54" si="7">"Osi.TemplateAddTo("""&amp; C50 &amp;""", GetHostCharacter(), 1, 1);"</f>
        <v>Osi.TemplateAddTo("89b85f26-c282-40e2-bfdc-bf0932649443", GetHostCharacter(), 1, 1);</v>
      </c>
    </row>
    <row r="51">
      <c r="A51" s="21" t="str">
        <f>HYPERLINK("https://bg3.wiki/wiki/Painted_Chest", "Painted Chest")</f>
        <v>Painted Chest</v>
      </c>
      <c r="B51" s="22" t="s">
        <v>11</v>
      </c>
      <c r="C51" s="23" t="s">
        <v>2401</v>
      </c>
      <c r="D51" s="24" t="str">
        <f t="shared" si="7"/>
        <v>Osi.TemplateAddTo("9e7c9903-5690-488d-b648-462fa5cbaafe", GetHostCharacter(), 1, 1);</v>
      </c>
    </row>
    <row r="52">
      <c r="A52" s="21" t="str">
        <f>HYPERLINK("https://bg3.wiki/wiki/Patched-Together_Sack", "Patched-Together Sack")</f>
        <v>Patched-Together Sack</v>
      </c>
      <c r="B52" s="22" t="s">
        <v>11</v>
      </c>
      <c r="C52" s="23" t="s">
        <v>2402</v>
      </c>
      <c r="D52" s="24" t="str">
        <f t="shared" si="7"/>
        <v>Osi.TemplateAddTo("31304934-a413-4e41-9385-fab78b84b73d", GetHostCharacter(), 1, 1);</v>
      </c>
    </row>
    <row r="53">
      <c r="A53" s="21" t="str">
        <f>HYPERLINK("https://bg3.wiki/wiki/Peculiar_Clothing_Chest", "Peculiar Clothing Chest")</f>
        <v>Peculiar Clothing Chest</v>
      </c>
      <c r="B53" s="22" t="s">
        <v>11</v>
      </c>
      <c r="C53" s="23" t="s">
        <v>2403</v>
      </c>
      <c r="D53" s="24" t="str">
        <f t="shared" si="7"/>
        <v>Osi.TemplateAddTo("8a1f5dc0-3f13-47ed-b238-50fdcaa2f680", GetHostCharacter(), 1, 1);</v>
      </c>
    </row>
    <row r="54">
      <c r="A54" s="21" t="str">
        <f>HYPERLINK("https://bg3.wiki/wiki/Pickpocket%27s_Bag", "Pickpocket's Bag")</f>
        <v>Pickpocket's Bag</v>
      </c>
      <c r="B54" s="22" t="s">
        <v>11</v>
      </c>
      <c r="C54" s="23" t="s">
        <v>2404</v>
      </c>
      <c r="D54" s="24" t="str">
        <f t="shared" si="7"/>
        <v>Osi.TemplateAddTo("06b3d3ec-5cda-4384-bebd-0fe66008dd3b", GetHostCharacter(), 1, 1);</v>
      </c>
    </row>
    <row r="55">
      <c r="A55" s="21" t="str">
        <f>HYPERLINK("https://bg3.wiki/wiki/Pile_of_Books", "Pile of Books")</f>
        <v>Pile of Books</v>
      </c>
      <c r="B55" s="22" t="s">
        <v>11</v>
      </c>
      <c r="C55" s="23" t="s">
        <v>158</v>
      </c>
      <c r="D55" s="24"/>
    </row>
    <row r="56">
      <c r="A56" s="21" t="str">
        <f>HYPERLINK("https://bg3.wiki/wiki/Pouch", "Pouch")</f>
        <v>Pouch</v>
      </c>
      <c r="B56" s="22" t="s">
        <v>11</v>
      </c>
      <c r="C56" s="23" t="s">
        <v>2405</v>
      </c>
      <c r="D56" s="24" t="str">
        <f t="shared" ref="D56:D57" si="8">"Osi.TemplateAddTo("""&amp; C56 &amp;""", GetHostCharacter(), 1, 1);"</f>
        <v>Osi.TemplateAddTo("2e40240b-77d3-400b-bd6a-caff66a85833", GetHostCharacter(), 1, 1);</v>
      </c>
    </row>
    <row r="57">
      <c r="A57" s="21" t="str">
        <f>HYPERLINK("https://bg3.wiki/wiki/Ribcage", "Ribcage")</f>
        <v>Ribcage</v>
      </c>
      <c r="B57" s="22" t="s">
        <v>11</v>
      </c>
      <c r="C57" s="23" t="s">
        <v>2406</v>
      </c>
      <c r="D57" s="24" t="str">
        <f t="shared" si="8"/>
        <v>Osi.TemplateAddTo("254096e8-fb58-46e4-9d85-29a8f92f78e6", GetHostCharacter(), 1, 1);</v>
      </c>
    </row>
    <row r="58">
      <c r="A58" s="21" t="str">
        <f>HYPERLINK("https://bg3.wiki/wiki/Rosewood_Desk", "Rosewood Desk")</f>
        <v>Rosewood Desk</v>
      </c>
      <c r="B58" s="22" t="s">
        <v>11</v>
      </c>
      <c r="C58" s="23" t="s">
        <v>158</v>
      </c>
      <c r="D58" s="24"/>
    </row>
    <row r="59">
      <c r="A59" s="21" t="str">
        <f>HYPERLINK("https://bg3.wiki/wiki/Row_of_Books", "Row of Books")</f>
        <v>Row of Books</v>
      </c>
      <c r="B59" s="22" t="s">
        <v>11</v>
      </c>
      <c r="C59" s="23" t="s">
        <v>158</v>
      </c>
      <c r="D59" s="24"/>
    </row>
    <row r="60">
      <c r="A60" s="21" t="str">
        <f>HYPERLINK("https://bg3.wiki/wiki/Rustic_Chest", "Rustic Chest (V1)")</f>
        <v>Rustic Chest (V1)</v>
      </c>
      <c r="B60" s="22" t="s">
        <v>11</v>
      </c>
      <c r="C60" s="23" t="s">
        <v>2407</v>
      </c>
      <c r="D60" s="24" t="str">
        <f t="shared" ref="D60:D61" si="9">"Osi.TemplateAddTo("""&amp; C60 &amp;""", GetHostCharacter(), 1, 1);"</f>
        <v>Osi.TemplateAddTo("bcab5511-8b7a-4f15-be35-e7f1771caf70", GetHostCharacter(), 1, 1);</v>
      </c>
    </row>
    <row r="61">
      <c r="A61" s="21" t="str">
        <f>HYPERLINK("https://bg3.wiki/wiki/Rustic_Chest", "Rustic Chest (V2)")</f>
        <v>Rustic Chest (V2)</v>
      </c>
      <c r="B61" s="22" t="s">
        <v>11</v>
      </c>
      <c r="C61" s="23" t="s">
        <v>2408</v>
      </c>
      <c r="D61" s="24" t="str">
        <f t="shared" si="9"/>
        <v>Osi.TemplateAddTo("5f089bb9-1816-43b8-8e44-f2d58804ea23", GetHostCharacter(), 1, 1);</v>
      </c>
    </row>
    <row r="62">
      <c r="A62" s="21" t="str">
        <f>HYPERLINK("https://bg3.wiki/wiki/Shabby_Wardrobe", "Shabby Wardrobe")</f>
        <v>Shabby Wardrobe</v>
      </c>
      <c r="B62" s="22" t="s">
        <v>11</v>
      </c>
      <c r="C62" s="23" t="s">
        <v>158</v>
      </c>
      <c r="D62" s="24"/>
    </row>
    <row r="63">
      <c r="A63" s="21" t="str">
        <f>HYPERLINK("https://bg3.wiki/wiki/Shelves_(Container)", "Shelves (Container)")</f>
        <v>Shelves (Container)</v>
      </c>
      <c r="B63" s="22" t="s">
        <v>11</v>
      </c>
      <c r="C63" s="23" t="s">
        <v>158</v>
      </c>
      <c r="D63" s="24"/>
    </row>
    <row r="64">
      <c r="A64" s="21" t="str">
        <f>HYPERLINK("https://bg3.wiki/wiki/Shiny_Chest", "Shiny Chest")</f>
        <v>Shiny Chest</v>
      </c>
      <c r="B64" s="22" t="s">
        <v>11</v>
      </c>
      <c r="C64" s="23" t="s">
        <v>2409</v>
      </c>
      <c r="D64" s="24" t="str">
        <f>"Osi.TemplateAddTo("""&amp; C64 &amp;""", GetHostCharacter(), 1, 1);"</f>
        <v>Osi.TemplateAddTo("ad00fbe8-2d50-4db4-877d-467a4310c2c0", GetHostCharacter(), 1, 1);</v>
      </c>
    </row>
    <row r="65">
      <c r="A65" s="21" t="str">
        <f>HYPERLINK("https://bg3.wiki/wiki/Smelly_Bag", "Smelly Bag")</f>
        <v>Smelly Bag</v>
      </c>
      <c r="B65" s="22" t="s">
        <v>11</v>
      </c>
      <c r="C65" s="23" t="s">
        <v>158</v>
      </c>
      <c r="D65" s="24"/>
    </row>
    <row r="66">
      <c r="A66" s="21" t="str">
        <f>HYPERLINK("https://bg3.wiki/wiki/Stack_of_Books", "Stack of Books")</f>
        <v>Stack of Books</v>
      </c>
      <c r="B66" s="22" t="s">
        <v>11</v>
      </c>
      <c r="C66" s="23" t="s">
        <v>158</v>
      </c>
      <c r="D66" s="24"/>
    </row>
    <row r="67">
      <c r="A67" s="21" t="str">
        <f>HYPERLINK("https://bg3.wiki/wiki/Storage_Box", "Storage Box")</f>
        <v>Storage Box</v>
      </c>
      <c r="B67" s="22" t="s">
        <v>11</v>
      </c>
      <c r="C67" s="23" t="s">
        <v>2410</v>
      </c>
      <c r="D67" s="24" t="str">
        <f>"Osi.TemplateAddTo("""&amp; C67 &amp;""", GetHostCharacter(), 1, 1);"</f>
        <v>Osi.TemplateAddTo("e27514b7-5692-4667-b81f-5e17d4a87730", GetHostCharacter(), 1, 1);</v>
      </c>
    </row>
    <row r="68">
      <c r="A68" s="21" t="str">
        <f>HYPERLINK("https://bg3.wiki/wiki/Storage_Chest", "Storage Chest")</f>
        <v>Storage Chest</v>
      </c>
      <c r="B68" s="22" t="s">
        <v>11</v>
      </c>
      <c r="C68" s="23" t="s">
        <v>158</v>
      </c>
      <c r="D68" s="24"/>
    </row>
    <row r="69">
      <c r="A69" s="21" t="str">
        <f>HYPERLINK("https://bg3.wiki/wiki/Strongbox", "Strongbox")</f>
        <v>Strongbox</v>
      </c>
      <c r="B69" s="22" t="s">
        <v>11</v>
      </c>
      <c r="C69" s="23" t="s">
        <v>158</v>
      </c>
      <c r="D69" s="24"/>
    </row>
    <row r="70">
      <c r="A70" s="21" t="str">
        <f>HYPERLINK("https://bg3.wiki/wiki/Stuffed_Bear_(Container)", "Stuffed Bear (Container)")</f>
        <v>Stuffed Bear (Container)</v>
      </c>
      <c r="B70" s="22" t="s">
        <v>11</v>
      </c>
      <c r="C70" s="23" t="s">
        <v>158</v>
      </c>
      <c r="D70" s="24"/>
    </row>
    <row r="71">
      <c r="A71" s="21" t="str">
        <f>HYPERLINK("https://bg3.wiki/wiki/Table_(Container)", "Table (Container)")</f>
        <v>Table (Container)</v>
      </c>
      <c r="B71" s="22" t="s">
        <v>11</v>
      </c>
      <c r="C71" s="23" t="s">
        <v>158</v>
      </c>
      <c r="D71" s="24"/>
    </row>
    <row r="72">
      <c r="A72" s="21" t="str">
        <f>HYPERLINK("https://bg3.wiki/wiki/Thayan_Shipment_Box", "Thayan Shipment Box")</f>
        <v>Thayan Shipment Box</v>
      </c>
      <c r="B72" s="22" t="s">
        <v>11</v>
      </c>
      <c r="C72" s="23" t="s">
        <v>2411</v>
      </c>
      <c r="D72" s="24" t="str">
        <f>"Osi.TemplateAddTo("""&amp; C72 &amp;""", GetHostCharacter(), 1, 1);"</f>
        <v>Osi.TemplateAddTo("831463e0-7798-4e18-8cd1-14e6bcbfd232", GetHostCharacter(), 1, 1);</v>
      </c>
    </row>
    <row r="73">
      <c r="A73" s="21" t="str">
        <f>HYPERLINK("https://bg3.wiki/wiki/Toy_Chest", "Toy Chest")</f>
        <v>Toy Chest</v>
      </c>
      <c r="B73" s="22" t="s">
        <v>11</v>
      </c>
      <c r="C73" s="23" t="s">
        <v>158</v>
      </c>
      <c r="D73" s="24"/>
    </row>
    <row r="74">
      <c r="A74" s="21" t="str">
        <f>HYPERLINK("https://bg3.wiki/wiki/Travel-Worn_Chest", "Travel-Worn Chest")</f>
        <v>Travel-Worn Chest</v>
      </c>
      <c r="B74" s="22" t="s">
        <v>11</v>
      </c>
      <c r="C74" s="23" t="s">
        <v>2412</v>
      </c>
      <c r="D74" s="24" t="str">
        <f t="shared" ref="D74:D75" si="10">"Osi.TemplateAddTo("""&amp; C74 &amp;""", GetHostCharacter(), 1, 1);"</f>
        <v>Osi.TemplateAddTo("fb8f8efe-f0d1-4534-a665-4de548241174", GetHostCharacter(), 1, 1);</v>
      </c>
    </row>
    <row r="75">
      <c r="A75" s="21" t="str">
        <f>HYPERLINK("https://bg3.wiki/wiki/Traveller%27s_Chest", "Traveller's Chest")</f>
        <v>Traveller's Chest</v>
      </c>
      <c r="B75" s="22" t="s">
        <v>11</v>
      </c>
      <c r="C75" s="23" t="s">
        <v>2413</v>
      </c>
      <c r="D75" s="24" t="str">
        <f t="shared" si="10"/>
        <v>Osi.TemplateAddTo("96eab9d1-74b1-42f7-b1ad-061a9fcea8c4", GetHostCharacter(), 1, 1);</v>
      </c>
    </row>
    <row r="76">
      <c r="A76" s="21" t="str">
        <f>HYPERLINK("https://bg3.wiki/wiki/Vase", "Vase")</f>
        <v>Vase</v>
      </c>
      <c r="B76" s="22" t="s">
        <v>11</v>
      </c>
      <c r="C76" s="23" t="s">
        <v>158</v>
      </c>
      <c r="D76" s="24"/>
    </row>
    <row r="77">
      <c r="A77" s="21" t="str">
        <f>HYPERLINK("https://bg3.wiki/wiki/Watertight_Chest", "Watertight Chest")</f>
        <v>Watertight Chest</v>
      </c>
      <c r="B77" s="22" t="s">
        <v>11</v>
      </c>
      <c r="C77" s="23" t="s">
        <v>158</v>
      </c>
      <c r="D77" s="24"/>
    </row>
    <row r="78">
      <c r="A78" s="21" t="str">
        <f>HYPERLINK("https://bg3.wiki/wiki/Wicker_Chest", "Wicker Chest")</f>
        <v>Wicker Chest</v>
      </c>
      <c r="B78" s="22" t="s">
        <v>11</v>
      </c>
      <c r="C78" s="23" t="s">
        <v>2414</v>
      </c>
      <c r="D78" s="24" t="str">
        <f t="shared" ref="D78:D79" si="11">"Osi.TemplateAddTo("""&amp; C78 &amp;""", GetHostCharacter(), 1, 1);"</f>
        <v>Osi.TemplateAddTo("b8bfef23-3f4e-4a82-86dc-2b7b6abbddb8", GetHostCharacter(), 1, 1);</v>
      </c>
    </row>
    <row r="79">
      <c r="A79" s="21" t="str">
        <f>HYPERLINK("https://bg3.wiki/wiki/Wooden_Barrel", "Wooden Barrel")</f>
        <v>Wooden Barrel</v>
      </c>
      <c r="B79" s="22" t="s">
        <v>11</v>
      </c>
      <c r="C79" s="23" t="s">
        <v>2415</v>
      </c>
      <c r="D79" s="24" t="str">
        <f t="shared" si="11"/>
        <v>Osi.TemplateAddTo("1849ce97-45ac-43ea-9518-9f80aaa0c005", GetHostCharacter(), 1, 1);</v>
      </c>
    </row>
    <row r="80">
      <c r="A80" s="21" t="str">
        <f>HYPERLINK("https://bg3.wiki/wiki/Wooden_Chest", "Wooden Chest")</f>
        <v>Wooden Chest</v>
      </c>
      <c r="B80" s="22" t="s">
        <v>11</v>
      </c>
      <c r="C80" s="23" t="s">
        <v>158</v>
      </c>
      <c r="D80" s="24"/>
    </row>
    <row r="81">
      <c r="A81" s="21" t="str">
        <f>HYPERLINK("https://bg3.wiki/wiki/Wooden_Crate", "Wooden Crate")</f>
        <v>Wooden Crate</v>
      </c>
      <c r="B81" s="22" t="s">
        <v>11</v>
      </c>
      <c r="C81" s="23" t="s">
        <v>2416</v>
      </c>
      <c r="D81" s="24" t="str">
        <f>"Osi.TemplateAddTo("""&amp; C81 &amp;""", GetHostCharacter(), 1, 1);"</f>
        <v>Osi.TemplateAddTo("23578669-058f-4318-8e51-87523fc1307f", GetHostCharacter(), 1, 1);</v>
      </c>
    </row>
    <row r="82">
      <c r="A82" s="21" t="str">
        <f>HYPERLINK("https://bg3.wiki/wiki/Wooden_Desk", "Wooden Desk")</f>
        <v>Wooden Desk</v>
      </c>
      <c r="B82" s="22" t="s">
        <v>11</v>
      </c>
      <c r="C82" s="23" t="s">
        <v>158</v>
      </c>
      <c r="D82" s="24"/>
    </row>
    <row r="83">
      <c r="A83" s="21" t="str">
        <f>HYPERLINK("https://bg3.wiki/wiki/Wooden_Shelf_(Container)", "Wooden Shelf (Container)")</f>
        <v>Wooden Shelf (Container)</v>
      </c>
      <c r="B83" s="22" t="s">
        <v>11</v>
      </c>
      <c r="C83" s="23" t="s">
        <v>158</v>
      </c>
      <c r="D83" s="24"/>
    </row>
    <row r="84">
      <c r="A84" s="38" t="str">
        <f>HYPERLINK("https://bg3.wiki/wiki/Wooden_Trunk", "Wooden Trunk")</f>
        <v>Wooden Trunk</v>
      </c>
      <c r="B84" s="39" t="s">
        <v>11</v>
      </c>
      <c r="C84" s="40" t="s">
        <v>2417</v>
      </c>
      <c r="D84" s="41" t="str">
        <f>"Osi.TemplateAddTo("""&amp; C84 &amp;""", GetHostCharacter(), 1, 1);"</f>
        <v>Osi.TemplateAddTo("f403ec67-ba4b-4320-983a-60a8de9e3492", GetHostCharacter(), 1, 1);</v>
      </c>
    </row>
    <row r="85">
      <c r="A85" s="22"/>
      <c r="B85" s="22"/>
      <c r="C85" s="23"/>
      <c r="D85" s="22"/>
    </row>
    <row r="86">
      <c r="A86" s="22" t="s">
        <v>2418</v>
      </c>
    </row>
    <row r="87">
      <c r="A87" s="22" t="s">
        <v>2419</v>
      </c>
      <c r="B87" s="22"/>
      <c r="C87" s="23"/>
      <c r="D87" s="22"/>
    </row>
    <row r="88">
      <c r="A88" s="34" t="s">
        <v>7</v>
      </c>
      <c r="B88" s="35" t="s">
        <v>8</v>
      </c>
      <c r="C88" s="35" t="s">
        <v>9</v>
      </c>
      <c r="D88" s="36" t="s">
        <v>10</v>
      </c>
    </row>
    <row r="89">
      <c r="A89" s="21" t="str">
        <f>HYPERLINK("https://bg3.wiki/wiki/Gold", "Gold")</f>
        <v>Gold</v>
      </c>
      <c r="B89" s="22" t="s">
        <v>11</v>
      </c>
      <c r="C89" s="23" t="s">
        <v>13</v>
      </c>
      <c r="D89" s="24" t="str">
        <f t="shared" ref="D89:D93" si="12">"Osi.TemplateAddTo("""&amp; C89 &amp;""", GetHostCharacter(), 1, 1);"</f>
        <v>Osi.TemplateAddTo("1c3c9c74-34a1-4685-989e-410dc080be6f", GetHostCharacter(), 1, 1);</v>
      </c>
    </row>
    <row r="90">
      <c r="A90" s="21" t="str">
        <f>HYPERLINK("https://bg3.wiki/wiki/Bronze_Ingot", "Bronze Ingot")</f>
        <v>Bronze Ingot</v>
      </c>
      <c r="B90" s="22" t="s">
        <v>11</v>
      </c>
      <c r="C90" s="23" t="s">
        <v>2420</v>
      </c>
      <c r="D90" s="24" t="str">
        <f t="shared" si="12"/>
        <v>Osi.TemplateAddTo("5b386575-5836-40cd-8548-e5c27fd105a1", GetHostCharacter(), 1, 1);</v>
      </c>
    </row>
    <row r="91">
      <c r="A91" s="21" t="str">
        <f>HYPERLINK("https://bg3.wiki/wiki/Gold_Ingot", "Gold Ingot")</f>
        <v>Gold Ingot</v>
      </c>
      <c r="B91" s="22" t="s">
        <v>11</v>
      </c>
      <c r="C91" s="23" t="s">
        <v>2421</v>
      </c>
      <c r="D91" s="24" t="str">
        <f t="shared" si="12"/>
        <v>Osi.TemplateAddTo("44f47718-9769-4c0e-af75-7789d2f2913d", GetHostCharacter(), 1, 1);</v>
      </c>
    </row>
    <row r="92">
      <c r="A92" s="21" t="str">
        <f>HYPERLINK("https://bg3.wiki/wiki/Mithral_Ingot", "Mithral Ingot")</f>
        <v>Mithral Ingot</v>
      </c>
      <c r="B92" s="22" t="s">
        <v>11</v>
      </c>
      <c r="C92" s="23" t="s">
        <v>2422</v>
      </c>
      <c r="D92" s="24" t="str">
        <f t="shared" si="12"/>
        <v>Osi.TemplateAddTo("d746d7c3-ed35-4cd4-becc-6ebb3e0a7b46", GetHostCharacter(), 1, 1);</v>
      </c>
    </row>
    <row r="93">
      <c r="A93" s="66" t="str">
        <f>HYPERLINK("https://bg3.wiki/wiki/Silver_Ingot", "Silver Ingot")</f>
        <v>Silver Ingot</v>
      </c>
      <c r="B93" s="39" t="s">
        <v>11</v>
      </c>
      <c r="C93" s="40" t="s">
        <v>2423</v>
      </c>
      <c r="D93" s="41" t="str">
        <f t="shared" si="12"/>
        <v>Osi.TemplateAddTo("e0803337-e2b1-4528-8d4f-b5814e9a52ec", GetHostCharacter(), 1, 1);</v>
      </c>
    </row>
    <row r="94">
      <c r="C94" s="42"/>
    </row>
    <row r="95">
      <c r="A95" s="22" t="s">
        <v>2424</v>
      </c>
      <c r="B95" s="22"/>
      <c r="C95" s="23"/>
      <c r="D95" s="22"/>
    </row>
    <row r="96">
      <c r="A96" s="34" t="s">
        <v>7</v>
      </c>
      <c r="B96" s="35" t="s">
        <v>8</v>
      </c>
      <c r="C96" s="35" t="s">
        <v>9</v>
      </c>
      <c r="D96" s="36" t="s">
        <v>10</v>
      </c>
    </row>
    <row r="97">
      <c r="A97" s="21" t="str">
        <f>HYPERLINK("https://bg3.wiki/wiki/Agate", "Agate")</f>
        <v>Agate</v>
      </c>
      <c r="B97" s="22" t="s">
        <v>11</v>
      </c>
      <c r="C97" s="23" t="s">
        <v>2425</v>
      </c>
      <c r="D97" s="24" t="str">
        <f>"Osi.TemplateAddTo("""&amp; C97 &amp;""", GetHostCharacter(), 1, 1);"</f>
        <v>Osi.TemplateAddTo("75808952-29b8-4840-81e1-fcdd93155ddd", GetHostCharacter(), 1, 1);</v>
      </c>
    </row>
    <row r="98">
      <c r="A98" s="21" t="str">
        <f>HYPERLINK("https://bg3.wiki/wiki/Amethyst", "Amethyst")</f>
        <v>Amethyst</v>
      </c>
      <c r="B98" s="22" t="s">
        <v>11</v>
      </c>
      <c r="C98" s="23" t="s">
        <v>158</v>
      </c>
      <c r="D98" s="24"/>
    </row>
    <row r="99">
      <c r="A99" s="21" t="str">
        <f>HYPERLINK("https://bg3.wiki/wiki/Black_Diamond", "Black Diamond")</f>
        <v>Black Diamond</v>
      </c>
      <c r="B99" s="22" t="s">
        <v>11</v>
      </c>
      <c r="C99" s="23" t="s">
        <v>2426</v>
      </c>
      <c r="D99" s="24" t="str">
        <f t="shared" ref="D99:D113" si="13">"Osi.TemplateAddTo("""&amp; C99 &amp;""", GetHostCharacter(), 1, 1);"</f>
        <v>Osi.TemplateAddTo("82d4f21d-11c8-47dd-a69f-dcfb3103ff76", GetHostCharacter(), 1, 1);</v>
      </c>
    </row>
    <row r="100">
      <c r="A100" s="21" t="str">
        <f>HYPERLINK("https://bg3.wiki/wiki/Bloodstone", "Bloodstone")</f>
        <v>Bloodstone</v>
      </c>
      <c r="B100" s="22" t="s">
        <v>11</v>
      </c>
      <c r="C100" s="23" t="s">
        <v>2427</v>
      </c>
      <c r="D100" s="24" t="str">
        <f t="shared" si="13"/>
        <v>Osi.TemplateAddTo("a92ee8db-142f-4a2a-af64-78e3aec36832", GetHostCharacter(), 1, 1);</v>
      </c>
    </row>
    <row r="101">
      <c r="A101" s="61" t="str">
        <f>HYPERLINK("https://bg3.wiki/wiki/Diamond", "Diamond")</f>
        <v>Diamond</v>
      </c>
      <c r="B101" s="22" t="s">
        <v>11</v>
      </c>
      <c r="C101" s="23" t="s">
        <v>2428</v>
      </c>
      <c r="D101" s="24" t="str">
        <f t="shared" si="13"/>
        <v>Osi.TemplateAddTo("440f4817-5d30-4867-a982-5b8094ace403", GetHostCharacter(), 1, 1);</v>
      </c>
    </row>
    <row r="102">
      <c r="A102" s="61" t="str">
        <f>HYPERLINK("https://bg3.wiki/wiki/Infernal_Diamond", "Infernal Diamond")</f>
        <v>Infernal Diamond</v>
      </c>
      <c r="B102" s="22" t="s">
        <v>11</v>
      </c>
      <c r="C102" s="23" t="s">
        <v>2429</v>
      </c>
      <c r="D102" s="24" t="str">
        <f t="shared" si="13"/>
        <v>Osi.TemplateAddTo("9cfae0fb-ef7a-430c-a6aa-6efffae4a690", GetHostCharacter(), 1, 1);</v>
      </c>
    </row>
    <row r="103">
      <c r="A103" s="61" t="str">
        <f>HYPERLINK("https://bg3.wiki/wiki/Jacinth", "Jacinth")</f>
        <v>Jacinth</v>
      </c>
      <c r="B103" s="22" t="s">
        <v>11</v>
      </c>
      <c r="C103" s="23" t="s">
        <v>2430</v>
      </c>
      <c r="D103" s="24" t="str">
        <f t="shared" si="13"/>
        <v>Osi.TemplateAddTo("7b1ce21b-809f-4965-b52f-53fe10de6b30", GetHostCharacter(), 1, 1);</v>
      </c>
    </row>
    <row r="104">
      <c r="A104" s="61" t="str">
        <f>HYPERLINK("https://bg3.wiki/wiki/Jade", "Jade")</f>
        <v>Jade</v>
      </c>
      <c r="B104" s="22" t="s">
        <v>11</v>
      </c>
      <c r="C104" s="23" t="s">
        <v>2431</v>
      </c>
      <c r="D104" s="24" t="str">
        <f t="shared" si="13"/>
        <v>Osi.TemplateAddTo("94fb73e8-668a-499f-a88f-54d24c6947a7", GetHostCharacter(), 1, 1);</v>
      </c>
    </row>
    <row r="105">
      <c r="A105" s="61" t="str">
        <f>HYPERLINK("https://bg3.wiki/wiki/Keepsake_Gem", "Keepsake Gem")</f>
        <v>Keepsake Gem</v>
      </c>
      <c r="B105" s="22" t="s">
        <v>11</v>
      </c>
      <c r="C105" s="23" t="s">
        <v>2432</v>
      </c>
      <c r="D105" s="24" t="str">
        <f t="shared" si="13"/>
        <v>Osi.TemplateAddTo("793aaaa2-2bab-4c30-89c3-b2a2d622472f", GetHostCharacter(), 1, 1);</v>
      </c>
    </row>
    <row r="106">
      <c r="A106" s="61" t="str">
        <f>HYPERLINK("https://bg3.wiki/wiki/Malachite", "Malachite")</f>
        <v>Malachite</v>
      </c>
      <c r="B106" s="22" t="s">
        <v>11</v>
      </c>
      <c r="C106" s="23" t="s">
        <v>2433</v>
      </c>
      <c r="D106" s="24" t="str">
        <f t="shared" si="13"/>
        <v>Osi.TemplateAddTo("560e773d-6825-4cbd-83c1-9d8e4f53a704", GetHostCharacter(), 1, 1);</v>
      </c>
    </row>
    <row r="107">
      <c r="A107" s="61" t="str">
        <f>HYPERLINK("https://bg3.wiki/wiki/Onyx", "Onyx")</f>
        <v>Onyx</v>
      </c>
      <c r="B107" s="22" t="s">
        <v>11</v>
      </c>
      <c r="C107" s="23" t="s">
        <v>2434</v>
      </c>
      <c r="D107" s="24" t="str">
        <f t="shared" si="13"/>
        <v>Osi.TemplateAddTo("6cbbe9f6-c346-4d6c-b1f1-4cbe6aaf99ef", GetHostCharacter(), 1, 1);</v>
      </c>
    </row>
    <row r="108">
      <c r="A108" s="61" t="str">
        <f>HYPERLINK("https://bg3.wiki/wiki/Pearl", "Pearl")</f>
        <v>Pearl</v>
      </c>
      <c r="B108" s="22" t="s">
        <v>11</v>
      </c>
      <c r="C108" s="23" t="s">
        <v>2435</v>
      </c>
      <c r="D108" s="24" t="str">
        <f t="shared" si="13"/>
        <v>Osi.TemplateAddTo("31d1a9c1-bac0-4738-87ef-23f67b492051", GetHostCharacter(), 1, 1);</v>
      </c>
    </row>
    <row r="109">
      <c r="A109" s="61" t="str">
        <f>HYPERLINK("https://bg3.wiki/wiki/Peridot", "Peridot")</f>
        <v>Peridot</v>
      </c>
      <c r="B109" s="22" t="s">
        <v>11</v>
      </c>
      <c r="C109" s="23" t="s">
        <v>2436</v>
      </c>
      <c r="D109" s="24" t="str">
        <f t="shared" si="13"/>
        <v>Osi.TemplateAddTo("44b9b18a-11a3-3027-918f-23cbcd5e7959", GetHostCharacter(), 1, 1);</v>
      </c>
    </row>
    <row r="110">
      <c r="A110" s="61" t="str">
        <f>HYPERLINK("https://bg3.wiki/wiki/Purple_Fluorite_Shard", "Purple Fluorite Shard")</f>
        <v>Purple Fluorite Shard</v>
      </c>
      <c r="B110" s="22" t="s">
        <v>11</v>
      </c>
      <c r="C110" s="23" t="s">
        <v>2437</v>
      </c>
      <c r="D110" s="24" t="str">
        <f t="shared" si="13"/>
        <v>Osi.TemplateAddTo("fef1900a-402c-455f-8c63-87bdaedac6d7", GetHostCharacter(), 1, 1);</v>
      </c>
    </row>
    <row r="111">
      <c r="A111" s="61" t="str">
        <f>HYPERLINK("https://bg3.wiki/wiki/Ruby", "Ruby")</f>
        <v>Ruby</v>
      </c>
      <c r="B111" s="22" t="s">
        <v>11</v>
      </c>
      <c r="C111" s="23" t="s">
        <v>2438</v>
      </c>
      <c r="D111" s="24" t="str">
        <f t="shared" si="13"/>
        <v>Osi.TemplateAddTo("b085e96d-e199-467f-b6a8-5d9d44e3cb21", GetHostCharacter(), 1, 1);</v>
      </c>
    </row>
    <row r="112">
      <c r="A112" s="61" t="str">
        <f>HYPERLINK("https://bg3.wiki/wiki/Sapphire", "Sapphire")</f>
        <v>Sapphire</v>
      </c>
      <c r="B112" s="22" t="s">
        <v>11</v>
      </c>
      <c r="C112" s="23" t="s">
        <v>2439</v>
      </c>
      <c r="D112" s="24" t="str">
        <f t="shared" si="13"/>
        <v>Osi.TemplateAddTo("0371fa33-7dae-4980-8468-6d8e99824af6", GetHostCharacter(), 1, 1);</v>
      </c>
    </row>
    <row r="113">
      <c r="A113" s="66" t="str">
        <f>HYPERLINK("https://bg3.wiki/wiki/Topaz_(Gemstone)", "Topaz (Gemstone)")</f>
        <v>Topaz (Gemstone)</v>
      </c>
      <c r="B113" s="39" t="s">
        <v>11</v>
      </c>
      <c r="C113" s="40" t="s">
        <v>2440</v>
      </c>
      <c r="D113" s="41" t="str">
        <f t="shared" si="13"/>
        <v>Osi.TemplateAddTo("55524c47-c62f-45ac-8505-426cb04707c9", GetHostCharacter(), 1, 1);</v>
      </c>
    </row>
    <row r="114">
      <c r="C114" s="42"/>
    </row>
    <row r="115">
      <c r="A115" s="22" t="s">
        <v>2441</v>
      </c>
      <c r="B115" s="22"/>
      <c r="C115" s="23"/>
      <c r="D115" s="22"/>
    </row>
    <row r="116">
      <c r="A116" s="34" t="s">
        <v>7</v>
      </c>
      <c r="B116" s="35" t="s">
        <v>8</v>
      </c>
      <c r="C116" s="35" t="s">
        <v>9</v>
      </c>
      <c r="D116" s="36" t="s">
        <v>10</v>
      </c>
    </row>
    <row r="117">
      <c r="A117" s="21" t="str">
        <f>HYPERLINK("https://bg3.wiki/wiki/Archibald_Ravenshade", "Archibald Ravenshade")</f>
        <v>Archibald Ravenshade</v>
      </c>
      <c r="B117" s="22" t="s">
        <v>11</v>
      </c>
      <c r="C117" s="23" t="s">
        <v>2442</v>
      </c>
      <c r="D117" s="24" t="str">
        <f t="shared" ref="D117:D129" si="14">"Osi.TemplateAddTo("""&amp; C117 &amp;""", GetHostCharacter(), 1, 1);"</f>
        <v>Osi.TemplateAddTo("49b95036-c60b-4abb-8757-64fccd0e7ab6", GetHostCharacter(), 1, 1);</v>
      </c>
    </row>
    <row r="118">
      <c r="A118" s="21" t="str">
        <f>HYPERLINK("https://bg3.wiki/wiki/Aspen_Lamentation", "Aspen Lamentation")</f>
        <v>Aspen Lamentation</v>
      </c>
      <c r="B118" s="22" t="s">
        <v>11</v>
      </c>
      <c r="C118" s="23" t="s">
        <v>2443</v>
      </c>
      <c r="D118" s="24" t="str">
        <f t="shared" si="14"/>
        <v>Osi.TemplateAddTo("ec019ea0-e8bb-49e4-95b3-7a7324596188", GetHostCharacter(), 1, 1);</v>
      </c>
    </row>
    <row r="119">
      <c r="A119" s="21" t="str">
        <f>HYPERLINK("https://bg3.wiki/wiki/Beach_at_Dusk", "Beach at Dusk")</f>
        <v>Beach at Dusk</v>
      </c>
      <c r="B119" s="22" t="s">
        <v>11</v>
      </c>
      <c r="C119" s="23" t="s">
        <v>2444</v>
      </c>
      <c r="D119" s="24" t="str">
        <f t="shared" si="14"/>
        <v>Osi.TemplateAddTo("95d01198-8b6d-41c0-bfab-ca02663263f3", GetHostCharacter(), 1, 1);</v>
      </c>
    </row>
    <row r="120">
      <c r="A120" s="21" t="str">
        <f>HYPERLINK("https://bg3.wiki/wiki/Blank_Canvas", "Blank Canvas")</f>
        <v>Blank Canvas</v>
      </c>
      <c r="B120" s="22" t="s">
        <v>11</v>
      </c>
      <c r="C120" s="23" t="s">
        <v>2445</v>
      </c>
      <c r="D120" s="24" t="str">
        <f t="shared" si="14"/>
        <v>Osi.TemplateAddTo("e028bac5-f393-4d6a-9873-670241d721ac", GetHostCharacter(), 1, 1);</v>
      </c>
    </row>
    <row r="121">
      <c r="A121" s="61" t="str">
        <f>HYPERLINK("https://bg3.wiki/wiki/Butterfly_on_Skull", "Butterfly on Skull")</f>
        <v>Butterfly on Skull</v>
      </c>
      <c r="B121" s="22" t="s">
        <v>11</v>
      </c>
      <c r="C121" s="23" t="s">
        <v>2446</v>
      </c>
      <c r="D121" s="24" t="str">
        <f t="shared" si="14"/>
        <v>Osi.TemplateAddTo("6561e67b-9abb-4091-bd77-e9abf255ab89", GetHostCharacter(), 1, 1);</v>
      </c>
    </row>
    <row r="122">
      <c r="A122" s="61" t="str">
        <f>HYPERLINK("https://bg3.wiki/wiki/Cabin_in_Motion", "Cabin in Motion")</f>
        <v>Cabin in Motion</v>
      </c>
      <c r="B122" s="22" t="s">
        <v>11</v>
      </c>
      <c r="C122" s="23" t="s">
        <v>2447</v>
      </c>
      <c r="D122" s="24" t="str">
        <f t="shared" si="14"/>
        <v>Osi.TemplateAddTo("41661b63-1ae9-4b27-a0c6-f92c6060e821", GetHostCharacter(), 1, 1);</v>
      </c>
    </row>
    <row r="123">
      <c r="A123" s="61" t="str">
        <f>HYPERLINK("https://bg3.wiki/wiki/Clerebold_Rillyn", "Clerebold Rillyn")</f>
        <v>Clerebold Rillyn</v>
      </c>
      <c r="B123" s="22" t="s">
        <v>11</v>
      </c>
      <c r="C123" s="23" t="s">
        <v>2448</v>
      </c>
      <c r="D123" s="24" t="str">
        <f t="shared" si="14"/>
        <v>Osi.TemplateAddTo("cb8e9694-b4ac-4396-84a0-bb2fa0b89252", GetHostCharacter(), 1, 1);</v>
      </c>
    </row>
    <row r="124">
      <c r="A124" s="61" t="str">
        <f>HYPERLINK("https://bg3.wiki/wiki/Condemnation", "Condemnation")</f>
        <v>Condemnation</v>
      </c>
      <c r="B124" s="22" t="s">
        <v>11</v>
      </c>
      <c r="C124" s="23" t="s">
        <v>2449</v>
      </c>
      <c r="D124" s="24" t="str">
        <f t="shared" si="14"/>
        <v>Osi.TemplateAddTo("dfa080d4-3c49-4eb5-b095-1d2f5a657ae3", GetHostCharacter(), 1, 1);</v>
      </c>
    </row>
    <row r="125">
      <c r="A125" s="61" t="str">
        <f>HYPERLINK("https://bg3.wiki/wiki/Elegant_Blush-Filled_Portrait", "Elegant Blush-Filled Portrait")</f>
        <v>Elegant Blush-Filled Portrait</v>
      </c>
      <c r="B125" s="22" t="s">
        <v>11</v>
      </c>
      <c r="C125" s="23" t="s">
        <v>2450</v>
      </c>
      <c r="D125" s="24" t="str">
        <f t="shared" si="14"/>
        <v>Osi.TemplateAddTo("d64c62cd-3e5d-4f70-b05f-b347afb1c5ef", GetHostCharacter(), 1, 1);</v>
      </c>
    </row>
    <row r="126">
      <c r="A126" s="61" t="str">
        <f>HYPERLINK("https://bg3.wiki/wiki/Elven_Eminence", "Elven Eminence")</f>
        <v>Elven Eminence</v>
      </c>
      <c r="B126" s="22" t="s">
        <v>11</v>
      </c>
      <c r="C126" s="23" t="s">
        <v>2451</v>
      </c>
      <c r="D126" s="24" t="str">
        <f t="shared" si="14"/>
        <v>Osi.TemplateAddTo("a5407fee-be16-450e-a24a-59bfadbdc2cc", GetHostCharacter(), 1, 1);</v>
      </c>
    </row>
    <row r="127">
      <c r="A127" s="61" t="str">
        <f>HYPERLINK("https://bg3.wiki/wiki/Envoys_at_Table", "Envoys at Table")</f>
        <v>Envoys at Table</v>
      </c>
      <c r="B127" s="22" t="s">
        <v>444</v>
      </c>
      <c r="C127" s="23" t="s">
        <v>2452</v>
      </c>
      <c r="D127" s="24" t="str">
        <f t="shared" si="14"/>
        <v>Osi.TemplateAddTo("4b7db979-3081-407d-ac55-c1af87862e7e", GetHostCharacter(), 1, 1);</v>
      </c>
    </row>
    <row r="128">
      <c r="A128" s="61" t="str">
        <f>HYPERLINK("https://bg3.wiki/wiki/Ernest_Tillerturn", "Ernest Tillerturn")</f>
        <v>Ernest Tillerturn</v>
      </c>
      <c r="B128" s="22" t="s">
        <v>11</v>
      </c>
      <c r="C128" s="23" t="s">
        <v>2453</v>
      </c>
      <c r="D128" s="24" t="str">
        <f t="shared" si="14"/>
        <v>Osi.TemplateAddTo("b5ef23a5-9afb-40e4-8d71-2fbdd97446f7", GetHostCharacter(), 1, 1);</v>
      </c>
    </row>
    <row r="129">
      <c r="A129" s="61" t="str">
        <f>HYPERLINK("https://bg3.wiki/wiki/Fake_Portrait_of_a_Noble_Before_His_Death", "Fake Portrait of a Noble Before His Death")</f>
        <v>Fake Portrait of a Noble Before His Death</v>
      </c>
      <c r="B129" s="22" t="s">
        <v>444</v>
      </c>
      <c r="C129" s="23" t="s">
        <v>2454</v>
      </c>
      <c r="D129" s="24" t="str">
        <f t="shared" si="14"/>
        <v>Osi.TemplateAddTo("68e60d97-ce42-4f3f-bc7c-02ab2543a716", GetHostCharacter(), 1, 1);</v>
      </c>
    </row>
    <row r="130">
      <c r="A130" s="61" t="str">
        <f>HYPERLINK("https://bg3.wiki/wiki/Forgotten_Temple", "Forgotten Temple")</f>
        <v>Forgotten Temple</v>
      </c>
      <c r="B130" s="22" t="s">
        <v>11</v>
      </c>
      <c r="C130" s="23" t="s">
        <v>158</v>
      </c>
      <c r="D130" s="24"/>
    </row>
    <row r="131">
      <c r="A131" s="61" t="str">
        <f>HYPERLINK("https://bg3.wiki/wiki/Full_Body_Depiction_of_a_Tiefling", "Full Body Depiction of a Tiefling")</f>
        <v>Full Body Depiction of a Tiefling</v>
      </c>
      <c r="B131" s="22" t="s">
        <v>11</v>
      </c>
      <c r="C131" s="23" t="s">
        <v>2455</v>
      </c>
      <c r="D131" s="24" t="str">
        <f t="shared" ref="D131:D137" si="15">"Osi.TemplateAddTo("""&amp; C131 &amp;""", GetHostCharacter(), 1, 1);"</f>
        <v>Osi.TemplateAddTo("cc764899-2397-47e7-8b5e-275f6a6cd752", GetHostCharacter(), 1, 1);</v>
      </c>
    </row>
    <row r="132">
      <c r="A132" s="61" t="str">
        <f>HYPERLINK("https://bg3.wiki/wiki/Gilbert_Irlentree", "Gilbert Irlentree")</f>
        <v>Gilbert Irlentree</v>
      </c>
      <c r="B132" s="22" t="s">
        <v>11</v>
      </c>
      <c r="C132" s="23" t="s">
        <v>2456</v>
      </c>
      <c r="D132" s="24" t="str">
        <f t="shared" si="15"/>
        <v>Osi.TemplateAddTo("d90f1bc8-d037-412a-a31c-9b8535e7c2f1", GetHostCharacter(), 1, 1);</v>
      </c>
    </row>
    <row r="133">
      <c r="A133" s="61" t="str">
        <f>HYPERLINK("https://bg3.wiki/wiki/Grand_Infernal_Painting", "Grand Infernal Painting")</f>
        <v>Grand Infernal Painting</v>
      </c>
      <c r="B133" s="22" t="s">
        <v>11</v>
      </c>
      <c r="C133" s="23" t="s">
        <v>2457</v>
      </c>
      <c r="D133" s="24" t="str">
        <f t="shared" si="15"/>
        <v>Osi.TemplateAddTo("accbb8ba-ceaa-4924-95be-0aae779363b1", GetHostCharacter(), 1, 1);</v>
      </c>
    </row>
    <row r="134">
      <c r="A134" s="61" t="str">
        <f>HYPERLINK("https://bg3.wiki/wiki/Grass_House", "Grass House")</f>
        <v>Grass House</v>
      </c>
      <c r="B134" s="22" t="s">
        <v>11</v>
      </c>
      <c r="C134" s="23" t="s">
        <v>2458</v>
      </c>
      <c r="D134" s="24" t="str">
        <f t="shared" si="15"/>
        <v>Osi.TemplateAddTo("ce2f870e-e735-4355-ae87-acf5971d2fef", GetHostCharacter(), 1, 1);</v>
      </c>
    </row>
    <row r="135">
      <c r="A135" s="61" t="str">
        <f>HYPERLINK("https://bg3.wiki/wiki/Graveyard_Coiler", "Graveyard Coiler")</f>
        <v>Graveyard Coiler</v>
      </c>
      <c r="B135" s="22" t="s">
        <v>11</v>
      </c>
      <c r="C135" s="23" t="s">
        <v>2459</v>
      </c>
      <c r="D135" s="24" t="str">
        <f t="shared" si="15"/>
        <v>Osi.TemplateAddTo("1500df20-20d3-4147-81d2-ffba41409659", GetHostCharacter(), 1, 1);</v>
      </c>
    </row>
    <row r="136">
      <c r="A136" s="61" t="str">
        <f>HYPERLINK("https://bg3.wiki/wiki/Harrowing_Painting", "Harrowing Painting")</f>
        <v>Harrowing Painting</v>
      </c>
      <c r="B136" s="22" t="s">
        <v>11</v>
      </c>
      <c r="C136" s="23" t="s">
        <v>2460</v>
      </c>
      <c r="D136" s="24" t="str">
        <f t="shared" si="15"/>
        <v>Osi.TemplateAddTo("a7e57790-3dfc-4e09-ba5f-c5e7e0cbf8ca", GetHostCharacter(), 1, 1);</v>
      </c>
    </row>
    <row r="137">
      <c r="A137" s="61" t="str">
        <f>HYPERLINK("https://bg3.wiki/wiki/Hellish_Landscape", "Hellish Landscape")</f>
        <v>Hellish Landscape</v>
      </c>
      <c r="B137" s="22" t="s">
        <v>11</v>
      </c>
      <c r="C137" s="23" t="s">
        <v>2461</v>
      </c>
      <c r="D137" s="24" t="str">
        <f t="shared" si="15"/>
        <v>Osi.TemplateAddTo("a59ad0fa-c4b8-40a9-b4f0-91b2b662071f", GetHostCharacter(), 1, 1);</v>
      </c>
    </row>
    <row r="138">
      <c r="A138" s="61" t="str">
        <f>HYPERLINK("https://bg3.wiki/wiki/Landscape", "Landscape")</f>
        <v>Landscape</v>
      </c>
      <c r="B138" s="22" t="s">
        <v>11</v>
      </c>
      <c r="C138" s="23" t="s">
        <v>158</v>
      </c>
      <c r="D138" s="24"/>
    </row>
    <row r="139">
      <c r="A139" s="61" t="str">
        <f>HYPERLINK("https://bg3.wiki/wiki/Maid_with_Duster", "Maid with Duster")</f>
        <v>Maid with Duster</v>
      </c>
      <c r="B139" s="22" t="s">
        <v>11</v>
      </c>
      <c r="C139" s="23" t="s">
        <v>158</v>
      </c>
      <c r="D139" s="24"/>
    </row>
    <row r="140">
      <c r="A140" s="61" t="str">
        <f>HYPERLINK("https://bg3.wiki/wiki/Nobleman_Regards_Us", "Nobleman Regards Us")</f>
        <v>Nobleman Regards Us</v>
      </c>
      <c r="B140" s="22" t="s">
        <v>11</v>
      </c>
      <c r="C140" s="23" t="s">
        <v>2462</v>
      </c>
      <c r="D140" s="24" t="str">
        <f t="shared" ref="D140:D141" si="16">"Osi.TemplateAddTo("""&amp; C140 &amp;""", GetHostCharacter(), 1, 1);"</f>
        <v>Osi.TemplateAddTo("2b728203-f01d-4d90-aea9-b8ad3625f2af", GetHostCharacter(), 1, 1);</v>
      </c>
    </row>
    <row r="141">
      <c r="A141" s="61" t="str">
        <f>HYPERLINK("https://bg3.wiki/wiki/Oskar_Fevras_(Painting)", "Oskar Fevras (Painting)")</f>
        <v>Oskar Fevras (Painting)</v>
      </c>
      <c r="B141" s="22" t="s">
        <v>11</v>
      </c>
      <c r="C141" s="23" t="s">
        <v>2463</v>
      </c>
      <c r="D141" s="24" t="str">
        <f t="shared" si="16"/>
        <v>Osi.TemplateAddTo("1836435f-a6c0-4ed0-9be3-7a64bd391e85", GetHostCharacter(), 1, 1);</v>
      </c>
    </row>
    <row r="142">
      <c r="A142" s="61" t="str">
        <f>HYPERLINK("https://bg3.wiki/wiki/Oval_Framed_Elven_Eminence", "Oval Framed Elven Eminence")</f>
        <v>Oval Framed Elven Eminence</v>
      </c>
      <c r="B142" s="22" t="s">
        <v>11</v>
      </c>
      <c r="C142" s="23" t="s">
        <v>158</v>
      </c>
      <c r="D142" s="24"/>
    </row>
    <row r="143">
      <c r="A143" s="61" t="str">
        <f>HYPERLINK("https://bg3.wiki/wiki/Painting_of_Gortash", "Painting of Gortash")</f>
        <v>Painting of Gortash</v>
      </c>
      <c r="B143" s="22" t="s">
        <v>11</v>
      </c>
      <c r="C143" s="23" t="s">
        <v>2464</v>
      </c>
      <c r="D143" s="24" t="str">
        <f t="shared" ref="D143:D174" si="17">"Osi.TemplateAddTo("""&amp; C143 &amp;""", GetHostCharacter(), 1, 1);"</f>
        <v>Osi.TemplateAddTo("0094760a-2728-410a-94cd-3ed4180a8a46", GetHostCharacter(), 1, 1);</v>
      </c>
    </row>
    <row r="144">
      <c r="A144" s="61" t="str">
        <f>HYPERLINK("https://bg3.wiki/wiki/Painting_of_Lady_Jannath", "Painting of Lady Jannath")</f>
        <v>Painting of Lady Jannath</v>
      </c>
      <c r="B144" s="22" t="s">
        <v>11</v>
      </c>
      <c r="C144" s="23" t="s">
        <v>2465</v>
      </c>
      <c r="D144" s="24" t="str">
        <f t="shared" si="17"/>
        <v>Osi.TemplateAddTo("beb93272-ab48-4e10-befd-73e1e1478cd9", GetHostCharacter(), 1, 1);</v>
      </c>
    </row>
    <row r="145">
      <c r="A145" s="61" t="str">
        <f>HYPERLINK("https://bg3.wiki/wiki/Painting_of_a_Noble_Before_His_Death", "Painting of a Noble Before His Death")</f>
        <v>Painting of a Noble Before His Death</v>
      </c>
      <c r="B145" s="22" t="s">
        <v>11</v>
      </c>
      <c r="C145" s="23" t="s">
        <v>2466</v>
      </c>
      <c r="D145" s="24" t="str">
        <f t="shared" si="17"/>
        <v>Osi.TemplateAddTo("d6d704d2-0a1f-48f9-bd27-43c99919a725", GetHostCharacter(), 1, 1);</v>
      </c>
    </row>
    <row r="146">
      <c r="A146" s="61" t="str">
        <f>HYPERLINK("https://bg3.wiki/wiki/Painting_of_a_Smiling_Maiden", "Painting of a Smiling Maiden")</f>
        <v>Painting of a Smiling Maiden</v>
      </c>
      <c r="B146" s="22" t="s">
        <v>11</v>
      </c>
      <c r="C146" s="23" t="s">
        <v>2467</v>
      </c>
      <c r="D146" s="24" t="str">
        <f t="shared" si="17"/>
        <v>Osi.TemplateAddTo("ffb6d084-0900-4f58-ae39-f0360f7488d1", GetHostCharacter(), 1, 1);</v>
      </c>
    </row>
    <row r="147">
      <c r="A147" s="61" t="str">
        <f>HYPERLINK("https://bg3.wiki/wiki/Painting_of_an_Elegant_Noble", "Painting of an Elegant Noble")</f>
        <v>Painting of an Elegant Noble</v>
      </c>
      <c r="B147" s="22" t="s">
        <v>11</v>
      </c>
      <c r="C147" s="23" t="s">
        <v>2468</v>
      </c>
      <c r="D147" s="24" t="str">
        <f t="shared" si="17"/>
        <v>Osi.TemplateAddTo("8a407bd7-effe-4306-b2a0-02624ad45074", GetHostCharacter(), 1, 1);</v>
      </c>
    </row>
    <row r="148">
      <c r="A148" s="61" t="str">
        <f>HYPERLINK("https://bg3.wiki/wiki/Personal_Portrait", "Personal Portrait")</f>
        <v>Personal Portrait</v>
      </c>
      <c r="B148" s="22" t="s">
        <v>66</v>
      </c>
      <c r="C148" s="23" t="s">
        <v>2469</v>
      </c>
      <c r="D148" s="24" t="str">
        <f t="shared" si="17"/>
        <v>Osi.TemplateAddTo("4069b438-2fd9-46c3-a5c0-a248039a3b52", GetHostCharacter(), 1, 1);</v>
      </c>
    </row>
    <row r="149">
      <c r="A149" s="61" t="str">
        <f>HYPERLINK("https://bg3.wiki/wiki/Poet_Unveils_Review", "Poet Unveils Review")</f>
        <v>Poet Unveils Review</v>
      </c>
      <c r="B149" s="22" t="s">
        <v>11</v>
      </c>
      <c r="C149" s="23" t="s">
        <v>2470</v>
      </c>
      <c r="D149" s="24" t="str">
        <f t="shared" si="17"/>
        <v>Osi.TemplateAddTo("2fcfcebe-b75d-4c8e-a13d-64b628436b8c", GetHostCharacter(), 1, 1);</v>
      </c>
    </row>
    <row r="150">
      <c r="A150" s="61" t="str">
        <f>HYPERLINK("https://bg3.wiki/wiki/Portrait_of_Fane", "Portrait of Fane")</f>
        <v>Portrait of Fane</v>
      </c>
      <c r="B150" s="22" t="s">
        <v>11</v>
      </c>
      <c r="C150" s="23" t="s">
        <v>2471</v>
      </c>
      <c r="D150" s="24" t="str">
        <f t="shared" si="17"/>
        <v>Osi.TemplateAddTo("2d8a25af-7140-473a-9d14-35858c29e23a", GetHostCharacter(), 1, 1);</v>
      </c>
    </row>
    <row r="151">
      <c r="A151" s="61" t="str">
        <f>HYPERLINK("https://bg3.wiki/wiki/Portrait_of_Ifan_ben-Mezd", "Portrait of Ifan ben-Mezd")</f>
        <v>Portrait of Ifan ben-Mezd</v>
      </c>
      <c r="B151" s="22" t="s">
        <v>11</v>
      </c>
      <c r="C151" s="23" t="s">
        <v>2472</v>
      </c>
      <c r="D151" s="24" t="str">
        <f t="shared" si="17"/>
        <v>Osi.TemplateAddTo("8b3e6af4-58be-4851-864f-e78df7f661a5", GetHostCharacter(), 1, 1);</v>
      </c>
    </row>
    <row r="152">
      <c r="A152" s="61" t="str">
        <f>HYPERLINK("https://bg3.wiki/wiki/Portrait_of_Lohse", "Portrait of Lohse")</f>
        <v>Portrait of Lohse</v>
      </c>
      <c r="B152" s="22" t="s">
        <v>11</v>
      </c>
      <c r="C152" s="23" t="s">
        <v>2473</v>
      </c>
      <c r="D152" s="24" t="str">
        <f t="shared" si="17"/>
        <v>Osi.TemplateAddTo("06af536d-8faf-49e5-99f9-606be7d6993c", GetHostCharacter(), 1, 1);</v>
      </c>
    </row>
    <row r="153">
      <c r="A153" s="61" t="str">
        <f>HYPERLINK("https://bg3.wiki/wiki/Portrait_of_Marcus_Miles", "Portrait of Marcus Miles")</f>
        <v>Portrait of Marcus Miles</v>
      </c>
      <c r="B153" s="22" t="s">
        <v>11</v>
      </c>
      <c r="C153" s="23" t="s">
        <v>2474</v>
      </c>
      <c r="D153" s="24" t="str">
        <f t="shared" si="17"/>
        <v>Osi.TemplateAddTo("1469200a-4419-4c9a-916f-6362378234bb", GetHostCharacter(), 1, 1);</v>
      </c>
    </row>
    <row r="154">
      <c r="A154" s="61" t="str">
        <f>HYPERLINK("https://bg3.wiki/wiki/Portrait_of_Sebille_Kaleran", "Portrait of Sebille Kaleran")</f>
        <v>Portrait of Sebille Kaleran</v>
      </c>
      <c r="B154" s="22" t="s">
        <v>11</v>
      </c>
      <c r="C154" s="23" t="s">
        <v>2475</v>
      </c>
      <c r="D154" s="24" t="str">
        <f t="shared" si="17"/>
        <v>Osi.TemplateAddTo("645b185b-e069-40ee-8a26-5daf2fdc935c", GetHostCharacter(), 1, 1);</v>
      </c>
    </row>
    <row r="155">
      <c r="A155" s="61" t="str">
        <f>HYPERLINK("https://bg3.wiki/wiki/Portrait_of_a_Bored_Girl", "Portrait of a Bored Girl")</f>
        <v>Portrait of a Bored Girl</v>
      </c>
      <c r="B155" s="22" t="s">
        <v>11</v>
      </c>
      <c r="C155" s="23" t="s">
        <v>2476</v>
      </c>
      <c r="D155" s="24" t="str">
        <f t="shared" si="17"/>
        <v>Osi.TemplateAddTo("23a80328-c876-4110-afef-a3eb47193b83", GetHostCharacter(), 1, 1);</v>
      </c>
    </row>
    <row r="156">
      <c r="A156" s="61" t="str">
        <f>HYPERLINK("https://bg3.wiki/wiki/Portrait_of_a_Bored_Girl_(Playing_Music)", "Portrait of a Bored Girl (Playing Music)")</f>
        <v>Portrait of a Bored Girl (Playing Music)</v>
      </c>
      <c r="B156" s="22" t="s">
        <v>11</v>
      </c>
      <c r="C156" s="23" t="s">
        <v>2477</v>
      </c>
      <c r="D156" s="24" t="str">
        <f t="shared" si="17"/>
        <v>Osi.TemplateAddTo("d4fc2b3c-7f92-4d3c-9792-3f9d097cedf7", GetHostCharacter(), 1, 1);</v>
      </c>
    </row>
    <row r="157">
      <c r="A157" s="61" t="str">
        <f>HYPERLINK("https://bg3.wiki/wiki/Portrait_of_a_Fur-Shouldered_Noble", "Portrait of a Fur-Shouldered Noble")</f>
        <v>Portrait of a Fur-Shouldered Noble</v>
      </c>
      <c r="B157" s="22" t="s">
        <v>11</v>
      </c>
      <c r="C157" s="23" t="s">
        <v>2478</v>
      </c>
      <c r="D157" s="24" t="str">
        <f t="shared" si="17"/>
        <v>Osi.TemplateAddTo("289d8c97-81d7-448f-aa1c-faab337db593", GetHostCharacter(), 1, 1);</v>
      </c>
    </row>
    <row r="158">
      <c r="A158" s="61" t="str">
        <f>HYPERLINK("https://bg3.wiki/wiki/Portrait_of_a_Noble_Before_His_Death", "Portrait of a Noble Before His Death")</f>
        <v>Portrait of a Noble Before His Death</v>
      </c>
      <c r="B158" s="22" t="s">
        <v>11</v>
      </c>
      <c r="C158" s="23" t="s">
        <v>2466</v>
      </c>
      <c r="D158" s="24" t="str">
        <f t="shared" si="17"/>
        <v>Osi.TemplateAddTo("d6d704d2-0a1f-48f9-bd27-43c99919a725", GetHostCharacter(), 1, 1);</v>
      </c>
    </row>
    <row r="159">
      <c r="A159" s="61" t="str">
        <f>HYPERLINK("https://bg3.wiki/wiki/Portrait_of_a_Snowy-Brownbeard", "Portrait of a Snowy-Brownbeard")</f>
        <v>Portrait of a Snowy-Brownbeard</v>
      </c>
      <c r="B159" s="22" t="s">
        <v>11</v>
      </c>
      <c r="C159" s="23" t="s">
        <v>2479</v>
      </c>
      <c r="D159" s="24" t="str">
        <f t="shared" si="17"/>
        <v>Osi.TemplateAddTo("82ad7f96-b84c-4ab0-98bb-b534c69726ba", GetHostCharacter(), 1, 1);</v>
      </c>
    </row>
    <row r="160">
      <c r="A160" s="61" t="str">
        <f>HYPERLINK("https://bg3.wiki/wiki/Portrait_of_a_Tiefling", "Portrait of a Tiefling")</f>
        <v>Portrait of a Tiefling</v>
      </c>
      <c r="B160" s="22" t="s">
        <v>11</v>
      </c>
      <c r="C160" s="23" t="s">
        <v>2480</v>
      </c>
      <c r="D160" s="24" t="str">
        <f t="shared" si="17"/>
        <v>Osi.TemplateAddTo("a90dbddd-c839-40ad-a873-309b22d73da2", GetHostCharacter(), 1, 1);</v>
      </c>
    </row>
    <row r="161">
      <c r="A161" s="61" t="str">
        <f>HYPERLINK("https://bg3.wiki/wiki/Portrait_of_a_Trademaster", "Portrait of a Trademaster")</f>
        <v>Portrait of a Trademaster</v>
      </c>
      <c r="B161" s="22" t="s">
        <v>11</v>
      </c>
      <c r="C161" s="23" t="s">
        <v>2481</v>
      </c>
      <c r="D161" s="24" t="str">
        <f t="shared" si="17"/>
        <v>Osi.TemplateAddTo("7f7f86c0-41ca-4938-b4da-2719a3f69102", GetHostCharacter(), 1, 1);</v>
      </c>
    </row>
    <row r="162">
      <c r="A162" s="61" t="str">
        <f>HYPERLINK("https://bg3.wiki/wiki/Portrait_of_a_Woman", "Portrait of a Woman")</f>
        <v>Portrait of a Woman</v>
      </c>
      <c r="B162" s="22" t="s">
        <v>11</v>
      </c>
      <c r="C162" s="23" t="s">
        <v>2482</v>
      </c>
      <c r="D162" s="24" t="str">
        <f t="shared" si="17"/>
        <v>Osi.TemplateAddTo("5861174c-82ab-4788-934e-11ef84889332", GetHostCharacter(), 1, 1);</v>
      </c>
    </row>
    <row r="163">
      <c r="A163" s="61" t="str">
        <f>HYPERLINK("https://bg3.wiki/wiki/Portrait_of_an_Elven_Poet", "Portrait of an Elven Poet")</f>
        <v>Portrait of an Elven Poet</v>
      </c>
      <c r="B163" s="22" t="s">
        <v>11</v>
      </c>
      <c r="C163" s="23" t="s">
        <v>2483</v>
      </c>
      <c r="D163" s="24" t="str">
        <f t="shared" si="17"/>
        <v>Osi.TemplateAddTo("d8ab3c7b-0ef5-40cf-89c8-401d7363559e", GetHostCharacter(), 1, 1);</v>
      </c>
    </row>
    <row r="164">
      <c r="A164" s="61" t="str">
        <f>HYPERLINK("https://bg3.wiki/wiki/Portrait_of_the_Red_Prince", "Portrait of the Red Prince")</f>
        <v>Portrait of the Red Prince</v>
      </c>
      <c r="B164" s="22" t="s">
        <v>11</v>
      </c>
      <c r="C164" s="23" t="s">
        <v>2484</v>
      </c>
      <c r="D164" s="24" t="str">
        <f t="shared" si="17"/>
        <v>Osi.TemplateAddTo("56a21dc9-247e-4f97-a436-0647aa20c084", GetHostCharacter(), 1, 1);</v>
      </c>
    </row>
    <row r="165">
      <c r="A165" s="61" t="str">
        <f>HYPERLINK("https://bg3.wiki/wiki/River_Goes", "River Goes")</f>
        <v>River Goes</v>
      </c>
      <c r="B165" s="22" t="s">
        <v>11</v>
      </c>
      <c r="C165" s="23" t="s">
        <v>2485</v>
      </c>
      <c r="D165" s="24" t="str">
        <f t="shared" si="17"/>
        <v>Osi.TemplateAddTo("e80badd2-6723-49eb-8e2c-850055f04bcf", GetHostCharacter(), 1, 1);</v>
      </c>
    </row>
    <row r="166">
      <c r="A166" s="61" t="str">
        <f>HYPERLINK("https://bg3.wiki/wiki/Ruffled_Noblewoman", "Ruffled Noblewoman")</f>
        <v>Ruffled Noblewoman</v>
      </c>
      <c r="B166" s="22" t="s">
        <v>11</v>
      </c>
      <c r="C166" s="23" t="s">
        <v>2486</v>
      </c>
      <c r="D166" s="24" t="str">
        <f t="shared" si="17"/>
        <v>Osi.TemplateAddTo("f79ec624-0fa0-44bc-825a-4390e694ce4a", GetHostCharacter(), 1, 1);</v>
      </c>
    </row>
    <row r="167">
      <c r="A167" s="61" t="str">
        <f>HYPERLINK("https://bg3.wiki/wiki/Sinister_Painting", "Sinister Painting")</f>
        <v>Sinister Painting</v>
      </c>
      <c r="B167" s="22" t="s">
        <v>11</v>
      </c>
      <c r="C167" s="23" t="s">
        <v>2487</v>
      </c>
      <c r="D167" s="24" t="str">
        <f t="shared" si="17"/>
        <v>Osi.TemplateAddTo("67c4e704-58e6-4f7d-b3aa-4cf9ea0ee611", GetHostCharacter(), 1, 1);</v>
      </c>
    </row>
    <row r="168">
      <c r="A168" s="61" t="str">
        <f>HYPERLINK("https://bg3.wiki/wiki/Sororal_Dance", "Sororal Dance")</f>
        <v>Sororal Dance</v>
      </c>
      <c r="B168" s="22" t="s">
        <v>11</v>
      </c>
      <c r="C168" s="23" t="s">
        <v>2488</v>
      </c>
      <c r="D168" s="24" t="str">
        <f t="shared" si="17"/>
        <v>Osi.TemplateAddTo("86d36f55-9c60-48b8-a5e5-73ae43151401", GetHostCharacter(), 1, 1);</v>
      </c>
    </row>
    <row r="169">
      <c r="A169" s="61" t="str">
        <f>HYPERLINK("https://bg3.wiki/wiki/Staunch_Tiefling_Before_Work", "Staunch Tiefling Before Work")</f>
        <v>Staunch Tiefling Before Work</v>
      </c>
      <c r="B169" s="22" t="s">
        <v>11</v>
      </c>
      <c r="C169" s="23" t="s">
        <v>2489</v>
      </c>
      <c r="D169" s="24" t="str">
        <f t="shared" si="17"/>
        <v>Osi.TemplateAddTo("736cd290-cec0-4fa7-99d6-f6c9e2e851ec", GetHostCharacter(), 1, 1);</v>
      </c>
    </row>
    <row r="170">
      <c r="A170" s="61" t="str">
        <f>HYPERLINK("https://bg3.wiki/wiki/Stelmane%27s_Portrait", "Stelmane's Portrait")</f>
        <v>Stelmane's Portrait</v>
      </c>
      <c r="B170" s="22" t="s">
        <v>11</v>
      </c>
      <c r="C170" s="23" t="s">
        <v>2490</v>
      </c>
      <c r="D170" s="24" t="str">
        <f t="shared" si="17"/>
        <v>Osi.TemplateAddTo("44243a84-b27a-4535-b13f-fc9b05842cff", GetHostCharacter(), 1, 1);</v>
      </c>
    </row>
    <row r="171">
      <c r="A171" s="61" t="str">
        <f>HYPERLINK("https://bg3.wiki/wiki/Struck_Match", "Struck Match")</f>
        <v>Struck Match</v>
      </c>
      <c r="B171" s="22" t="s">
        <v>11</v>
      </c>
      <c r="C171" s="23" t="s">
        <v>2491</v>
      </c>
      <c r="D171" s="24" t="str">
        <f t="shared" si="17"/>
        <v>Osi.TemplateAddTo("383dbc9b-8052-4ed9-8515-2447f03ef189", GetHostCharacter(), 1, 1);</v>
      </c>
    </row>
    <row r="172">
      <c r="A172" s="61" t="str">
        <f>HYPERLINK("https://bg3.wiki/wiki/Stump_under_Autumn_Tree", "Stump under Autumn Tree")</f>
        <v>Stump under Autumn Tree</v>
      </c>
      <c r="B172" s="22" t="s">
        <v>11</v>
      </c>
      <c r="C172" s="23" t="s">
        <v>2492</v>
      </c>
      <c r="D172" s="24" t="str">
        <f t="shared" si="17"/>
        <v>Osi.TemplateAddTo("9c1bf73c-a5ac-4b57-83fe-01c24cd39945", GetHostCharacter(), 1, 1);</v>
      </c>
    </row>
    <row r="173">
      <c r="A173" s="61" t="str">
        <f>HYPERLINK("https://bg3.wiki/wiki/Tableau_of_Ibex_and_Rose", "Tableau of Ibex and Rose")</f>
        <v>Tableau of Ibex and Rose</v>
      </c>
      <c r="B173" s="22" t="s">
        <v>11</v>
      </c>
      <c r="C173" s="23" t="s">
        <v>2493</v>
      </c>
      <c r="D173" s="24" t="str">
        <f t="shared" si="17"/>
        <v>Osi.TemplateAddTo("4606cc95-f2f1-4c6a-9571-68a981060514", GetHostCharacter(), 1, 1);</v>
      </c>
    </row>
    <row r="174">
      <c r="A174" s="61" t="str">
        <f>HYPERLINK("https://bg3.wiki/wiki/The_Lay_of_Larethian", "The Lay of Larethian")</f>
        <v>The Lay of Larethian</v>
      </c>
      <c r="B174" s="22" t="s">
        <v>11</v>
      </c>
      <c r="C174" s="23" t="s">
        <v>2494</v>
      </c>
      <c r="D174" s="24" t="str">
        <f t="shared" si="17"/>
        <v>Osi.TemplateAddTo("ffe3490b-154a-414f-a3d1-644b18dc3a1d", GetHostCharacter(), 1, 1);</v>
      </c>
    </row>
    <row r="175">
      <c r="A175" s="61" t="str">
        <f>HYPERLINK("https://bg3.wiki/wiki/The_Vammas_Elder_Sisters", "The Vammas Elder Sisters")</f>
        <v>The Vammas Elder Sisters</v>
      </c>
      <c r="B175" s="22" t="s">
        <v>11</v>
      </c>
      <c r="C175" s="23" t="s">
        <v>158</v>
      </c>
      <c r="D175" s="24"/>
    </row>
    <row r="176">
      <c r="A176" s="61" t="str">
        <f>HYPERLINK("https://bg3.wiki/wiki/The_Vanthampur_Brothers", "The Vanthampur Brothers")</f>
        <v>The Vanthampur Brothers</v>
      </c>
      <c r="B176" s="22" t="s">
        <v>11</v>
      </c>
      <c r="C176" s="23" t="s">
        <v>158</v>
      </c>
      <c r="D176" s="24"/>
    </row>
    <row r="177">
      <c r="A177" s="61" t="str">
        <f>HYPERLINK("https://bg3.wiki/wiki/Tigermist", "Tigermist")</f>
        <v>Tigermist</v>
      </c>
      <c r="B177" s="22" t="s">
        <v>11</v>
      </c>
      <c r="C177" s="23" t="s">
        <v>2495</v>
      </c>
      <c r="D177" s="24" t="str">
        <f t="shared" ref="D177:D179" si="18">"Osi.TemplateAddTo("""&amp; C177 &amp;""", GetHostCharacter(), 1, 1);"</f>
        <v>Osi.TemplateAddTo("6170715b-1654-46bc-9ac6-93dca8550e1f", GetHostCharacter(), 1, 1);</v>
      </c>
    </row>
    <row r="178">
      <c r="A178" s="61" t="str">
        <f>HYPERLINK("https://bg3.wiki/wiki/Valley_with_Brook", "Valley with Brook")</f>
        <v>Valley with Brook</v>
      </c>
      <c r="B178" s="22" t="s">
        <v>11</v>
      </c>
      <c r="C178" s="23" t="s">
        <v>2496</v>
      </c>
      <c r="D178" s="24" t="str">
        <f t="shared" si="18"/>
        <v>Osi.TemplateAddTo("5d925f9b-f87e-4733-9410-01b27544b021", GetHostCharacter(), 1, 1);</v>
      </c>
    </row>
    <row r="179">
      <c r="A179" s="66" t="str">
        <f>HYPERLINK("https://bg3.wiki/wiki/Young_Boy_In_Plate_Armour", "Young Boy In Plate Armour")</f>
        <v>Young Boy In Plate Armour</v>
      </c>
      <c r="B179" s="39" t="s">
        <v>11</v>
      </c>
      <c r="C179" s="40" t="s">
        <v>2497</v>
      </c>
      <c r="D179" s="41" t="str">
        <f t="shared" si="18"/>
        <v>Osi.TemplateAddTo("60b6a4da-4f5c-46ab-a4c9-1d87ed2c1eed", GetHostCharacter(), 1, 1);</v>
      </c>
    </row>
    <row r="180">
      <c r="C180" s="42"/>
    </row>
    <row r="181">
      <c r="A181" s="22" t="s">
        <v>2498</v>
      </c>
      <c r="B181" s="22"/>
      <c r="C181" s="23"/>
      <c r="D181" s="22"/>
    </row>
    <row r="182">
      <c r="A182" s="34" t="s">
        <v>7</v>
      </c>
      <c r="B182" s="35" t="s">
        <v>8</v>
      </c>
      <c r="C182" s="35" t="s">
        <v>9</v>
      </c>
      <c r="D182" s="36" t="s">
        <v>10</v>
      </c>
    </row>
    <row r="183">
      <c r="A183" s="21" t="str">
        <f>HYPERLINK("https://bg3.wiki/wiki/Arrow_of_Sparrow_Slaying", "Arrow of Sparrow Slaying")</f>
        <v>Arrow of Sparrow Slaying</v>
      </c>
      <c r="B183" s="22" t="s">
        <v>17</v>
      </c>
      <c r="C183" s="23" t="s">
        <v>2499</v>
      </c>
      <c r="D183" s="24" t="str">
        <f t="shared" ref="D183:D195" si="19">"Osi.TemplateAddTo("""&amp; C183 &amp;""", GetHostCharacter(), 1, 1);"</f>
        <v>Osi.TemplateAddTo("062c6dd0-113d-4ca0-935c-bd937091a9eb", GetHostCharacter(), 1, 1);</v>
      </c>
    </row>
    <row r="184">
      <c r="A184" s="21" t="str">
        <f>HYPERLINK("https://bg3.wiki/wiki/Baldur%27s_Gate_Stone", "Baldur's Gate Stone")</f>
        <v>Baldur's Gate Stone</v>
      </c>
      <c r="B184" s="22" t="s">
        <v>17</v>
      </c>
      <c r="C184" s="23" t="s">
        <v>2500</v>
      </c>
      <c r="D184" s="24" t="str">
        <f t="shared" si="19"/>
        <v>Osi.TemplateAddTo("dc3d793e-c605-4016-9753-27d1c2da4b2c", GetHostCharacter(), 1, 1);</v>
      </c>
    </row>
    <row r="185">
      <c r="A185" s="21" t="str">
        <f>HYPERLINK("https://bg3.wiki/wiki/Bone_(Uncommon)", "Bone (Uncommon)")</f>
        <v>Bone (Uncommon)</v>
      </c>
      <c r="B185" s="22" t="s">
        <v>17</v>
      </c>
      <c r="C185" s="23" t="s">
        <v>2501</v>
      </c>
      <c r="D185" s="24" t="str">
        <f t="shared" si="19"/>
        <v>Osi.TemplateAddTo("876c66a6-018c-48fe-8406-d90561d3db23", GetHostCharacter(), 1, 1);</v>
      </c>
    </row>
    <row r="186">
      <c r="A186" s="21" t="str">
        <f>HYPERLINK("https://bg3.wiki/wiki/Bowl_(Valuable)", "Bowl (Valuable)")</f>
        <v>Bowl (Valuable)</v>
      </c>
      <c r="B186" s="22" t="s">
        <v>11</v>
      </c>
      <c r="C186" s="23" t="s">
        <v>2502</v>
      </c>
      <c r="D186" s="24" t="str">
        <f t="shared" si="19"/>
        <v>Osi.TemplateAddTo("1a466559-9518-4215-90e4-1f99264e028a", GetHostCharacter(), 1, 1);</v>
      </c>
    </row>
    <row r="187">
      <c r="A187" s="21" t="str">
        <f>HYPERLINK("https://bg3.wiki/wiki/Broken_Lute", "Broken Lute")</f>
        <v>Broken Lute</v>
      </c>
      <c r="B187" s="22" t="s">
        <v>11</v>
      </c>
      <c r="C187" s="23" t="s">
        <v>2503</v>
      </c>
      <c r="D187" s="24" t="str">
        <f t="shared" si="19"/>
        <v>Osi.TemplateAddTo("79b74639-066c-4099-87de-30d435a78f3e", GetHostCharacter(), 1, 1);</v>
      </c>
    </row>
    <row r="188">
      <c r="A188" s="21" t="str">
        <f>HYPERLINK("https://bg3.wiki/wiki/Broken_Parasite_Jar", "Broken Parasite Jar")</f>
        <v>Broken Parasite Jar</v>
      </c>
      <c r="B188" s="22" t="s">
        <v>24</v>
      </c>
      <c r="C188" s="23" t="s">
        <v>2504</v>
      </c>
      <c r="D188" s="24" t="str">
        <f t="shared" si="19"/>
        <v>Osi.TemplateAddTo("1c725b47-184b-4906-a891-c67a7dbc57c2", GetHostCharacter(), 1, 1);</v>
      </c>
    </row>
    <row r="189">
      <c r="A189" s="21" t="str">
        <f>HYPERLINK("https://bg3.wiki/wiki/Bronze_Chalice", "Bronze Chalice")</f>
        <v>Bronze Chalice</v>
      </c>
      <c r="B189" s="22" t="s">
        <v>11</v>
      </c>
      <c r="C189" s="23" t="s">
        <v>2505</v>
      </c>
      <c r="D189" s="24" t="str">
        <f t="shared" si="19"/>
        <v>Osi.TemplateAddTo("a44381ec-6e35-4904-bd6c-cc2886ba5cde", GetHostCharacter(), 1, 1);</v>
      </c>
    </row>
    <row r="190">
      <c r="A190" s="21" t="str">
        <f>HYPERLINK("https://bg3.wiki/wiki/Bronze_Goblet", "Bronze Goblet")</f>
        <v>Bronze Goblet</v>
      </c>
      <c r="B190" s="22" t="s">
        <v>11</v>
      </c>
      <c r="C190" s="23" t="s">
        <v>2506</v>
      </c>
      <c r="D190" s="24" t="str">
        <f t="shared" si="19"/>
        <v>Osi.TemplateAddTo("be4a5974-6cff-4e80-8725-e0b02178e8dc", GetHostCharacter(), 1, 1);</v>
      </c>
    </row>
    <row r="191">
      <c r="A191" s="21" t="str">
        <f>HYPERLINK("https://bg3.wiki/wiki/Bundle_of_Incense", "Bundle of Incense")</f>
        <v>Bundle of Incense</v>
      </c>
      <c r="B191" s="22" t="s">
        <v>11</v>
      </c>
      <c r="C191" s="23" t="s">
        <v>2507</v>
      </c>
      <c r="D191" s="24" t="str">
        <f t="shared" si="19"/>
        <v>Osi.TemplateAddTo("b65070c1-96bc-42af-960b-b785f51c96be", GetHostCharacter(), 1, 1);</v>
      </c>
    </row>
    <row r="192">
      <c r="A192" s="21" t="str">
        <f>HYPERLINK("https://bg3.wiki/wiki/Conical_Flask", "Conical Flask")</f>
        <v>Conical Flask</v>
      </c>
      <c r="B192" s="22" t="s">
        <v>11</v>
      </c>
      <c r="C192" s="23" t="s">
        <v>2508</v>
      </c>
      <c r="D192" s="24" t="str">
        <f t="shared" si="19"/>
        <v>Osi.TemplateAddTo("285da9ec-7c1e-4356-a327-3003a7b51181", GetHostCharacter(), 1, 1);</v>
      </c>
    </row>
    <row r="193">
      <c r="A193" s="21" t="str">
        <f>HYPERLINK("https://bg3.wiki/wiki/Crescent_Moon_Earring", "Crescent Moon Earring")</f>
        <v>Crescent Moon Earring</v>
      </c>
      <c r="B193" s="22" t="s">
        <v>11</v>
      </c>
      <c r="C193" s="23" t="s">
        <v>2509</v>
      </c>
      <c r="D193" s="24" t="str">
        <f t="shared" si="19"/>
        <v>Osi.TemplateAddTo("9588728e-4d4e-4ffe-8bea-7bf9a6c0b8d2", GetHostCharacter(), 1, 1);</v>
      </c>
    </row>
    <row r="194">
      <c r="A194" s="21" t="str">
        <f>HYPERLINK("https://bg3.wiki/wiki/Decanter_of_Nearly_Endless_Water", "Decanter of Nearly Endless Water")</f>
        <v>Decanter of Nearly Endless Water</v>
      </c>
      <c r="B194" s="22" t="s">
        <v>17</v>
      </c>
      <c r="C194" s="23" t="s">
        <v>2510</v>
      </c>
      <c r="D194" s="24" t="str">
        <f t="shared" si="19"/>
        <v>Osi.TemplateAddTo("ac49f3e0-d5d5-448c-b3cf-dd1ad9a96013", GetHostCharacter(), 1, 1);</v>
      </c>
    </row>
    <row r="195">
      <c r="A195" s="21" t="str">
        <f>HYPERLINK("https://bg3.wiki/wiki/Fishing_Rod_of_Alertness", "Fishing Rod of Alertness")</f>
        <v>Fishing Rod of Alertness</v>
      </c>
      <c r="B195" s="22" t="s">
        <v>17</v>
      </c>
      <c r="C195" s="23" t="s">
        <v>2511</v>
      </c>
      <c r="D195" s="24" t="str">
        <f t="shared" si="19"/>
        <v>Osi.TemplateAddTo("a366a1b3-2338-434a-9815-97243bb1821e", GetHostCharacter(), 1, 1);</v>
      </c>
    </row>
    <row r="196">
      <c r="A196" s="21" t="str">
        <f>HYPERLINK("https://bg3.wiki/wiki/Forgery_Kit", "Forgery Kit")</f>
        <v>Forgery Kit</v>
      </c>
      <c r="B196" s="22" t="s">
        <v>11</v>
      </c>
      <c r="C196" s="23" t="s">
        <v>158</v>
      </c>
      <c r="D196" s="24"/>
    </row>
    <row r="197">
      <c r="A197" s="21" t="str">
        <f>HYPERLINK("https://bg3.wiki/wiki/Fork", "Fork")</f>
        <v>Fork</v>
      </c>
      <c r="B197" s="22" t="s">
        <v>11</v>
      </c>
      <c r="C197" s="23" t="s">
        <v>2512</v>
      </c>
      <c r="D197" s="24" t="str">
        <f t="shared" ref="D197:D214" si="20">"Osi.TemplateAddTo("""&amp; C197 &amp;""", GetHostCharacter(), 1, 1);"</f>
        <v>Osi.TemplateAddTo("8c17a2e5-e742-4fac-a0d6-10289be28c72", GetHostCharacter(), 1, 1);</v>
      </c>
    </row>
    <row r="198">
      <c r="A198" s="21" t="str">
        <f>HYPERLINK("https://bg3.wiki/wiki/Glass_Goblet", "Glass Goblet")</f>
        <v>Glass Goblet</v>
      </c>
      <c r="B198" s="22" t="s">
        <v>11</v>
      </c>
      <c r="C198" s="23" t="s">
        <v>2513</v>
      </c>
      <c r="D198" s="24" t="str">
        <f t="shared" si="20"/>
        <v>Osi.TemplateAddTo("9403da0c-e8e6-4262-bda2-072beaf39641", GetHostCharacter(), 1, 1);</v>
      </c>
    </row>
    <row r="199">
      <c r="A199" s="21" t="str">
        <f>HYPERLINK("https://bg3.wiki/wiki/Glass_Retort", "Glass Retort")</f>
        <v>Glass Retort</v>
      </c>
      <c r="B199" s="22" t="s">
        <v>11</v>
      </c>
      <c r="C199" s="23" t="s">
        <v>2514</v>
      </c>
      <c r="D199" s="24" t="str">
        <f t="shared" si="20"/>
        <v>Osi.TemplateAddTo("7dbca836-3b19-4fc5-8810-5ad5d9ed1592", GetHostCharacter(), 1, 1);</v>
      </c>
    </row>
    <row r="200">
      <c r="A200" s="21" t="str">
        <f>HYPERLINK("https://bg3.wiki/wiki/Gold_Chalice", "Gold Chalice")</f>
        <v>Gold Chalice</v>
      </c>
      <c r="B200" s="22" t="s">
        <v>11</v>
      </c>
      <c r="C200" s="23" t="s">
        <v>2515</v>
      </c>
      <c r="D200" s="24" t="str">
        <f t="shared" si="20"/>
        <v>Osi.TemplateAddTo("4fe7a57f-fb63-4192-9483-c47c8e845738", GetHostCharacter(), 1, 1);</v>
      </c>
    </row>
    <row r="201">
      <c r="A201" s="21" t="str">
        <f>HYPERLINK("https://bg3.wiki/wiki/Holy_Hand_Soap", "Holy Hand Soap")</f>
        <v>Holy Hand Soap</v>
      </c>
      <c r="B201" s="22" t="s">
        <v>17</v>
      </c>
      <c r="C201" s="23" t="s">
        <v>2516</v>
      </c>
      <c r="D201" s="24" t="str">
        <f t="shared" si="20"/>
        <v>Osi.TemplateAddTo("42d56907-aa68-4f77-a024-3789c323214d", GetHostCharacter(), 1, 1);</v>
      </c>
    </row>
    <row r="202">
      <c r="A202" s="21" t="str">
        <f>HYPERLINK("https://bg3.wiki/wiki/Horn", "Horn")</f>
        <v>Horn</v>
      </c>
      <c r="B202" s="22" t="s">
        <v>11</v>
      </c>
      <c r="C202" s="23" t="s">
        <v>2517</v>
      </c>
      <c r="D202" s="24" t="str">
        <f t="shared" si="20"/>
        <v>Osi.TemplateAddTo("cc0e5642-fed1-425a-a997-20b94b2ff696", GetHostCharacter(), 1, 1);</v>
      </c>
    </row>
    <row r="203">
      <c r="A203" s="21" t="str">
        <f>HYPERLINK("https://bg3.wiki/wiki/Incense", "Incense")</f>
        <v>Incense</v>
      </c>
      <c r="B203" s="22" t="s">
        <v>11</v>
      </c>
      <c r="C203" s="23" t="s">
        <v>2518</v>
      </c>
      <c r="D203" s="24" t="str">
        <f t="shared" si="20"/>
        <v>Osi.TemplateAddTo("05e58ebb-563c-4a32-bc0d-881ed6fe18fb", GetHostCharacter(), 1, 1);</v>
      </c>
    </row>
    <row r="204">
      <c r="A204" s="21" t="str">
        <f>HYPERLINK("https://bg3.wiki/wiki/Plate_(Valuable)", "Plate (Valuable)")</f>
        <v>Plate (Valuable)</v>
      </c>
      <c r="B204" s="22" t="s">
        <v>11</v>
      </c>
      <c r="C204" s="23" t="s">
        <v>2519</v>
      </c>
      <c r="D204" s="24" t="str">
        <f t="shared" si="20"/>
        <v>Osi.TemplateAddTo("2e7a33f1-e1d3-4698-88f1-841e21d6ea2c", GetHostCharacter(), 1, 1);</v>
      </c>
    </row>
    <row r="205">
      <c r="A205" s="21" t="str">
        <f>HYPERLINK("https://bg3.wiki/wiki/Round_Flask", "Round Flask")</f>
        <v>Round Flask</v>
      </c>
      <c r="B205" s="22" t="s">
        <v>11</v>
      </c>
      <c r="C205" s="23" t="s">
        <v>2520</v>
      </c>
      <c r="D205" s="24" t="str">
        <f t="shared" si="20"/>
        <v>Osi.TemplateAddTo("e78c5f50-0bc0-46f4-9abb-0e057c3c19bd", GetHostCharacter(), 1, 1);</v>
      </c>
    </row>
    <row r="206">
      <c r="A206" s="21" t="str">
        <f>HYPERLINK("https://bg3.wiki/wiki/Sekolah_Goblet", "Sekolah Goblet")</f>
        <v>Sekolah Goblet</v>
      </c>
      <c r="B206" s="22" t="s">
        <v>11</v>
      </c>
      <c r="C206" s="23" t="s">
        <v>2521</v>
      </c>
      <c r="D206" s="24" t="str">
        <f t="shared" si="20"/>
        <v>Osi.TemplateAddTo("9195d183-c2a1-42ed-ba51-3adc534f8c76", GetHostCharacter(), 1, 1);</v>
      </c>
    </row>
    <row r="207">
      <c r="A207" s="21" t="str">
        <f>HYPERLINK("https://bg3.wiki/wiki/Sending_Shell", "Sending Shell")</f>
        <v>Sending Shell</v>
      </c>
      <c r="B207" s="22" t="s">
        <v>17</v>
      </c>
      <c r="C207" s="23" t="s">
        <v>2522</v>
      </c>
      <c r="D207" s="24" t="str">
        <f t="shared" si="20"/>
        <v>Osi.TemplateAddTo("60d14cc7-d47f-4e8d-a888-50619b80bf28", GetHostCharacter(), 1, 1);</v>
      </c>
    </row>
    <row r="208">
      <c r="A208" s="21" t="str">
        <f>HYPERLINK("https://bg3.wiki/wiki/Separatory_Funnel", "Separatory Funnel")</f>
        <v>Separatory Funnel</v>
      </c>
      <c r="B208" s="22" t="s">
        <v>11</v>
      </c>
      <c r="C208" s="23" t="s">
        <v>2523</v>
      </c>
      <c r="D208" s="24" t="str">
        <f t="shared" si="20"/>
        <v>Osi.TemplateAddTo("f99d86d2-2012-48a2-bfd1-1dbc867ad13c", GetHostCharacter(), 1, 1);</v>
      </c>
    </row>
    <row r="209">
      <c r="A209" s="21" t="str">
        <f>HYPERLINK("https://bg3.wiki/wiki/Silver_Cake_Stand", "Silver Cake Stand")</f>
        <v>Silver Cake Stand</v>
      </c>
      <c r="B209" s="22" t="s">
        <v>11</v>
      </c>
      <c r="C209" s="23" t="s">
        <v>2524</v>
      </c>
      <c r="D209" s="24" t="str">
        <f t="shared" si="20"/>
        <v>Osi.TemplateAddTo("c87a576a-01e2-4030-a511-86566bc834df", GetHostCharacter(), 1, 1);</v>
      </c>
    </row>
    <row r="210">
      <c r="A210" s="21" t="str">
        <f>HYPERLINK("https://bg3.wiki/wiki/Silver_Chalice", "Silver Chalice")</f>
        <v>Silver Chalice</v>
      </c>
      <c r="B210" s="22" t="s">
        <v>11</v>
      </c>
      <c r="C210" s="23" t="s">
        <v>2525</v>
      </c>
      <c r="D210" s="24" t="str">
        <f t="shared" si="20"/>
        <v>Osi.TemplateAddTo("6d5f32c7-2694-4a8d-ab0e-aebeafe5a73a", GetHostCharacter(), 1, 1);</v>
      </c>
    </row>
    <row r="211">
      <c r="A211" s="21" t="str">
        <f>HYPERLINK("https://bg3.wiki/wiki/Silver_Fork", "Silver Fork")</f>
        <v>Silver Fork</v>
      </c>
      <c r="B211" s="22" t="s">
        <v>11</v>
      </c>
      <c r="C211" s="23" t="s">
        <v>2526</v>
      </c>
      <c r="D211" s="24" t="str">
        <f t="shared" si="20"/>
        <v>Osi.TemplateAddTo("c9d1582a-a8ae-4904-a39e-53f7adc54493", GetHostCharacter(), 1, 1);</v>
      </c>
    </row>
    <row r="212">
      <c r="A212" s="21" t="str">
        <f>HYPERLINK("https://bg3.wiki/wiki/Silver_Glass", "Silver Glass")</f>
        <v>Silver Glass</v>
      </c>
      <c r="B212" s="22" t="s">
        <v>11</v>
      </c>
      <c r="C212" s="23" t="s">
        <v>2527</v>
      </c>
      <c r="D212" s="24" t="str">
        <f t="shared" si="20"/>
        <v>Osi.TemplateAddTo("308cd520-49df-4164-8b22-66e61d76d135", GetHostCharacter(), 1, 1);</v>
      </c>
    </row>
    <row r="213">
      <c r="A213" s="21" t="str">
        <f>HYPERLINK("https://bg3.wiki/wiki/Silver_Goblet", "Silver Goblet")</f>
        <v>Silver Goblet</v>
      </c>
      <c r="B213" s="22" t="s">
        <v>11</v>
      </c>
      <c r="C213" s="23" t="s">
        <v>2528</v>
      </c>
      <c r="D213" s="24" t="str">
        <f t="shared" si="20"/>
        <v>Osi.TemplateAddTo("d6db5601-17c1-4f64-9b59-ec82a53fb5a3", GetHostCharacter(), 1, 1);</v>
      </c>
    </row>
    <row r="214">
      <c r="A214" s="21" t="str">
        <f>HYPERLINK("https://bg3.wiki/wiki/Silver_Knife", "Silver Knife")</f>
        <v>Silver Knife</v>
      </c>
      <c r="B214" s="22" t="s">
        <v>11</v>
      </c>
      <c r="C214" s="23" t="s">
        <v>2529</v>
      </c>
      <c r="D214" s="24" t="str">
        <f t="shared" si="20"/>
        <v>Osi.TemplateAddTo("9b017999-20a3-4073-a900-2cba83438540", GetHostCharacter(), 1, 1);</v>
      </c>
    </row>
    <row r="215">
      <c r="A215" s="21" t="str">
        <f>HYPERLINK("https://bg3.wiki/wiki/Silver_Plate", "Silver Plate")</f>
        <v>Silver Plate</v>
      </c>
      <c r="B215" s="22" t="s">
        <v>11</v>
      </c>
      <c r="C215" s="23" t="s">
        <v>158</v>
      </c>
      <c r="D215" s="24"/>
    </row>
    <row r="216">
      <c r="A216" s="21" t="str">
        <f>HYPERLINK("https://bg3.wiki/wiki/Silver_Spoon", "Silver Spoon")</f>
        <v>Silver Spoon</v>
      </c>
      <c r="B216" s="22" t="s">
        <v>11</v>
      </c>
      <c r="C216" s="23" t="s">
        <v>2530</v>
      </c>
      <c r="D216" s="24" t="str">
        <f t="shared" ref="D216:D220" si="21">"Osi.TemplateAddTo("""&amp; C216 &amp;""", GetHostCharacter(), 1, 1);"</f>
        <v>Osi.TemplateAddTo("386a5c4a-8f59-4e82-bcad-554ca38634c4", GetHostCharacter(), 1, 1);</v>
      </c>
    </row>
    <row r="217">
      <c r="A217" s="21" t="str">
        <f>HYPERLINK("https://bg3.wiki/wiki/Silver_Tray", "Silver Tray")</f>
        <v>Silver Tray</v>
      </c>
      <c r="B217" s="22" t="s">
        <v>11</v>
      </c>
      <c r="C217" s="23" t="s">
        <v>2531</v>
      </c>
      <c r="D217" s="24" t="str">
        <f t="shared" si="21"/>
        <v>Osi.TemplateAddTo("91ea5049-b91f-4de8-a9a4-7be02e801b3f", GetHostCharacter(), 1, 1);</v>
      </c>
    </row>
    <row r="218">
      <c r="A218" s="21" t="str">
        <f>HYPERLINK("https://bg3.wiki/wiki/Spoon", "Spoon")</f>
        <v>Spoon</v>
      </c>
      <c r="B218" s="22" t="s">
        <v>11</v>
      </c>
      <c r="C218" s="23" t="s">
        <v>2532</v>
      </c>
      <c r="D218" s="24" t="str">
        <f t="shared" si="21"/>
        <v>Osi.TemplateAddTo("52028998-2e36-4c6f-801b-8fe202c5d0e8", GetHostCharacter(), 1, 1);</v>
      </c>
    </row>
    <row r="219">
      <c r="A219" s="21" t="str">
        <f>HYPERLINK("https://bg3.wiki/wiki/Spoon_of_Saltiness", "Spoon of Saltiness")</f>
        <v>Spoon of Saltiness</v>
      </c>
      <c r="B219" s="22" t="s">
        <v>17</v>
      </c>
      <c r="C219" s="23" t="s">
        <v>2533</v>
      </c>
      <c r="D219" s="24" t="str">
        <f t="shared" si="21"/>
        <v>Osi.TemplateAddTo("e14df0f7-0361-42ea-a0af-a4d4033f85e2", GetHostCharacter(), 1, 1);</v>
      </c>
    </row>
    <row r="220">
      <c r="A220" s="38" t="str">
        <f>HYPERLINK("https://bg3.wiki/wiki/War_Drum", "War Drum")</f>
        <v>War Drum</v>
      </c>
      <c r="B220" s="39" t="s">
        <v>11</v>
      </c>
      <c r="C220" s="40" t="s">
        <v>2534</v>
      </c>
      <c r="D220" s="41" t="str">
        <f t="shared" si="21"/>
        <v>Osi.TemplateAddTo("868fa1ab-8044-4a82-9c2b-bf4ffb241536", GetHostCharacter(), 1, 1);</v>
      </c>
    </row>
    <row r="221">
      <c r="C221" s="42"/>
    </row>
  </sheetData>
  <mergeCells count="1">
    <mergeCell ref="A86:D86"/>
  </mergeCells>
  <conditionalFormatting sqref="B1:B85 B87:B221">
    <cfRule type="cellIs" dxfId="0" priority="1" operator="equal">
      <formula>"Common"</formula>
    </cfRule>
  </conditionalFormatting>
  <conditionalFormatting sqref="B1:B84 B89:B221">
    <cfRule type="cellIs" dxfId="1" priority="2" operator="equal">
      <formula>"rare"</formula>
    </cfRule>
  </conditionalFormatting>
  <conditionalFormatting sqref="B3:B84">
    <cfRule type="cellIs" dxfId="2" priority="3" operator="equal">
      <formula>"Very Rare"</formula>
    </cfRule>
  </conditionalFormatting>
  <conditionalFormatting sqref="B3:B84">
    <cfRule type="cellIs" dxfId="4" priority="4" operator="equal">
      <formula>"Legendary"</formula>
    </cfRule>
  </conditionalFormatting>
  <conditionalFormatting sqref="B3:B84">
    <cfRule type="cellIs" dxfId="5" priority="5" operator="equal">
      <formula>"Story Item"</formula>
    </cfRule>
  </conditionalFormatting>
  <conditionalFormatting sqref="B3:B84">
    <cfRule type="cellIs" dxfId="3" priority="6" operator="equal">
      <formula>"Uncommon"</formula>
    </cfRule>
  </conditionalFormatting>
  <conditionalFormatting sqref="B1:B84 B89:B221">
    <cfRule type="cellIs" dxfId="2" priority="7" operator="equal">
      <formula>"Very Rare"</formula>
    </cfRule>
  </conditionalFormatting>
  <conditionalFormatting sqref="B1:B84 B89:B221">
    <cfRule type="cellIs" dxfId="3" priority="8" operator="equal">
      <formula>"Uncommon"</formula>
    </cfRule>
  </conditionalFormatting>
  <conditionalFormatting sqref="B1:B84 B89:B221">
    <cfRule type="cellIs" dxfId="4" priority="9" operator="equal">
      <formula>"Legendary"</formula>
    </cfRule>
  </conditionalFormatting>
  <conditionalFormatting sqref="B1:B84 B89:B221">
    <cfRule type="cellIs" dxfId="5" priority="10" operator="equal">
      <formula>"Story Item"</formula>
    </cfRule>
  </conditionalFormatting>
  <conditionalFormatting sqref="C1:C84 C89:C221">
    <cfRule type="containsText" dxfId="6" priority="11" operator="containsText" text="todo">
      <formula>NOT(ISERROR(SEARCH(("todo"),(C1))))</formula>
    </cfRule>
  </conditionalFormatting>
  <drawing r:id="rId1"/>
  <tableParts count="5">
    <tablePart r:id="rId7"/>
    <tablePart r:id="rId8"/>
    <tablePart r:id="rId9"/>
    <tablePart r:id="rId10"/>
    <tablePart r:id="rId1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9.5"/>
    <col customWidth="1" min="3" max="3" width="20.0"/>
    <col customWidth="1" min="4" max="4" width="70.88"/>
    <col customWidth="1" min="5" max="5" width="42.38"/>
    <col customWidth="1" min="6" max="6" width="33.5"/>
  </cols>
  <sheetData>
    <row r="1">
      <c r="A1" s="22" t="s">
        <v>2535</v>
      </c>
      <c r="B1" s="22"/>
      <c r="C1" s="23"/>
      <c r="D1" s="22"/>
      <c r="E1" s="15"/>
    </row>
    <row r="2">
      <c r="A2" s="22"/>
      <c r="B2" s="22"/>
      <c r="C2" s="23"/>
      <c r="D2" s="22"/>
      <c r="E2" s="15"/>
    </row>
    <row r="3">
      <c r="A3" s="22"/>
      <c r="B3" s="22"/>
      <c r="C3" s="23"/>
      <c r="D3" s="22"/>
      <c r="E3" s="15"/>
    </row>
    <row r="4">
      <c r="A4" s="27" t="s">
        <v>2536</v>
      </c>
      <c r="B4" s="22"/>
      <c r="C4" s="23"/>
      <c r="D4" s="22"/>
      <c r="E4" s="15"/>
    </row>
    <row r="5">
      <c r="A5" s="34" t="s">
        <v>7</v>
      </c>
      <c r="B5" s="35" t="s">
        <v>8</v>
      </c>
      <c r="C5" s="35" t="s">
        <v>9</v>
      </c>
      <c r="D5" s="36" t="s">
        <v>10</v>
      </c>
      <c r="E5" s="43"/>
      <c r="F5" s="37"/>
    </row>
    <row r="6">
      <c r="A6" s="61" t="str">
        <f>HYPERLINK("https://bg3.wiki/wiki/Nightsong_Helmet", "Nightsong Helmet")</f>
        <v>Nightsong Helmet</v>
      </c>
      <c r="B6" s="22" t="s">
        <v>11</v>
      </c>
      <c r="C6" s="23" t="s">
        <v>989</v>
      </c>
      <c r="D6" s="24" t="str">
        <f t="shared" ref="D6:D11" si="1">"Osi.TemplateAddTo("""&amp; C6 &amp;""", GetHostCharacter(), 1, 1);"</f>
        <v>Osi.TemplateAddTo("197c32e4-6693-4d0e-846e-c5e1dc085010", GetHostCharacter(), 1, 1);</v>
      </c>
      <c r="E6" s="15"/>
    </row>
    <row r="7">
      <c r="A7" s="21" t="str">
        <f>HYPERLINK("https://bg3.wiki/wiki/Nightsong_Gloves", "Nightsong Gloves")</f>
        <v>Nightsong Gloves</v>
      </c>
      <c r="B7" s="22" t="s">
        <v>11</v>
      </c>
      <c r="C7" s="23" t="s">
        <v>1159</v>
      </c>
      <c r="D7" s="24" t="str">
        <f t="shared" si="1"/>
        <v>Osi.TemplateAddTo("a46fd5d8-57d8-4f47-ae21-aa15d6ffb90b", GetHostCharacter(), 1, 1);</v>
      </c>
      <c r="E7" s="15"/>
    </row>
    <row r="8">
      <c r="A8" s="21" t="str">
        <f>HYPERLINK("https://bg3.wiki/wiki/Nightsong%27s_Armour", "Nightsong's Armour")</f>
        <v>Nightsong's Armour</v>
      </c>
      <c r="B8" s="22" t="s">
        <v>17</v>
      </c>
      <c r="C8" s="23" t="s">
        <v>1298</v>
      </c>
      <c r="D8" s="24" t="str">
        <f t="shared" si="1"/>
        <v>Osi.TemplateAddTo("bc4d3f9d-714c-4c40-a54c-b974c8e9d0c6", GetHostCharacter(), 1, 1);</v>
      </c>
      <c r="E8" s="15"/>
    </row>
    <row r="9">
      <c r="A9" s="21" t="str">
        <f>HYPERLINK("https://bg3.wiki/wiki/Nightsong_Boots", "Nightsong Boots")</f>
        <v>Nightsong Boots</v>
      </c>
      <c r="B9" s="22" t="s">
        <v>11</v>
      </c>
      <c r="C9" s="23" t="s">
        <v>1409</v>
      </c>
      <c r="D9" s="24" t="str">
        <f t="shared" si="1"/>
        <v>Osi.TemplateAddTo("0902cf5a-a393-40df-8cfb-c00da481cfa9", GetHostCharacter(), 1, 1);</v>
      </c>
      <c r="E9" s="15"/>
    </row>
    <row r="10">
      <c r="A10" s="26" t="s">
        <v>225</v>
      </c>
      <c r="B10" s="22" t="s">
        <v>11</v>
      </c>
      <c r="C10" s="23" t="s">
        <v>226</v>
      </c>
      <c r="D10" s="24" t="str">
        <f t="shared" si="1"/>
        <v>Osi.TemplateAddTo("a96c763c-db4e-4fc3-968b-ebed9d404aee", GetHostCharacter(), 1, 1);</v>
      </c>
      <c r="E10" s="44" t="s">
        <v>2537</v>
      </c>
    </row>
    <row r="11">
      <c r="A11" s="26" t="s">
        <v>1315</v>
      </c>
      <c r="B11" s="22" t="s">
        <v>11</v>
      </c>
      <c r="C11" s="23" t="s">
        <v>1316</v>
      </c>
      <c r="D11" s="24" t="str">
        <f t="shared" si="1"/>
        <v>Osi.TemplateAddTo("daadda55-d439-47eb-a308-acaf575a7fd5", GetHostCharacter(), 1, 1);</v>
      </c>
      <c r="E11" s="44" t="s">
        <v>2538</v>
      </c>
    </row>
    <row r="12">
      <c r="A12" s="85"/>
      <c r="B12" s="86"/>
      <c r="C12" s="87"/>
      <c r="D12" s="86"/>
    </row>
    <row r="13">
      <c r="A13" s="27" t="s">
        <v>2539</v>
      </c>
      <c r="B13" s="22"/>
      <c r="C13" s="23"/>
      <c r="D13" s="22"/>
      <c r="E13" s="15"/>
    </row>
    <row r="14">
      <c r="A14" s="34" t="s">
        <v>7</v>
      </c>
      <c r="B14" s="35" t="s">
        <v>8</v>
      </c>
      <c r="C14" s="35" t="s">
        <v>9</v>
      </c>
      <c r="D14" s="36" t="s">
        <v>10</v>
      </c>
      <c r="E14" s="43"/>
      <c r="F14" s="37"/>
    </row>
    <row r="15">
      <c r="A15" s="21" t="str">
        <f>HYPERLINK("https://bg3.wiki/wiki/Dreamwalker_Plate", "Dreamwalker Plate")</f>
        <v>Dreamwalker Plate</v>
      </c>
      <c r="B15" s="22" t="s">
        <v>11</v>
      </c>
      <c r="C15" s="23" t="s">
        <v>1248</v>
      </c>
      <c r="D15" s="24" t="str">
        <f t="shared" ref="D15:D17" si="2">"Osi.TemplateAddTo("""&amp; C15 &amp;""", GetHostCharacter(), 1, 1);"</f>
        <v>Osi.TemplateAddTo("aa0917ea-5f66-4a22-97de-654228484128", GetHostCharacter(), 1, 1);</v>
      </c>
      <c r="E15" s="15"/>
    </row>
    <row r="16">
      <c r="A16" s="21" t="str">
        <f>HYPERLINK("https://bg3.wiki/wiki/Dreamsome_Boots", "Dreamsome Boots")</f>
        <v>Dreamsome Boots</v>
      </c>
      <c r="B16" s="22" t="s">
        <v>11</v>
      </c>
      <c r="C16" s="23" t="s">
        <v>1382</v>
      </c>
      <c r="D16" s="24" t="str">
        <f t="shared" si="2"/>
        <v>Osi.TemplateAddTo("216f0362-f77b-420c-84cb-d84853aa173d", GetHostCharacter(), 1, 1);</v>
      </c>
      <c r="E16" s="15"/>
    </row>
    <row r="17">
      <c r="A17" s="38" t="str">
        <f>HYPERLINK("https://bg3.wiki/wiki/Metallic_Gloves", "Metallic Gloves")</f>
        <v>Metallic Gloves</v>
      </c>
      <c r="B17" s="39" t="s">
        <v>11</v>
      </c>
      <c r="C17" s="40" t="s">
        <v>1156</v>
      </c>
      <c r="D17" s="41" t="str">
        <f t="shared" si="2"/>
        <v>Osi.TemplateAddTo("1dcdf52e-b596-4e3a-8d1c-8fff17ed8c2c", GetHostCharacter(), 1, 1);</v>
      </c>
      <c r="E17" s="15"/>
    </row>
    <row r="18">
      <c r="C18" s="42"/>
    </row>
    <row r="19">
      <c r="A19" s="88" t="s">
        <v>2540</v>
      </c>
      <c r="B19" s="20"/>
      <c r="C19" s="89"/>
      <c r="D19" s="20"/>
      <c r="E19" s="20"/>
      <c r="F19" s="20"/>
    </row>
    <row r="20">
      <c r="A20" s="90" t="s">
        <v>7</v>
      </c>
      <c r="B20" s="91" t="s">
        <v>8</v>
      </c>
      <c r="C20" s="91" t="s">
        <v>9</v>
      </c>
      <c r="D20" s="92" t="s">
        <v>10</v>
      </c>
      <c r="E20" s="93"/>
      <c r="F20" s="93"/>
    </row>
    <row r="21">
      <c r="A21" s="94" t="s">
        <v>2541</v>
      </c>
      <c r="B21" s="63" t="s">
        <v>991</v>
      </c>
      <c r="C21" s="95" t="s">
        <v>1410</v>
      </c>
      <c r="D21" s="65" t="str">
        <f t="shared" ref="D21:D24" si="3">"Osi.TemplateAddTo("""&amp; C21 &amp;""", GetHostCharacter(), 1, 1);"</f>
        <v>Osi.TemplateAddTo("71030d3c-c3c4-4ad6-80de-f9871bd6f11d", GetHostCharacter(), 1, 1);</v>
      </c>
      <c r="E21" s="96"/>
      <c r="F21" s="20"/>
    </row>
    <row r="22">
      <c r="A22" s="62" t="s">
        <v>1161</v>
      </c>
      <c r="B22" s="63" t="s">
        <v>991</v>
      </c>
      <c r="C22" s="64" t="s">
        <v>1162</v>
      </c>
      <c r="D22" s="69" t="str">
        <f t="shared" si="3"/>
        <v>Osi.TemplateAddTo("f66431d0-08a6-4b15-b8a4-7154fc1e5f47", GetHostCharacter(), 1, 1);</v>
      </c>
      <c r="E22" s="27" t="s">
        <v>993</v>
      </c>
      <c r="F22" s="20"/>
    </row>
    <row r="23">
      <c r="A23" s="62" t="s">
        <v>990</v>
      </c>
      <c r="B23" s="63" t="s">
        <v>991</v>
      </c>
      <c r="C23" s="64" t="s">
        <v>992</v>
      </c>
      <c r="D23" s="65" t="str">
        <f t="shared" si="3"/>
        <v>Osi.TemplateAddTo("ae1dc399-3706-447e-8c79-f8a35c035ec4", GetHostCharacter(), 1, 1);</v>
      </c>
      <c r="E23" s="27" t="s">
        <v>993</v>
      </c>
      <c r="F23" s="20"/>
    </row>
    <row r="24">
      <c r="A24" s="71" t="s">
        <v>1299</v>
      </c>
      <c r="B24" s="72" t="s">
        <v>991</v>
      </c>
      <c r="C24" s="73" t="s">
        <v>1300</v>
      </c>
      <c r="D24" s="74" t="str">
        <f t="shared" si="3"/>
        <v>Osi.TemplateAddTo("c67137ac-4ece-4652-aaab-14615aa25b20", GetHostCharacter(), 1, 1);</v>
      </c>
      <c r="E24" s="27" t="s">
        <v>993</v>
      </c>
      <c r="F24" s="20"/>
    </row>
    <row r="25">
      <c r="A25" s="20"/>
      <c r="B25" s="20"/>
      <c r="C25" s="89"/>
      <c r="D25" s="20"/>
      <c r="E25" s="20"/>
      <c r="F25" s="20"/>
    </row>
    <row r="26">
      <c r="A26" s="27" t="s">
        <v>2542</v>
      </c>
      <c r="B26" s="22"/>
      <c r="C26" s="23"/>
      <c r="D26" s="22"/>
      <c r="E26" s="15"/>
    </row>
    <row r="27">
      <c r="A27" s="34" t="s">
        <v>7</v>
      </c>
      <c r="B27" s="35" t="s">
        <v>8</v>
      </c>
      <c r="C27" s="35" t="s">
        <v>9</v>
      </c>
      <c r="D27" s="36" t="s">
        <v>10</v>
      </c>
      <c r="E27" s="43"/>
      <c r="F27" s="37"/>
    </row>
    <row r="28">
      <c r="A28" s="21" t="str">
        <f>HYPERLINK("https://bg3.wiki/wiki/Githyanki_Boots", "Githyanki Boots")</f>
        <v>Githyanki Boots</v>
      </c>
      <c r="B28" s="22" t="s">
        <v>11</v>
      </c>
      <c r="C28" s="23" t="s">
        <v>1388</v>
      </c>
      <c r="D28" s="24" t="str">
        <f t="shared" ref="D28:D39" si="4">"Osi.TemplateAddTo("""&amp; C28 &amp;""", GetHostCharacter(), 1, 1);"</f>
        <v>Osi.TemplateAddTo("319c625a-cfb7-4e44-ac3f-370a00c0d4ef", GetHostCharacter(), 1, 1);</v>
      </c>
      <c r="E28" s="15"/>
    </row>
    <row r="29">
      <c r="A29" s="21" t="str">
        <f>HYPERLINK("https://bg3.wiki/wiki/Githyanki_Breastplate", "Githyanki Breastplate")</f>
        <v>Githyanki Breastplate</v>
      </c>
      <c r="B29" s="22" t="s">
        <v>24</v>
      </c>
      <c r="C29" s="23" t="s">
        <v>1251</v>
      </c>
      <c r="D29" s="24" t="str">
        <f t="shared" si="4"/>
        <v>Osi.TemplateAddTo("203f10e9-10d7-4252-ba73-4e726d552ae6", GetHostCharacter(), 1, 1);</v>
      </c>
      <c r="E29" s="15"/>
    </row>
    <row r="30">
      <c r="A30" s="21" t="str">
        <f>HYPERLINK("https://bg3.wiki/wiki/Githyanki_Crossbow", "Githyanki Crossbow")</f>
        <v>Githyanki Crossbow</v>
      </c>
      <c r="B30" s="22" t="s">
        <v>17</v>
      </c>
      <c r="C30" s="23" t="s">
        <v>491</v>
      </c>
      <c r="D30" s="24" t="str">
        <f t="shared" si="4"/>
        <v>Osi.TemplateAddTo("b674ea52-2b6f-4977-b6d5-98810304a98b", GetHostCharacter(), 1, 1);</v>
      </c>
    </row>
    <row r="31">
      <c r="A31" s="21" t="str">
        <f>HYPERLINK("https://bg3.wiki/wiki/Githyanki_Greatsword", "Githyanki Greatsword")</f>
        <v>Githyanki Greatsword</v>
      </c>
      <c r="B31" s="22" t="s">
        <v>17</v>
      </c>
      <c r="C31" s="23" t="s">
        <v>153</v>
      </c>
      <c r="D31" s="24" t="str">
        <f t="shared" si="4"/>
        <v>Osi.TemplateAddTo("d1082e88-b1e2-479d-913f-1413784d95a1", GetHostCharacter(), 1, 1);</v>
      </c>
    </row>
    <row r="32">
      <c r="A32" s="21" t="str">
        <f>HYPERLINK("https://bg3.wiki/wiki/Githyanki_Greatsword_(Psionic)", "Githyanki Greatsword (Psionic)")</f>
        <v>Githyanki Greatsword (Psionic)</v>
      </c>
      <c r="B32" s="22" t="s">
        <v>17</v>
      </c>
      <c r="C32" s="23" t="s">
        <v>154</v>
      </c>
      <c r="D32" s="24" t="str">
        <f t="shared" si="4"/>
        <v>Osi.TemplateAddTo("769adbf8-d3bf-48f7-8c2b-21fb892b1d33", GetHostCharacter(), 1, 1);</v>
      </c>
    </row>
    <row r="33">
      <c r="A33" s="21" t="str">
        <f>HYPERLINK("https://bg3.wiki/wiki/Githyanki_Half_Plate", "Githyanki Half Plate")</f>
        <v>Githyanki Half Plate</v>
      </c>
      <c r="B33" s="22" t="s">
        <v>11</v>
      </c>
      <c r="C33" s="23" t="s">
        <v>1252</v>
      </c>
      <c r="D33" s="24" t="str">
        <f t="shared" si="4"/>
        <v>Osi.TemplateAddTo("38c63f49-3c50-46d0-90d3-68b247542c36", GetHostCharacter(), 1, 1);</v>
      </c>
    </row>
    <row r="34">
      <c r="A34" s="21" t="str">
        <f>HYPERLINK("https://bg3.wiki/wiki/Githyanki_Half_Plate", "Githyanki Half Plate (Cut V1)")</f>
        <v>Githyanki Half Plate (Cut V1)</v>
      </c>
      <c r="B34" s="22" t="s">
        <v>11</v>
      </c>
      <c r="C34" s="23" t="s">
        <v>1253</v>
      </c>
      <c r="D34" s="24" t="str">
        <f t="shared" si="4"/>
        <v>Osi.TemplateAddTo("85ed2fdb-c676-4e14-9641-ffda788078e8", GetHostCharacter(), 1, 1);</v>
      </c>
      <c r="E34" s="27" t="s">
        <v>1254</v>
      </c>
    </row>
    <row r="35">
      <c r="A35" s="21" t="str">
        <f t="shared" ref="A35:A36" si="5">HYPERLINK("https://bg3.wiki/wiki/Githyanki_Half_Plate", "Githyanki Half Plate (Cut V2)")</f>
        <v>Githyanki Half Plate (Cut V2)</v>
      </c>
      <c r="B35" s="22" t="s">
        <v>11</v>
      </c>
      <c r="C35" s="23" t="s">
        <v>1255</v>
      </c>
      <c r="D35" s="24" t="str">
        <f t="shared" si="4"/>
        <v>Osi.TemplateAddTo("d1ec23df-f3d6-4378-ab07-dea2ff1ad556", GetHostCharacter(), 1, 1);</v>
      </c>
      <c r="E35" s="27" t="s">
        <v>1254</v>
      </c>
    </row>
    <row r="36">
      <c r="A36" s="61" t="str">
        <f t="shared" si="5"/>
        <v>Githyanki Half Plate (Cut V2)</v>
      </c>
      <c r="B36" s="22" t="s">
        <v>11</v>
      </c>
      <c r="C36" s="23" t="s">
        <v>1256</v>
      </c>
      <c r="D36" s="24" t="str">
        <f t="shared" si="4"/>
        <v>Osi.TemplateAddTo("1306c1bf-7db6-4036-9799-a5d1a1745694", GetHostCharacter(), 1, 1);</v>
      </c>
      <c r="E36" s="27" t="s">
        <v>1254</v>
      </c>
    </row>
    <row r="37">
      <c r="A37" s="22" t="s">
        <v>2543</v>
      </c>
      <c r="B37" s="22" t="s">
        <v>11</v>
      </c>
      <c r="C37" s="23" t="s">
        <v>2544</v>
      </c>
      <c r="D37" s="24" t="str">
        <f t="shared" si="4"/>
        <v>Osi.TemplateAddTo("c3aaffa5-096d-4d4c-87b6-a9298d306cb6", GetHostCharacter(), 1, 1);</v>
      </c>
      <c r="E37" s="27" t="s">
        <v>993</v>
      </c>
      <c r="F37" s="27" t="s">
        <v>2545</v>
      </c>
    </row>
    <row r="38">
      <c r="A38" s="22" t="s">
        <v>2546</v>
      </c>
      <c r="B38" s="22" t="s">
        <v>11</v>
      </c>
      <c r="C38" s="23" t="s">
        <v>2547</v>
      </c>
      <c r="D38" s="24" t="str">
        <f t="shared" si="4"/>
        <v>Osi.TemplateAddTo("30b19abd-fc49-4826-811f-9c4c556ae6f0", GetHostCharacter(), 1, 1);</v>
      </c>
      <c r="E38" s="27" t="s">
        <v>993</v>
      </c>
      <c r="F38" s="27" t="s">
        <v>2548</v>
      </c>
    </row>
    <row r="39">
      <c r="A39" s="21" t="str">
        <f>HYPERLINK("https://bg3.wiki/wiki/Githyanki_Longsword", "Githyanki Longsword")</f>
        <v>Githyanki Longsword</v>
      </c>
      <c r="B39" s="22" t="s">
        <v>11</v>
      </c>
      <c r="C39" s="23" t="s">
        <v>214</v>
      </c>
      <c r="D39" s="24" t="str">
        <f t="shared" si="4"/>
        <v>Osi.TemplateAddTo("907a794b-b089-406b-880d-6f2df2bb3f13", GetHostCharacter(), 1, 1);</v>
      </c>
      <c r="E39" s="15"/>
    </row>
    <row r="40">
      <c r="A40" s="21" t="str">
        <f>HYPERLINK("https://bg3.wiki/wiki/Githyanki_Longsword_(%2B1)", "Githyanki Longsword (+1)")</f>
        <v>Githyanki Longsword (+1)</v>
      </c>
      <c r="B40" s="22" t="s">
        <v>17</v>
      </c>
      <c r="C40" s="23" t="s">
        <v>158</v>
      </c>
      <c r="D40" s="24"/>
      <c r="E40" s="15"/>
    </row>
    <row r="41">
      <c r="A41" s="21" t="str">
        <f>HYPERLINK("https://bg3.wiki/wiki/Githyanki_Longsword_(Psionic)", "Githyanki Longsword (Psionic)")</f>
        <v>Githyanki Longsword (Psionic)</v>
      </c>
      <c r="B41" s="22" t="s">
        <v>17</v>
      </c>
      <c r="C41" s="23" t="s">
        <v>215</v>
      </c>
      <c r="D41" s="24" t="str">
        <f t="shared" ref="D41:D42" si="6">"Osi.TemplateAddTo("""&amp; C41 &amp;""", GetHostCharacter(), 1, 1);"</f>
        <v>Osi.TemplateAddTo("0553ced5-00b0-4c39-8ee4-519f6401f44a", GetHostCharacter(), 1, 1);</v>
      </c>
      <c r="E41" s="15"/>
    </row>
    <row r="42">
      <c r="A42" s="21" t="str">
        <f>HYPERLINK("https://bg3.wiki/wiki/Githyanki_Shortsword", "Githyanki Shortsword")</f>
        <v>Githyanki Shortsword</v>
      </c>
      <c r="B42" s="22" t="s">
        <v>11</v>
      </c>
      <c r="C42" s="23" t="s">
        <v>360</v>
      </c>
      <c r="D42" s="24" t="str">
        <f t="shared" si="6"/>
        <v>Osi.TemplateAddTo("4b54911a-a32d-48ad-8691-ff28801e1275", GetHostCharacter(), 1, 1);</v>
      </c>
    </row>
    <row r="43">
      <c r="A43" s="21" t="str">
        <f>HYPERLINK("https://bg3.wiki/wiki/Githyanki_Shortsword_(%2B1)", "Githyanki Shortsword (+1)")</f>
        <v>Githyanki Shortsword (+1)</v>
      </c>
      <c r="B43" s="22" t="s">
        <v>17</v>
      </c>
      <c r="C43" s="23" t="s">
        <v>158</v>
      </c>
      <c r="D43" s="24"/>
    </row>
    <row r="44">
      <c r="A44" s="97" t="s">
        <v>361</v>
      </c>
      <c r="B44" s="22" t="s">
        <v>17</v>
      </c>
      <c r="C44" s="23" t="s">
        <v>362</v>
      </c>
      <c r="D44" s="24" t="str">
        <f t="shared" ref="D44:D53" si="7">"Osi.TemplateAddTo("""&amp; C44 &amp;""", GetHostCharacter(), 1, 1);"</f>
        <v>Osi.TemplateAddTo("824a370a-5fc6-4435-b58f-33a0d91f5b08", GetHostCharacter(), 1, 1);</v>
      </c>
    </row>
    <row r="45">
      <c r="A45" s="21" t="str">
        <f>HYPERLINK("https://bg3.wiki/wiki/Silver_Sword_of_the_Astral_Plane", "Silver Sword of the Astral Plane")</f>
        <v>Silver Sword of the Astral Plane</v>
      </c>
      <c r="B45" s="22" t="s">
        <v>66</v>
      </c>
      <c r="C45" s="23" t="s">
        <v>163</v>
      </c>
      <c r="D45" s="24" t="str">
        <f t="shared" si="7"/>
        <v>Osi.TemplateAddTo("f01c3f5d-c542-420f-86c5-bdddf7819e29", GetHostCharacter(), 1, 1);</v>
      </c>
    </row>
    <row r="46">
      <c r="A46" s="21" t="str">
        <f>HYPERLINK("https://bg3.wiki/wiki/Underwear/Githyanki", "Underwear/Githyanki")</f>
        <v>Underwear/Githyanki</v>
      </c>
      <c r="B46" s="22" t="s">
        <v>11</v>
      </c>
      <c r="C46" s="23" t="s">
        <v>729</v>
      </c>
      <c r="D46" s="24" t="str">
        <f t="shared" si="7"/>
        <v>Osi.TemplateAddTo("1cb3fb1b-2dfc-446a-9c9b-666eb0de05d6", GetHostCharacter(), 1, 1);</v>
      </c>
    </row>
    <row r="47">
      <c r="A47" s="21" t="str">
        <f>HYPERLINK("https://bg3.wiki/wiki/Voss%27_Silver_Sword", "Voss' Silver Sword")</f>
        <v>Voss' Silver Sword</v>
      </c>
      <c r="B47" s="22" t="s">
        <v>19</v>
      </c>
      <c r="C47" s="23" t="s">
        <v>235</v>
      </c>
      <c r="D47" s="24" t="str">
        <f t="shared" si="7"/>
        <v>Osi.TemplateAddTo("20c66f8d-f455-42fc-8e48-543512247e75", GetHostCharacter(), 1, 1);</v>
      </c>
      <c r="E47" s="15"/>
    </row>
    <row r="48">
      <c r="A48" s="21" t="str">
        <f>HYPERLINK("https://bg3.wiki/wiki/Soulbreaker_Greatsword", "Soulbreaker Greatsword")</f>
        <v>Soulbreaker Greatsword</v>
      </c>
      <c r="B48" s="22" t="s">
        <v>24</v>
      </c>
      <c r="C48" s="23" t="s">
        <v>164</v>
      </c>
      <c r="D48" s="24" t="str">
        <f t="shared" si="7"/>
        <v>Osi.TemplateAddTo("523a959d-4101-4beb-9a8e-276c3f687c02", GetHostCharacter(), 1, 1);</v>
      </c>
    </row>
    <row r="49">
      <c r="A49" s="61" t="str">
        <f>HYPERLINK("https://bg3.wiki/wiki/Circlet_of_Psionic_Revenge", "Circlet of Psionic Revenge")</f>
        <v>Circlet of Psionic Revenge</v>
      </c>
      <c r="B49" s="22" t="s">
        <v>24</v>
      </c>
      <c r="C49" s="23" t="s">
        <v>939</v>
      </c>
      <c r="D49" s="24" t="str">
        <f t="shared" si="7"/>
        <v>Osi.TemplateAddTo("8a17f2b1-5c5d-4bb0-8b2e-408e837c4d1f", GetHostCharacter(), 1, 1);</v>
      </c>
      <c r="E49" s="15"/>
    </row>
    <row r="50">
      <c r="A50" s="21" t="str">
        <f>HYPERLINK("https://bg3.wiki/wiki/Psionic_Ward_Armour", "Psionic Ward Armour")</f>
        <v>Psionic Ward Armour</v>
      </c>
      <c r="B50" s="22" t="s">
        <v>24</v>
      </c>
      <c r="C50" s="23" t="s">
        <v>1269</v>
      </c>
      <c r="D50" s="24" t="str">
        <f t="shared" si="7"/>
        <v>Osi.TemplateAddTo("f601bac2-16a7-4da0-854a-ae4132ca448f", GetHostCharacter(), 1, 1);</v>
      </c>
      <c r="E50" s="15"/>
    </row>
    <row r="51">
      <c r="A51" s="21" t="str">
        <f>HYPERLINK("https://bg3.wiki/wiki/Boots_of_Psionic_Movement", "Boots of Psionic Movement")</f>
        <v>Boots of Psionic Movement</v>
      </c>
      <c r="B51" s="22" t="s">
        <v>19</v>
      </c>
      <c r="C51" s="23" t="s">
        <v>1371</v>
      </c>
      <c r="D51" s="24" t="str">
        <f t="shared" si="7"/>
        <v>Osi.TemplateAddTo("18919a04-67a0-4321-82ff-ce2b64a27589", GetHostCharacter(), 1, 1);</v>
      </c>
      <c r="E51" s="15"/>
    </row>
    <row r="52">
      <c r="A52" s="21" t="str">
        <f>HYPERLINK("https://bg3.wiki/wiki/Aberration_Hunters%27_Amulet", "Aberration Hunters' Amulet")</f>
        <v>Aberration Hunters' Amulet</v>
      </c>
      <c r="B52" s="22" t="s">
        <v>17</v>
      </c>
      <c r="C52" s="23" t="s">
        <v>741</v>
      </c>
      <c r="D52" s="24" t="str">
        <f t="shared" si="7"/>
        <v>Osi.TemplateAddTo("1310524f-408e-405d-8d75-7a6d3cb18bcc", GetHostCharacter(), 1, 1);</v>
      </c>
    </row>
    <row r="53">
      <c r="A53" s="38" t="str">
        <f>HYPERLINK("https://bg3.wiki/wiki/Hr%27a%27cknir_Bracers", "Hr'a'cknir Bracers")</f>
        <v>Hr'a'cknir Bracers</v>
      </c>
      <c r="B53" s="39" t="s">
        <v>19</v>
      </c>
      <c r="C53" s="40" t="s">
        <v>1140</v>
      </c>
      <c r="D53" s="41" t="str">
        <f t="shared" si="7"/>
        <v>Osi.TemplateAddTo("4be77d67-2310-44fc-bdaf-81cffb411467", GetHostCharacter(), 1, 1);</v>
      </c>
      <c r="E53" s="15"/>
    </row>
    <row r="54">
      <c r="C54" s="42"/>
    </row>
  </sheetData>
  <conditionalFormatting sqref="B1:B54">
    <cfRule type="cellIs" dxfId="0" priority="1" operator="equal">
      <formula>"Common"</formula>
    </cfRule>
  </conditionalFormatting>
  <conditionalFormatting sqref="B6:B54">
    <cfRule type="cellIs" dxfId="1" priority="2" operator="equal">
      <formula>"rare"</formula>
    </cfRule>
  </conditionalFormatting>
  <conditionalFormatting sqref="B6:B54">
    <cfRule type="cellIs" dxfId="2" priority="3" operator="equal">
      <formula>"Very Rare"</formula>
    </cfRule>
  </conditionalFormatting>
  <conditionalFormatting sqref="B6:B54">
    <cfRule type="cellIs" dxfId="3" priority="4" operator="equal">
      <formula>"Uncommon"</formula>
    </cfRule>
  </conditionalFormatting>
  <conditionalFormatting sqref="B6:B54">
    <cfRule type="cellIs" dxfId="4" priority="5" operator="equal">
      <formula>"Legendary"</formula>
    </cfRule>
  </conditionalFormatting>
  <conditionalFormatting sqref="B6:B54">
    <cfRule type="cellIs" dxfId="5" priority="6" operator="equal">
      <formula>"Story Item"</formula>
    </cfRule>
  </conditionalFormatting>
  <conditionalFormatting sqref="C6:C54">
    <cfRule type="containsText" dxfId="6" priority="7" operator="containsText" text="todo">
      <formula>NOT(ISERROR(SEARCH(("todo"),(C6))))</formula>
    </cfRule>
  </conditionalFormatting>
  <hyperlinks>
    <hyperlink r:id="rId1" ref="E10"/>
    <hyperlink r:id="rId2" ref="E11"/>
    <hyperlink r:id="rId3" ref="A21"/>
  </hyperlinks>
  <drawing r:id="rId4"/>
  <tableParts count="4">
    <tablePart r:id="rId9"/>
    <tablePart r:id="rId10"/>
    <tablePart r:id="rId11"/>
    <tablePart r:id="rId12"/>
  </tableParts>
</worksheet>
</file>