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Detailed Calculation table" sheetId="129" r:id="rId1"/>
    <sheet name="Product Procurement Sheet" sheetId="14" r:id="rId2"/>
    <sheet name="华翰特敏" sheetId="128" state="hidden" r:id="rId3"/>
    <sheet name="燕文普货" sheetId="127" state="hidden" r:id="rId4"/>
    <sheet name="顺邮宝挂号" sheetId="126" state="hidden" r:id="rId5"/>
    <sheet name="CneForClothes" sheetId="103" state="hidden" r:id="rId6"/>
    <sheet name="CneForGeneral" sheetId="104" state="hidden" r:id="rId7"/>
    <sheet name="4PXForCosmetic" sheetId="105" state="hidden" r:id="rId8"/>
    <sheet name="4PXForElectric" sheetId="106" state="hidden" r:id="rId9"/>
    <sheet name="4PXForGeneral" sheetId="107" state="hidden" r:id="rId10"/>
    <sheet name="4PXForClothes" sheetId="108" state="hidden" r:id="rId11"/>
    <sheet name="YwenForElectric" sheetId="109" state="hidden" r:id="rId12"/>
    <sheet name="CNE带电化妆品" sheetId="110" state="hidden" r:id="rId13"/>
    <sheet name="CNE全球优先" sheetId="111" state="hidden" r:id="rId14"/>
    <sheet name="华翰纯电" sheetId="112" state="hidden" r:id="rId15"/>
    <sheet name="华翰食品" sheetId="113" state="hidden" r:id="rId16"/>
    <sheet name="华翰特货" sheetId="114" state="hidden" r:id="rId17"/>
    <sheet name="CNE全球特惠" sheetId="115" state="hidden" r:id="rId18"/>
    <sheet name="华翰智慧选特惠" sheetId="118" state="hidden" r:id="rId19"/>
    <sheet name="顺速宝Plus" sheetId="119" state="hidden" r:id="rId20"/>
    <sheet name="蜂鸟普货" sheetId="121" state="hidden" r:id="rId21"/>
    <sheet name="华翰甄选" sheetId="122" state="hidden" r:id="rId22"/>
    <sheet name="华翰电子烟" sheetId="123" state="hidden" r:id="rId23"/>
    <sheet name="蜂鸟敏感" sheetId="124" state="hidden" r:id="rId24"/>
    <sheet name="WpsReserved_CellImgList" sheetId="53" state="veryHidden" r:id="rId25"/>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_xlnm._FilterDatabase" localSheetId="0" hidden="1">'Detailed Calculation table'!$A$3:$R$446</definedName>
    <definedName name="_xlnm._FilterDatabase" localSheetId="1" hidden="1">'Product Procurement Sheet'!$B$1:$B$70</definedName>
    <definedName name="_xlnm._FilterDatabase" localSheetId="2" hidden="1">华翰特敏!$B$2:$O$92</definedName>
    <definedName name="_xlnm._FilterDatabase" localSheetId="3" hidden="1">燕文普货!$B$4:$L$302</definedName>
    <definedName name="_xlnm._FilterDatabase" localSheetId="5" hidden="1">CneForClothes!$B$1:$P$56</definedName>
    <definedName name="_xlnm._FilterDatabase" localSheetId="6" hidden="1">CneForGeneral!$B$1:$R$87</definedName>
    <definedName name="_xlnm._FilterDatabase" localSheetId="7" hidden="1">'4PXForCosmetic'!$A$3:$P$49</definedName>
    <definedName name="_xlnm._FilterDatabase" localSheetId="8" hidden="1">'4PXForElectric'!$A$3:$P$117</definedName>
    <definedName name="_xlnm._FilterDatabase" localSheetId="9" hidden="1">'4PXForGeneral'!$A$3:$P$41</definedName>
    <definedName name="_xlnm._FilterDatabase" localSheetId="10" hidden="1">'4PXForClothes'!$A$3:$P$139</definedName>
    <definedName name="_xlnm._FilterDatabase" localSheetId="11" hidden="1">YwenForElectric!$A$4:$N$255</definedName>
    <definedName name="_xlnm._FilterDatabase" localSheetId="12" hidden="1">CNE带电化妆品!$B$1:$O$115</definedName>
    <definedName name="_xlnm._FilterDatabase" localSheetId="13" hidden="1">CNE全球优先!$B$1:$N$51</definedName>
    <definedName name="_xlnm._FilterDatabase" localSheetId="14" hidden="1">华翰纯电!$B$2:$O$103</definedName>
    <definedName name="_xlnm._FilterDatabase" localSheetId="15" hidden="1">华翰食品!$B$2:$O$30</definedName>
    <definedName name="_xlnm._FilterDatabase" localSheetId="16" hidden="1">华翰特货!$B$2:$O$49</definedName>
    <definedName name="_xlnm._FilterDatabase" localSheetId="18" hidden="1">华翰智慧选特惠!$B$2:$O$58</definedName>
    <definedName name="_xlnm._FilterDatabase" localSheetId="20" hidden="1">蜂鸟普货!$A$2:$Q$82</definedName>
    <definedName name="_xlnm._FilterDatabase" localSheetId="21" hidden="1">华翰甄选!$B$2:$O$30</definedName>
    <definedName name="_xlnm._FilterDatabase" localSheetId="22" hidden="1">华翰电子烟!$B$2:$O$56</definedName>
    <definedName name="_xlnm._FilterDatabase" localSheetId="23" hidden="1">蜂鸟敏感!$A$2:$P$16</definedName>
    <definedName name="_Fill" hidden="1">[2]Express!#REF!</definedName>
    <definedName name="_Key1" hidden="1">#REF!</definedName>
    <definedName name="_Loc1">[3]Request!$M$125</definedName>
    <definedName name="_Loc10">[4]Request!$M$134</definedName>
    <definedName name="_Loc11">[4]Request!$M$135</definedName>
    <definedName name="_Loc12">[4]Request!$M$136</definedName>
    <definedName name="_Loc13">[4]Request!$M$137</definedName>
    <definedName name="_Loc14">[4]Request!$M$138</definedName>
    <definedName name="_Loc15">[4]Request!$M$139</definedName>
    <definedName name="_Loc16">[4]Request!$M$140</definedName>
    <definedName name="_Loc17">[4]Request!$M$141</definedName>
    <definedName name="_Loc18">[4]Request!$M$142</definedName>
    <definedName name="_Loc19">[4]Request!$M$143</definedName>
    <definedName name="_Loc2">[4]Request!$M$126</definedName>
    <definedName name="_Loc20">[4]Request!$M$144</definedName>
    <definedName name="_Loc21">[4]Request!$M$145</definedName>
    <definedName name="_Loc22">[4]Request!$M$146</definedName>
    <definedName name="_Loc23">[4]Request!$M$147</definedName>
    <definedName name="_Loc24">[4]Request!$M$148</definedName>
    <definedName name="_Loc25">[4]Request!$M$149</definedName>
    <definedName name="_Loc26">[4]Request!$M$150</definedName>
    <definedName name="_Loc3">[4]Request!$M$127</definedName>
    <definedName name="_Loc4">[4]Request!$M$128</definedName>
    <definedName name="_Loc5">[4]Request!$M$129</definedName>
    <definedName name="_Loc6">[4]Request!$M$130</definedName>
    <definedName name="_Loc7">[4]Request!$M$131</definedName>
    <definedName name="_Loc8">[4]Request!$M$132</definedName>
    <definedName name="_Loc9">[4]Request!$M$133</definedName>
    <definedName name="_Order1" hidden="1">255</definedName>
    <definedName name="_Sort" hidden="1">[1]Express!#REF!</definedName>
    <definedName name="a" hidden="1">[1]Express!#REF!</definedName>
    <definedName name="Account">[4]Request!$B$17</definedName>
    <definedName name="Acct_number">[5]Summary!$E$2</definedName>
    <definedName name="AFD">#REF!</definedName>
    <definedName name="Agent">[4]Request!$A$60</definedName>
    <definedName name="Agent_Comm">[4]Request!$E$64</definedName>
    <definedName name="Agent_Delivery">[4]Request!$O$62</definedName>
    <definedName name="Agent_Involved">[4]Request!$P$62</definedName>
    <definedName name="Agent_Pickup">[4]Request!$N$62</definedName>
    <definedName name="Agent_Services">[4]Request!$E$66</definedName>
    <definedName name="AgentQ">[4]Request!$L$62</definedName>
    <definedName name="AllDiscountArea">[6]Discounts!$D$15:$Q$16,[6]Discounts!$S$15:$T$16,[6]Discounts!$D$22:$M$22,[6]Discounts!$O$22:$P$22,[6]Discounts!$T$22:$T$22,[6]Discounts!$D$29:$D$30,[6]Discounts!$F$29:$Q$30,[6]Discounts!$T$29:$T$30,[6]Discounts!$D$36:$D$36,[6]Discounts!$F$36:$M$36,[6]Discounts!$O$36:$P$36,[6]Discounts!$T$36:$T$36</definedName>
    <definedName name="Alph_countries">[7]zones_input!$A$2:$A$214</definedName>
    <definedName name="anakg">'[4]Shipments - kg current'!$D$1</definedName>
    <definedName name="analb">'[4]Shipments - lb current'!$D$1</definedName>
    <definedName name="ApDsctKgADNR">#REF!</definedName>
    <definedName name="ApDsctKgComm">#REF!</definedName>
    <definedName name="ApDsctKgH1">#REF!</definedName>
    <definedName name="ApDsctKgH2">#REF!</definedName>
    <definedName name="ApDsctKgIEAppCurDisct">#REF!</definedName>
    <definedName name="ApDsctKgIEAppMin">#REF!</definedName>
    <definedName name="ApDsctKgIEReqCurDisct">#REF!</definedName>
    <definedName name="ApDsctKgIEReqMin">#REF!</definedName>
    <definedName name="ApDsctKgIERestore">#REF!</definedName>
    <definedName name="ApDsctKgIPAppCurDisct">#REF!</definedName>
    <definedName name="ApDsctKgIPAppMin">#REF!</definedName>
    <definedName name="ApDsctKgIPReqCurDisct">#REF!</definedName>
    <definedName name="ApDsctKgIPReqMin">#REF!</definedName>
    <definedName name="ApDsctKgIPRestore">#REF!</definedName>
    <definedName name="ApDsctKgLR">#REF!</definedName>
    <definedName name="ApDsctKgLR1">#REF!</definedName>
    <definedName name="ApDsctKgQ1">#REF!</definedName>
    <definedName name="ApDsctKgQ10">#REF!</definedName>
    <definedName name="ApDsctKgQ2">#REF!</definedName>
    <definedName name="ApDsctKgQ3">#REF!</definedName>
    <definedName name="ApDsctKgQ4">#REF!</definedName>
    <definedName name="ApDsctKgQ5">#REF!</definedName>
    <definedName name="ApDsctKgQ6">#REF!</definedName>
    <definedName name="ApDsctKgQ7">#REF!</definedName>
    <definedName name="ApDsctKgQ8">#REF!</definedName>
    <definedName name="ApDsctKgQ9">#REF!</definedName>
    <definedName name="ApDsctKgRMIE">#REF!</definedName>
    <definedName name="ApDsctKgRMIP">#REF!</definedName>
    <definedName name="ApDsctKgSIE">#REF!</definedName>
    <definedName name="ApDsctKgSIP">#REF!</definedName>
    <definedName name="ApDsctLbADNR">'[4]Approved Discts-lb'!$F$7:$AE$7</definedName>
    <definedName name="ApDsctLbComm">'[4]Approved Discts-lb'!$F$159</definedName>
    <definedName name="ApDsctLbH1">'[4]Approved Discts-lb'!$F$3:$H$4</definedName>
    <definedName name="ApDsctLbH2">'[4]Approved Discts-lb'!$Z$3:$Z$4</definedName>
    <definedName name="ApDsctLbIEAppCurDisct">'[4]Approved Discts-lb'!$A$111:$AE$114</definedName>
    <definedName name="ApDsctLbIEAppMin">'[4]Approved Discts-lb'!$A$108:$AE$110</definedName>
    <definedName name="ApDsctLbIEReqCurDisct">'[4]Approved Discts-lb'!$A$85:$AE$88</definedName>
    <definedName name="ApDsctLbIEReqMin">'[4]Approved Discts-lb'!$B$82:$AE$84</definedName>
    <definedName name="ApDsctLbIERestore">'[4]Approved Discts-lb'!$F$364:$AE$387</definedName>
    <definedName name="ApDsctLbIPAppCurDisct">'[4]Approved Discts-lb'!$A$50:$AE$55</definedName>
    <definedName name="ApDsctLbIPAppMin">'[4]Approved Discts-lb'!$A$45:$AE$49</definedName>
    <definedName name="ApDsctLbIPReqCurDisct">'[4]Approved Discts-lb'!$A$18:$AE$23</definedName>
    <definedName name="ApDsctLbIPReqMin">'[4]Approved Discts-lb'!$A$13:$AE$17</definedName>
    <definedName name="ApDsctLbIPRestore">'[4]Approved Discts-lb'!$F$326:$AE$355</definedName>
    <definedName name="ApDsctLbLR">'[4]Approved Discts-lb'!$F$11:$AE$11</definedName>
    <definedName name="ApDsctLbLR1">'[4]Approved Discts-lb'!$F$81:$AE$81</definedName>
    <definedName name="ApDsctLbQ1">'[4]Approved Discts-lb'!$AG$134</definedName>
    <definedName name="ApDsctLbQ10">'[4]Approved Discts-lb'!$AG$154</definedName>
    <definedName name="ApDsctLbQ2">'[4]Approved Discts-lb'!$AG$136</definedName>
    <definedName name="ApDsctLbQ3">'[4]Approved Discts-lb'!$AG$138</definedName>
    <definedName name="ApDsctLbQ4">'[4]Approved Discts-lb'!$AG$141</definedName>
    <definedName name="ApDsctLbQ5">'[4]Approved Discts-lb'!$AG$143</definedName>
    <definedName name="ApDsctLbQ6">'[4]Approved Discts-lb'!$AG$145</definedName>
    <definedName name="ApDsctLbQ7">'[4]Approved Discts-lb'!$AG$147</definedName>
    <definedName name="ApDsctLbQ8">'[4]Approved Discts-lb'!$AG$149</definedName>
    <definedName name="ApDsctLbQ9">'[4]Approved Discts-lb'!$AG$151</definedName>
    <definedName name="ApDsctLbRMIE">'[4]Approved Discts-lb'!$F$109:$AE$132</definedName>
    <definedName name="ApDsctLbRMIP">'[4]Approved Discts-lb'!$F$46:$AE$75</definedName>
    <definedName name="ApDsctLbSIE">'[4]Approved Discts-lb'!$F$83:$AE$106</definedName>
    <definedName name="ApDsctLbSIP">'[4]Approved Discts-lb'!$F$14:$AE$43</definedName>
    <definedName name="Approval">[4]Request!$P$16</definedName>
    <definedName name="Bill_3P">[4]Request!$M$29</definedName>
    <definedName name="Bill_Consignee">[4]Request!$L$29</definedName>
    <definedName name="Billing_Option">[4]Request!$A$29</definedName>
    <definedName name="Business_Type">[4]Request!$G$31</definedName>
    <definedName name="BWE">[4]TempVariables!$K$3</definedName>
    <definedName name="Chk_Origin_Cntry">[4]Request!$L$151</definedName>
    <definedName name="Chk_Provinces_Cities">[4]Request!$S$151</definedName>
    <definedName name="Chk_Ship_Loc">[4]Request!$R$151</definedName>
    <definedName name="Clearance_Reqd">[4]Request!$A$82</definedName>
    <definedName name="Commodity1">[4]Request!$I$48</definedName>
    <definedName name="Commodity2">[4]Request!$I$49</definedName>
    <definedName name="Competitor">[4]Request!$I$54</definedName>
    <definedName name="CONTDE">#REF!</definedName>
    <definedName name="CONTFD">#REF!</definedName>
    <definedName name="CONTFE">#REF!</definedName>
    <definedName name="CONTPD">#REF!</definedName>
    <definedName name="CONTPE">#REF!</definedName>
    <definedName name="countries">[7]zones_input!$A$2:$C$202</definedName>
    <definedName name="country_selection">[7]control!$S$4:$S$5</definedName>
    <definedName name="CSource">[7]control!$D$27:$D$29</definedName>
    <definedName name="Cur_Disct">[4]Request!$P$19</definedName>
    <definedName name="Curr_and_Incr">[4]Request!$R$32</definedName>
    <definedName name="Curr_Incr">[4]Request!$M$32</definedName>
    <definedName name="Current">'[4]Shipments - current'!$E$4:$Z$65536</definedName>
    <definedName name="Current_Only">[4]Request!$P$32</definedName>
    <definedName name="CurrentDetail">'[4]Shipments - current'!$A$3</definedName>
    <definedName name="CurrentDetailEnd">'[4]Shipments - current'!$AH$3</definedName>
    <definedName name="Cust_Clear">[4]Request!$P$84</definedName>
    <definedName name="CustClearQ">[4]Request!$L$84</definedName>
    <definedName name="Customer">[8]Summary!$B$1</definedName>
    <definedName name="Date1">[4]Request!$P$17</definedName>
    <definedName name="Date2">[4]Request!$Q$17</definedName>
    <definedName name="Declared_Value">[4]Request!$E$89</definedName>
    <definedName name="Dest_Countries">[4]Request!$N$125:$N$150</definedName>
    <definedName name="Dest_Country_Copy">[4]Request!$R$19</definedName>
    <definedName name="Dest_Scenario">[4]Request!$E$78</definedName>
    <definedName name="Dest1">[4]Request!$N$125</definedName>
    <definedName name="Dest10">[4]Request!$N$134</definedName>
    <definedName name="Dest11">[4]Request!$N$135</definedName>
    <definedName name="Dest12">[4]Request!$N$136</definedName>
    <definedName name="Dest13">[4]Request!$N$137</definedName>
    <definedName name="Dest14">[4]Request!$N$138</definedName>
    <definedName name="Dest15">[4]Request!$N$139</definedName>
    <definedName name="Dest16">[4]Request!$N$140</definedName>
    <definedName name="Dest17">[4]Request!$N$141</definedName>
    <definedName name="Dest18">[4]Request!$N$142</definedName>
    <definedName name="Dest19">[4]Request!$N$143</definedName>
    <definedName name="Dest2">[4]Request!$N$126</definedName>
    <definedName name="Dest20">[4]Request!$N$144</definedName>
    <definedName name="Dest21">[4]Request!$N$145</definedName>
    <definedName name="Dest22">[4]Request!$N$146</definedName>
    <definedName name="Dest23">[4]Request!$N$147</definedName>
    <definedName name="Dest24">[4]Request!$N$148</definedName>
    <definedName name="Dest25">[4]Request!$N$149</definedName>
    <definedName name="Dest26">[4]Request!$N$150</definedName>
    <definedName name="Dest3">[4]Request!$N$127</definedName>
    <definedName name="Dest4">[4]Request!$N$128</definedName>
    <definedName name="Dest5">[4]Request!$N$129</definedName>
    <definedName name="Dest6">[4]Request!$N$130</definedName>
    <definedName name="Dest7">[4]Request!$N$131</definedName>
    <definedName name="Dest8">[4]Request!$N$132</definedName>
    <definedName name="Dest9">[4]Request!$N$133</definedName>
    <definedName name="Division">[7]control!$O$27:$O$28</definedName>
    <definedName name="DOT">[7]control!$L$27:$L$29</definedName>
    <definedName name="dox">#REF!</definedName>
    <definedName name="dsfd">#REF!</definedName>
    <definedName name="EndMonth">[4]TempVariables!$H$3</definedName>
    <definedName name="ExDocDisc">[6]Discounts!$D$15:$Q$15,[6]Discounts!$S$15:$T$15</definedName>
    <definedName name="ExNDocDisc">[6]Discounts!$D$16:$Q$16,[6]Discounts!$S$16:$T$16,[6]Discounts!$D$22:$M$22,[6]Discounts!$O$22:$P$22,[6]Discounts!$T$22:$T$22</definedName>
    <definedName name="Expt638">#REF!</definedName>
    <definedName name="ExptPrepaid">'[10]Expt Disc prepaid'!#REF!</definedName>
    <definedName name="FDX">[4]Request!$A$50</definedName>
    <definedName name="FDX_Shpmts">[4]Request!$P$52</definedName>
    <definedName name="FXShpQ">[4]Request!$L$52</definedName>
    <definedName name="GroundWB">'[11]Customer Info'!$Y$20:$AB$26</definedName>
    <definedName name="GrpExcl_ll">[4]TempVariables!$D$2</definedName>
    <definedName name="GrpExcl_ul">[4]TempVariables!$E$2</definedName>
    <definedName name="GrpIncl_ll">[4]TempVariables!$B$2</definedName>
    <definedName name="GrpIncl_ul">[4]TempVariables!$C$2</definedName>
    <definedName name="Header">'[9]Expt Disc prepaid'!#REF!</definedName>
    <definedName name="home">[4]Request!$B$17</definedName>
    <definedName name="ImDocDisc">[6]Discounts!$D$29,[6]Discounts!$F$29:$Q$29,[6]Discounts!$T$29</definedName>
    <definedName name="IMListRates">#REF!</definedName>
    <definedName name="ImNDocDisc">[6]Discounts!$D$30:$D$30,[6]Discounts!$F$30:$Q$30,[6]Discounts!$T$30:$T$30,[6]Discounts!$D$36:$D$36,[6]Discounts!$F$36:$M$36,[6]Discounts!$O$36:$P$36,[6]Discounts!$T$36:$T$36</definedName>
    <definedName name="Import">[4]Request!$Q$33</definedName>
    <definedName name="Import_Pricing">#REF!</definedName>
    <definedName name="Impt_Inbnd">[4]Request!$L$33</definedName>
    <definedName name="ImptCheck">[4]Request!$Q$19</definedName>
    <definedName name="Inbound">[4]Request!$P$33</definedName>
    <definedName name="Inbound_Pricing">#REF!</definedName>
    <definedName name="Incremental_Only">[4]Request!$Q$32</definedName>
    <definedName name="IZ">#REF!</definedName>
    <definedName name="Kg_Apprv_Dt">#REF!</definedName>
    <definedName name="Kg_APPS_Chk">'[4]Shipments - kg'!$A$1138</definedName>
    <definedName name="Kg_AWPS_Chk">'[4]Shipments - kg'!$A$1117</definedName>
    <definedName name="Kg_Cntry_Disct">'[4]Discounts - kg'!$AB$108</definedName>
    <definedName name="kg_Disc_Edit_Check">#REF!</definedName>
    <definedName name="Kg_Discts">'[4]Discounts - kg'!$A$16:$IV$98</definedName>
    <definedName name="Kg_Dsc_Cntry">'[4]Discounts - kg'!$A$1:$IV$15</definedName>
    <definedName name="Kg_Dsc_IE_Cur_Disct">'[4]Discounts - kg'!$A$68:$IV$75</definedName>
    <definedName name="Kg_Dsc_IE_Hdr">'[4]Discounts - kg'!$A$60:$IV$62</definedName>
    <definedName name="Kg_Dsc_IE_Min_Hdr">'[4]Discounts - kg'!$A$63:$IV$64</definedName>
    <definedName name="Kg_Dsc_IE_Min_IE">'[4]Discounts - kg'!$A$65:$IV$65</definedName>
    <definedName name="Kg_Dsc_IE_Min_IEF">'[4]Discounts - kg'!$A$66:$IV$67</definedName>
    <definedName name="Kg_Dsc_IE_Pct_Disct">'[4]Discounts - kg'!$A$76:$IV$92</definedName>
    <definedName name="Kg_Dsc_IEF_Pct_Disct">'[4]Discounts - kg'!$A$93:$IV$99</definedName>
    <definedName name="Kg_Dsc_IP_Cur_Disct">'[4]Discounts - kg'!$A$25:$IV$31</definedName>
    <definedName name="Kg_Dsc_IP_Hdr">'[4]Discounts - kg'!$A$16:$IV$17</definedName>
    <definedName name="Kg_Dsc_IP_Min_Hdr">'[4]Discounts - kg'!$A$18:$IV$19</definedName>
    <definedName name="Kg_Dsc_IP_Min_IP">'[4]Discounts - kg'!$A$20:$IV$22</definedName>
    <definedName name="Kg_Dsc_IP_Min_IPF">'[4]Discounts - kg'!$A$23:$IV$24</definedName>
    <definedName name="Kg_Dsc_IP_Pct_Disct">'[4]Discounts - kg'!$A$32:$IV$50</definedName>
    <definedName name="Kg_Dsc_IPF_Pct_Disct">'[4]Discounts - kg'!$A$51:$IV$59</definedName>
    <definedName name="Kg_Dsc_Origin_Cntry">'[4]Discounts - kg'!$B$7:$AA$7</definedName>
    <definedName name="Kg_Incr_Shp_IE">'[4]Shipments - kg'!$A$162</definedName>
    <definedName name="Kg_Incr_Shp_IEF">'[4]Shipments - kg'!$A$163</definedName>
    <definedName name="Kg_Incr_Shp_IP">'[4]Shipments - kg'!$A$160</definedName>
    <definedName name="Kg_Incr_Shp_IPF">'[4]Shipments - kg'!$A$161</definedName>
    <definedName name="Kg_Rng_Cur_Disct_IE">'[4]Discounts - kg'!$B$72:$AA$74</definedName>
    <definedName name="Kg_Rng_Cur_Disct_IP">'[4]Discounts - kg'!$B$26:$AA$30</definedName>
    <definedName name="Kg_Rng_Disct_IE">'[4]Discounts - kg'!$B$78:$AA$84</definedName>
    <definedName name="Kg_Rng_Disct_IEF">'[4]Discounts - kg'!$B$94:$AA$98</definedName>
    <definedName name="Kg_Rng_Disct_IEHW">'[4]Discounts - kg'!$B$87:$AA$91</definedName>
    <definedName name="Kg_Rng_Disct_IP">'[4]Discounts - kg'!$B$34:$AA$42</definedName>
    <definedName name="Kg_Rng_Disct_IPF">'[4]Discounts - kg'!$B$52:$AA$56</definedName>
    <definedName name="Kg_Rng_Disct_IPHW">'[4]Discounts - kg'!$B$45:$AA$49</definedName>
    <definedName name="Kg_Rng_Disct_Min_IE">'[4]Discounts - kg'!$B$65:$AA$66</definedName>
    <definedName name="Kg_Rng_Disct_Min_IP">'[4]Discounts - kg'!$B$20:$AA$23</definedName>
    <definedName name="Kg_Rng_Shpmts_APPS_IE">'[4]Shipments - kg'!$C$119:$AB$129</definedName>
    <definedName name="Kg_Rng_Shpmts_APPS_IEF">'[4]Shipments - kg'!$C$131:$AB$135</definedName>
    <definedName name="Kg_Rng_Shpmts_APPS_IP">'[4]Shipments - kg'!$C$53:$AB$63</definedName>
    <definedName name="Kg_Rng_Shpmts_APPS_IPF">'[4]Shipments - kg'!$C$65:$AB$69</definedName>
    <definedName name="Kg_Rng_Shpmts_AWPS_IE">'[4]Shipments - kg'!$C$99:$AB$109</definedName>
    <definedName name="Kg_Rng_Shpmts_AWPS_IEF">'[4]Shipments - kg'!$C$111:$AB$115</definedName>
    <definedName name="Kg_Rng_Shpmts_AWPS_IP">'[4]Shipments - kg'!$C$34:$AB$44</definedName>
    <definedName name="Kg_Rng_Shpmts_AWPS_IPF">'[4]Shipments - kg'!$C$46:$AB$50</definedName>
    <definedName name="Kg_Rng_Shpmts_Incr_IE">'[4]Shipments - kg'!$C$75:$AB$86</definedName>
    <definedName name="Kg_Rng_Shpmts_Incr_IEF">'[4]Shipments - kg'!$C$88:$AB$92</definedName>
    <definedName name="Kg_Rng_Shpmts_Incr_IP">'[4]Shipments - kg'!$C$10:$AB$23</definedName>
    <definedName name="Kg_Rng_Shpmts_Incr_IPF">'[4]Shipments - kg'!$C$25:$AB$29</definedName>
    <definedName name="Kg_Shp_Cntry">'[4]Shipments - kg'!$A$1:$IV$8</definedName>
    <definedName name="Kg_Shp_IE_APPS">'[4]Shipments - kg'!$A$117:$IV$129</definedName>
    <definedName name="Kg_Shp_IE_AWPS">'[4]Shipments - kg'!$A$97:$IV$109</definedName>
    <definedName name="Kg_Shp_IE_Incr">'[4]Shipments - kg'!$A$72:$IV$86</definedName>
    <definedName name="Kg_Shp_IE_Tot">'[4]Shipments - kg'!$A$93:$IV$96</definedName>
    <definedName name="Kg_Shp_IEF_APPS">'[4]Shipments - kg'!$A$130:$IV$136</definedName>
    <definedName name="Kg_Shp_IEF_APPS_Hdr">'[4]Shipments - kg'!$A$117:$IV$118</definedName>
    <definedName name="Kg_Shp_IEF_AWPS">'[4]Shipments - kg'!$A$110:$IV$116</definedName>
    <definedName name="Kg_Shp_IEF_AWPS_Hdr">'[4]Shipments - kg'!$A$97:$IV$98</definedName>
    <definedName name="Kg_Shp_IEF_Incr">'[4]Shipments - kg'!$A$87:$IV$92</definedName>
    <definedName name="Kg_Shp_IEF_Incr_Hdr">'[4]Shipments - kg'!$A$72:$IV$73</definedName>
    <definedName name="Kg_Shp_IP_APPS">'[4]Shipments - kg'!$A$51:$IV$63</definedName>
    <definedName name="Kg_Shp_IP_AWPS">'[4]Shipments - kg'!$A$33:$IV$44</definedName>
    <definedName name="Kg_Shp_IP_Incr">'[4]Shipments - kg'!$A$9:$IV$23</definedName>
    <definedName name="Kg_Shp_IP_Tot">'[4]Shipments - kg'!$A$30:$IV$32</definedName>
    <definedName name="Kg_Shp_IPF_APPS">'[4]Shipments - kg'!$A$64:$IV$71</definedName>
    <definedName name="Kg_Shp_IPF_APPS_Hdr">'[4]Shipments - kg'!$A$51:$IV$52</definedName>
    <definedName name="Kg_Shp_IPF_AWPS">'[4]Shipments - kg'!$A$45:$IV$50</definedName>
    <definedName name="Kg_Shp_IPF_AWPS_Hdr">'[4]Shipments - kg'!$A$33:$IV$33</definedName>
    <definedName name="Kg_Shp_IPF_Incr">'[4]Shipments - kg'!$A$24:$IV$29</definedName>
    <definedName name="Kg_Shp_IPF_Incr_Hdr">'[4]Shipments - kg'!$A$9:$IV$9</definedName>
    <definedName name="Kg_Shp_Origin_Cntry">'[4]Shipments - kg'!$C$6:$AB$6</definedName>
    <definedName name="Kg_Shpmt_Cntry">'[4]Shipments - kg'!$AD$140</definedName>
    <definedName name="Kg_Shpmt_Disct">'[4]Discounts - kg'!$A$200</definedName>
    <definedName name="Kg_Shpmts">'[4]Shipments - kg'!$A$9:$IV$135</definedName>
    <definedName name="Kg_Shpmts_AWPS_Reset">'[4]Shipments - kg'!$A$500</definedName>
    <definedName name="Kg_Shpmts_AWPS_Reset1">'[4]Shipments - kg'!$A$501</definedName>
    <definedName name="Kilograms">[4]Request!$P$25</definedName>
    <definedName name="Lb_Apprv_Dt">'[4]Approved Discts-lb'!$F$3</definedName>
    <definedName name="Lb_APPS_Chk">'[4]Shipments - lb'!$A$1138</definedName>
    <definedName name="Lb_AWPS_Chk">'[4]Shipments - lb'!$A$1117</definedName>
    <definedName name="Lb_Cntry_Disct">'[4]Discounts - lb'!$AB$108</definedName>
    <definedName name="lb_Disc_Edit_Check">'[4]Approved Discts-lb'!$AF$259</definedName>
    <definedName name="Lb_Discts">'[4]Discounts - lb'!$A$16:$IV$98</definedName>
    <definedName name="Lb_Dsc_Cntry">'[4]Discounts - lb'!$A$1:$IV$15</definedName>
    <definedName name="Lb_Dsc_IE_Cur_Disct">'[4]Discounts - lb'!$A$68:$IV$75</definedName>
    <definedName name="Lb_Dsc_IE_Hdr">'[4]Discounts - lb'!$A$60:$IV$62</definedName>
    <definedName name="Lb_Dsc_IE_Min_Hdr">'[4]Discounts - lb'!$A$63:$IV$64</definedName>
    <definedName name="Lb_Dsc_IE_Min_IE">'[4]Discounts - lb'!$A$65:$IV$65</definedName>
    <definedName name="Lb_Dsc_IE_Min_IEF">'[4]Discounts - lb'!$A$66:$IV$67</definedName>
    <definedName name="Lb_Dsc_IE_Pct_Disct">'[4]Discounts - lb'!$A$76:$IV$92</definedName>
    <definedName name="Lb_Dsc_IEF_Pct_Disct">'[4]Discounts - lb'!$A$93:$IV$99</definedName>
    <definedName name="Lb_Dsc_IEF8">'[4]Discounts - lb'!$A$94:$IV$94</definedName>
    <definedName name="Lb_Dsc_IP_Cur_Disct">'[4]Discounts - lb'!$A$25:$IV$31</definedName>
    <definedName name="Lb_Dsc_IP_Hdr">'[4]Discounts - lb'!$A$16:$IV$17</definedName>
    <definedName name="Lb_Dsc_IP_Min_Hdr">'[4]Discounts - lb'!$A$18:$IV$19</definedName>
    <definedName name="Lb_Dsc_IP_Min_IP">'[4]Discounts - lb'!$A$20:$IV$22</definedName>
    <definedName name="Lb_Dsc_IP_Min_IPF">'[4]Discounts - lb'!$A$23:$IV$24</definedName>
    <definedName name="Lb_Dsc_IP_Pct_Disct">'[4]Discounts - lb'!$A$32:$IV$50</definedName>
    <definedName name="Lb_Dsc_IPF_Pct_Disct">'[4]Discounts - lb'!$A$51:$IV$59</definedName>
    <definedName name="Lb_Dsc_IPF8">'[4]Discounts - lb'!$A$52:$IV$52</definedName>
    <definedName name="Lb_Dsc_Origin_Cntry">'[4]Discounts - lb'!$B$7:$AA$7</definedName>
    <definedName name="Lb_Incr_Shp_IE">'[4]Shipments - lb'!$A$162</definedName>
    <definedName name="Lb_Incr_Shp_IEF">'[4]Shipments - lb'!$A$163</definedName>
    <definedName name="Lb_Incr_Shp_IP">'[4]Shipments - lb'!$A$160</definedName>
    <definedName name="Lb_Incr_Shp_IPF">'[4]Shipments - lb'!$A$161</definedName>
    <definedName name="Lb_Rng_Cur_Disct_IE">'[4]Discounts - lb'!$B$72:$AA$74</definedName>
    <definedName name="Lb_Rng_Cur_Disct_IP">'[4]Discounts - lb'!$B$26:$AA$30</definedName>
    <definedName name="Lb_Rng_Disct_IE">'[4]Discounts - lb'!$B$78:$AA$84</definedName>
    <definedName name="Lb_Rng_Disct_IEF">'[4]Discounts - lb'!$B$94:$AA$98</definedName>
    <definedName name="Lb_Rng_Disct_IEHW">'[4]Discounts - lb'!$B$87:$AA$91</definedName>
    <definedName name="Lb_Rng_Disct_IP">'[4]Discounts - lb'!$B$34:$AA$42</definedName>
    <definedName name="Lb_Rng_Disct_IPF">'[4]Discounts - lb'!$B$52:$AA$56</definedName>
    <definedName name="Lb_Rng_Disct_IPHW">'[4]Discounts - lb'!$B$45:$AA$49</definedName>
    <definedName name="Lb_Rng_Disct_Min_IE">'[4]Discounts - lb'!$B$65:$AA$66</definedName>
    <definedName name="Lb_Rng_Disct_Min_IP">'[4]Discounts - lb'!$B$20:$AA$23</definedName>
    <definedName name="Lb_Rng_Shpmts_APPS_IE">'[4]Shipments - lb'!$C$119:$AB$129</definedName>
    <definedName name="Lb_Rng_Shpmts_APPS_IEF">'[4]Shipments - lb'!$C$131:$AB$135</definedName>
    <definedName name="Lb_Rng_Shpmts_APPS_IP">'[4]Shipments - lb'!$C$53:$AB$63</definedName>
    <definedName name="Lb_Rng_Shpmts_APPS_IPF">'[4]Shipments - lb'!$C$65:$AB$69</definedName>
    <definedName name="Lb_Rng_Shpmts_AWPS_IE">'[4]Shipments - lb'!$C$99:$AB$109</definedName>
    <definedName name="Lb_Rng_Shpmts_AWPS_IEF">'[4]Shipments - lb'!$C$111:$AB$115</definedName>
    <definedName name="Lb_Rng_Shpmts_AWPS_IP">'[4]Shipments - lb'!$C$34:$AB$44</definedName>
    <definedName name="Lb_Rng_Shpmts_AWPS_IPF">'[4]Shipments - lb'!$C$46:$AB$50</definedName>
    <definedName name="Lb_Rng_Shpmts_Incr_IE">'[4]Shipments - lb'!$C$75:$AB$86</definedName>
    <definedName name="Lb_Rng_Shpmts_Incr_IEF">'[4]Shipments - lb'!$C$88:$AB$92</definedName>
    <definedName name="Lb_Rng_Shpmts_Incr_IP">'[4]Shipments - lb'!$C$10:$AB$23</definedName>
    <definedName name="Lb_Rng_Shpmts_Incr_IPF">'[4]Shipments - lb'!$C$25:$AB$29</definedName>
    <definedName name="Lb_Shp_Cntry">'[4]Shipments - lb'!$A$1:$IV$8</definedName>
    <definedName name="Lb_Shp_IE_APPS">'[4]Shipments - lb'!$A$117:$IV$129</definedName>
    <definedName name="Lb_Shp_IE_AWPS">'[4]Shipments - lb'!$A$97:$IV$109</definedName>
    <definedName name="Lb_Shp_IE_Incr">'[4]Shipments - lb'!$A$72:$IV$86</definedName>
    <definedName name="Lb_Shp_IE_Tot">'[4]Shipments - lb'!$A$93:$IV$96</definedName>
    <definedName name="Lb_Shp_IEF_APPS">'[4]Shipments - lb'!$A$130:$IV$136</definedName>
    <definedName name="Lb_Shp_IEF_APPS_Hdr">'[4]Shipments - lb'!$A$117:$IV$118</definedName>
    <definedName name="Lb_Shp_IEF_AWPS">'[4]Shipments - lb'!$A$110:$IV$116</definedName>
    <definedName name="Lb_Shp_IEF_AWPS_Hdr">'[4]Shipments - lb'!$A$97:$IV$98</definedName>
    <definedName name="Lb_Shp_IEF_Incr">'[4]Shipments - lb'!$A$87:$IV$92</definedName>
    <definedName name="Lb_Shp_IEF_Incr_Hdr">'[4]Shipments - lb'!$A$72:$IV$73</definedName>
    <definedName name="Lb_Shp_IEF8_APPS">'[4]Shipments - lb'!$A$131:$IV$131</definedName>
    <definedName name="Lb_Shp_IEF8_AWPS">'[4]Shipments - lb'!$A$111:$IV$111</definedName>
    <definedName name="Lb_Shp_IEF8_Incr">'[4]Shipments - lb'!$A$88:$IV$88</definedName>
    <definedName name="Lb_Shp_IP_APPS">'[4]Shipments - lb'!$A$51:$IV$63</definedName>
    <definedName name="Lb_Shp_IP_AWPS">'[4]Shipments - lb'!$A$33:$IV$44</definedName>
    <definedName name="Lb_Shp_IP_Incr">'[4]Shipments - lb'!$A$9:$IV$23</definedName>
    <definedName name="Lb_Shp_IP_Tot">'[4]Shipments - lb'!$A$30:$IV$32</definedName>
    <definedName name="Lb_Shp_IPF_APPS">'[4]Shipments - lb'!$A$64:$IV$71</definedName>
    <definedName name="Lb_Shp_IPF_APPS_Hdr">'[4]Shipments - lb'!$A$51:$IV$52</definedName>
    <definedName name="Lb_Shp_IPF_AWPS">'[4]Shipments - lb'!$A$45:$IV$50</definedName>
    <definedName name="Lb_Shp_IPF_AWPS_Hdr">'[4]Shipments - lb'!$A$33:$IV$33</definedName>
    <definedName name="Lb_Shp_IPF_Incr">'[4]Shipments - lb'!$A$24:$IV$29</definedName>
    <definedName name="Lb_Shp_IPF_Incr_Hdr">'[4]Shipments - lb'!$A$9:$IV$9</definedName>
    <definedName name="Lb_Shp_IPF8_APPS">'[4]Shipments - lb'!$A$65:$IV$65</definedName>
    <definedName name="Lb_Shp_IPF8_AWPS">'[4]Shipments - lb'!$A$46:$IV$46</definedName>
    <definedName name="Lb_Shp_IPF8_Incr">'[4]Shipments - lb'!$A$25:$IV$25</definedName>
    <definedName name="Lb_Shp_Origin_Cntry">'[4]Shipments - lb'!$C$6:$AB$6</definedName>
    <definedName name="Lb_Shpmt_Cntry">'[4]Shipments - lb'!$AD$140</definedName>
    <definedName name="Lb_Shpmt_Disct">'[4]Discounts - lb'!$A$200</definedName>
    <definedName name="Lb_Shpmts">'[4]Shipments - lb'!$A$9:$IV$135</definedName>
    <definedName name="Lb_Shpmts_AWPS_Reset">'[4]Shipments - lb'!$A$500</definedName>
    <definedName name="Lb_Shpmts_AWPS_Reset1">'[4]Shipments - lb'!$A$501</definedName>
    <definedName name="LocalAccts">[4]TempVariables!$F$2</definedName>
    <definedName name="Locations">[4]Request!$C$124</definedName>
    <definedName name="LOOKUP">#REF!</definedName>
    <definedName name="Major_Origin_Cities">[4]Request!$E$124</definedName>
    <definedName name="MBG">[4]Request!$G$42</definedName>
    <definedName name="MBG_NotReq">[4]Request!$P$44</definedName>
    <definedName name="MBG_Option">[4]Request!$M$44</definedName>
    <definedName name="MBG_Req">[4]Request!$Q$44</definedName>
    <definedName name="MINTABLE">[11]SURCHARGES!$H$9:$U$15</definedName>
    <definedName name="ModelDate">[4]Request!$K$1</definedName>
    <definedName name="NatlAccts">[4]TempVariables!$A$2</definedName>
    <definedName name="NDAAll">'[11]Customer Info'!$V$9</definedName>
    <definedName name="Old_Payor_No">[4]Request!$E$56</definedName>
    <definedName name="Old_Shipper_No">[4]Request!$E$54</definedName>
    <definedName name="Op_Months">'[4]Shipments - current'!$B$1</definedName>
    <definedName name="Op_Scenario">[4]Request!$P$74</definedName>
    <definedName name="OpQ">[4]Request!$L$74</definedName>
    <definedName name="OptionType">[7]control!$F$27:$F$29</definedName>
    <definedName name="Orig_Region_1">[4]Request!$A$125</definedName>
    <definedName name="Orig_Region_10">[4]Request!$A$134</definedName>
    <definedName name="Orig_Region_11">[4]Request!$A$135</definedName>
    <definedName name="Orig_Region_12">[4]Request!$A$136</definedName>
    <definedName name="Orig_Region_13">[4]Request!$A$137</definedName>
    <definedName name="Orig_Region_14">[4]Request!$A$138</definedName>
    <definedName name="Orig_Region_15">[4]Request!$A$139</definedName>
    <definedName name="Orig_Region_16">[4]Request!$A$140</definedName>
    <definedName name="Orig_Region_17">[4]Request!$A$141</definedName>
    <definedName name="Orig_Region_18">[4]Request!$A$142</definedName>
    <definedName name="Orig_Region_19">[4]Request!$A$143</definedName>
    <definedName name="Orig_Region_2">[4]Request!$A$126</definedName>
    <definedName name="Orig_Region_20">[4]Request!$A$144</definedName>
    <definedName name="Orig_Region_21">[4]Request!$A$145</definedName>
    <definedName name="Orig_Region_22">[4]Request!$A$146</definedName>
    <definedName name="Orig_Region_23">[4]Request!$A$147</definedName>
    <definedName name="Orig_Region_24">[4]Request!$A$148</definedName>
    <definedName name="Orig_Region_25">[4]Request!$A$149</definedName>
    <definedName name="Orig_Region_26">[4]Request!$A$150</definedName>
    <definedName name="Orig_Region_3">[4]Request!$A$127</definedName>
    <definedName name="Orig_Region_4">[4]Request!$A$128</definedName>
    <definedName name="Orig_Region_5">[4]Request!$A$129</definedName>
    <definedName name="Orig_Region_6">[4]Request!$A$130</definedName>
    <definedName name="Orig_Region_7">[4]Request!$A$131</definedName>
    <definedName name="Orig_Region_8">[4]Request!$A$132</definedName>
    <definedName name="Orig_Region_9">[4]Request!$A$133</definedName>
    <definedName name="Orig1">[4]Request!$L$125</definedName>
    <definedName name="Orig10">[4]Request!$L$134</definedName>
    <definedName name="Orig11">[4]Request!$L$135</definedName>
    <definedName name="Orig12">[4]Request!$L$136</definedName>
    <definedName name="Orig13">[4]Request!$L$137</definedName>
    <definedName name="Orig14">[4]Request!$L$138</definedName>
    <definedName name="Orig15">[4]Request!$L$139</definedName>
    <definedName name="Orig16">[4]Request!$L$140</definedName>
    <definedName name="Orig17">[4]Request!$L$141</definedName>
    <definedName name="Orig18">[4]Request!$L$142</definedName>
    <definedName name="Orig19">[4]Request!$L$143</definedName>
    <definedName name="Orig2">[4]Request!$L$126</definedName>
    <definedName name="Orig20">[4]Request!$L$144</definedName>
    <definedName name="Orig21">[4]Request!$L$145</definedName>
    <definedName name="Orig22">[4]Request!$L$146</definedName>
    <definedName name="Orig23">[4]Request!$L$147</definedName>
    <definedName name="Orig24">[4]Request!$L$148</definedName>
    <definedName name="Orig25">[4]Request!$L$149</definedName>
    <definedName name="Orig26">[4]Request!$L$150</definedName>
    <definedName name="Orig3">[4]Request!$L$127</definedName>
    <definedName name="Orig4">[4]Request!$L$128</definedName>
    <definedName name="Orig5">[4]Request!$L$129</definedName>
    <definedName name="Orig6">[4]Request!$L$130</definedName>
    <definedName name="Orig7">[4]Request!$L$131</definedName>
    <definedName name="Orig8">[4]Request!$L$132</definedName>
    <definedName name="Orig9">[4]Request!$L$133</definedName>
    <definedName name="Origin">[4]Request!$B$124</definedName>
    <definedName name="Origin_Countries">[4]Request!$L$125:$L$150</definedName>
    <definedName name="Origin_Country_Code">[4]Countries!$G$4:$H$224</definedName>
    <definedName name="Origin_Country_Name_Code">[4]Countries!$B$4:$C$224</definedName>
    <definedName name="Origin_Scenario">[4]Request!$E$76</definedName>
    <definedName name="parcels">#REF!</definedName>
    <definedName name="Password">[4]TempVariables!$O$3</definedName>
    <definedName name="Payor_Acct1">[4]Request!$I$23</definedName>
    <definedName name="Payor_Acct2">[4]Request!$I$25</definedName>
    <definedName name="Payor_Acct3">[4]Request!$I$27</definedName>
    <definedName name="Payor_Country">[4]Request!$M$19</definedName>
    <definedName name="Payor_Table">[4]Countries!$HI$4:$HR$101</definedName>
    <definedName name="PayorRgn">[4]Request!$P$15</definedName>
    <definedName name="PNH">#REF!</definedName>
    <definedName name="Pricing_Requested">[4]Request!$A$33</definedName>
    <definedName name="Product">[7]control!$N$27:$N$38</definedName>
    <definedName name="Provinces_Cities">[4]Request!$E$125:$E$150</definedName>
    <definedName name="Range1">#REF!</definedName>
    <definedName name="Region">[4]Request!$O$16</definedName>
    <definedName name="Region_Rev">[4]Request!$E$112:$E$116</definedName>
    <definedName name="RO">#REF!</definedName>
    <definedName name="road">#REF!</definedName>
    <definedName name="RTH">#REF!</definedName>
    <definedName name="Sales_AE">[4]Request!$B$21</definedName>
    <definedName name="Sales_Manager">[4]Request!$B$19</definedName>
    <definedName name="SDAALL">'[11]Customer Info'!$V$15</definedName>
    <definedName name="Service_IE">[4]Request!$R$46</definedName>
    <definedName name="Service_IE_IEF">[4]Request!$R$47</definedName>
    <definedName name="Service_IEF">[4]Request!$S$46</definedName>
    <definedName name="Service_IP">[4]Request!$P$46</definedName>
    <definedName name="Service_IP_IPF">[4]Request!$P$47</definedName>
    <definedName name="Service_IPF">[4]Request!$Q$46</definedName>
    <definedName name="Service_Type">[4]Request!$L$48</definedName>
    <definedName name="Services_Requested">[4]Request!$A$42</definedName>
    <definedName name="Ship_Locations">[4]Request!$M$125:$M$150</definedName>
    <definedName name="Ship_Tender">[4]Request!$E$68</definedName>
    <definedName name="Show9DigitAccts">[4]TempVariables!$J$3</definedName>
    <definedName name="SlsChan">[7]control!$B$27:$B$28</definedName>
    <definedName name="Spec_Op">[4]Request!$A$72</definedName>
    <definedName name="StartMonth">[4]TempVariables!$G$3</definedName>
    <definedName name="Strategy">[4]Request!$A$108</definedName>
    <definedName name="SurchargeType">[7]control!$I$27:$I$32</definedName>
    <definedName name="TABLE">#REF!</definedName>
    <definedName name="TempVariables">[4]TempVariables!$A$1</definedName>
    <definedName name="Tier">'[12]Portfolio Discount'!#REF!</definedName>
    <definedName name="Tot_Annual_Rev">[4]Request!$E$117</definedName>
    <definedName name="USAcctsOnly">[4]TempVariables!$I$3</definedName>
    <definedName name="UserID">[4]TempVariables!$N$3</definedName>
    <definedName name="Value_2K">[4]Request!$E$88</definedName>
    <definedName name="values">[4]Request!$L$16:$O$150</definedName>
    <definedName name="WtMetric">[4]Request!$B$25</definedName>
    <definedName name="YN">[7]control!$P$27:$P$28</definedName>
    <definedName name="zone">#REF!</definedName>
    <definedName name="ZonedOut">[7]rates_input!$R$5:$Z$8</definedName>
    <definedName name="ZonedOut1">[7]rates_input!$I$6:$Z$8</definedName>
    <definedName name="ZonedOut2">[7]rates_input!$I$7:$Z$8</definedName>
    <definedName name="ZONELU">[11]SURCHARGES!$B$9:$D$59</definedName>
    <definedName name="Zones">#REF!,#REF!,#REF!,#REF!</definedName>
    <definedName name="Zones_New">[7]zones_input!$B$1:$G$65536</definedName>
    <definedName name="_Fill" localSheetId="5" hidden="1">[2]Express!#REF!</definedName>
    <definedName name="_Key1" localSheetId="5" hidden="1">#REF!</definedName>
    <definedName name="_Loc1" localSheetId="5">[3]Request!$M$125</definedName>
    <definedName name="_Loc10" localSheetId="5">[4]Request!$M$134</definedName>
    <definedName name="_Loc11" localSheetId="5">[4]Request!$M$135</definedName>
    <definedName name="_Loc12" localSheetId="5">[4]Request!$M$136</definedName>
    <definedName name="_Loc13" localSheetId="5">[4]Request!$M$137</definedName>
    <definedName name="_Loc14" localSheetId="5">[4]Request!$M$138</definedName>
    <definedName name="_Loc15" localSheetId="5">[4]Request!$M$139</definedName>
    <definedName name="_Loc16" localSheetId="5">[4]Request!$M$140</definedName>
    <definedName name="_Loc17" localSheetId="5">[4]Request!$M$141</definedName>
    <definedName name="_Loc18" localSheetId="5">[4]Request!$M$142</definedName>
    <definedName name="_Loc19" localSheetId="5">[4]Request!$M$143</definedName>
    <definedName name="_Loc2" localSheetId="5">[4]Request!$M$126</definedName>
    <definedName name="_Loc20" localSheetId="5">[4]Request!$M$144</definedName>
    <definedName name="_Loc21" localSheetId="5">[4]Request!$M$145</definedName>
    <definedName name="_Loc22" localSheetId="5">[4]Request!$M$146</definedName>
    <definedName name="_Loc23" localSheetId="5">[4]Request!$M$147</definedName>
    <definedName name="_Loc24" localSheetId="5">[4]Request!$M$148</definedName>
    <definedName name="_Loc25" localSheetId="5">[4]Request!$M$149</definedName>
    <definedName name="_Loc26" localSheetId="5">[4]Request!$M$150</definedName>
    <definedName name="_Loc3" localSheetId="5">[4]Request!$M$127</definedName>
    <definedName name="_Loc4" localSheetId="5">[4]Request!$M$128</definedName>
    <definedName name="_Loc5" localSheetId="5">[4]Request!$M$129</definedName>
    <definedName name="_Loc6" localSheetId="5">[4]Request!$M$130</definedName>
    <definedName name="_Loc7" localSheetId="5">[4]Request!$M$131</definedName>
    <definedName name="_Loc8" localSheetId="5">[4]Request!$M$132</definedName>
    <definedName name="_Loc9" localSheetId="5">[4]Request!$M$133</definedName>
    <definedName name="_Sort" localSheetId="5" hidden="1">[1]Express!#REF!</definedName>
    <definedName name="a" localSheetId="5" hidden="1">[1]Express!#REF!</definedName>
    <definedName name="Account" localSheetId="5">[4]Request!$B$17</definedName>
    <definedName name="Acct_number" localSheetId="5">[5]Summary!$E$2</definedName>
    <definedName name="AFD" localSheetId="5">#REF!</definedName>
    <definedName name="Agent" localSheetId="5">[4]Request!$A$60</definedName>
    <definedName name="Agent_Comm" localSheetId="5">[4]Request!$E$64</definedName>
    <definedName name="Agent_Delivery" localSheetId="5">[4]Request!$O$62</definedName>
    <definedName name="Agent_Involved" localSheetId="5">[4]Request!$P$62</definedName>
    <definedName name="Agent_Pickup" localSheetId="5">[4]Request!$N$62</definedName>
    <definedName name="Agent_Services" localSheetId="5">[4]Request!$E$66</definedName>
    <definedName name="AgentQ" localSheetId="5">[4]Request!$L$62</definedName>
    <definedName name="AllDiscountArea" localSheetId="5">[6]Discounts!$D$15:$Q$16,[6]Discounts!$S$15:$T$16,[6]Discounts!$D$22:$M$22,[6]Discounts!$O$22:$P$22,[6]Discounts!$T$22:$T$22,[6]Discounts!$D$29:$D$30,[6]Discounts!$F$29:$Q$30,[6]Discounts!$T$29:$T$30,[6]Discounts!$D$36:$D$36,[6]Discounts!$F$36:$M$36,[6]Discounts!$O$36:$P$36,[6]Discounts!$T$36:$T$36</definedName>
    <definedName name="Alph_countries" localSheetId="5">[7]zones_input!$A$2:$A$214</definedName>
    <definedName name="anakg" localSheetId="5">'[4]Shipments - kg current'!$D$1</definedName>
    <definedName name="analb" localSheetId="5">'[4]Shipments - lb current'!$D$1</definedName>
    <definedName name="ApDsctKgADNR" localSheetId="5">#REF!</definedName>
    <definedName name="ApDsctKgComm" localSheetId="5">#REF!</definedName>
    <definedName name="ApDsctKgH1" localSheetId="5">#REF!</definedName>
    <definedName name="ApDsctKgH2" localSheetId="5">#REF!</definedName>
    <definedName name="ApDsctKgIEAppCurDisct" localSheetId="5">#REF!</definedName>
    <definedName name="ApDsctKgIEAppMin" localSheetId="5">#REF!</definedName>
    <definedName name="ApDsctKgIEReqCurDisct" localSheetId="5">#REF!</definedName>
    <definedName name="ApDsctKgIEReqMin" localSheetId="5">#REF!</definedName>
    <definedName name="ApDsctKgIERestore" localSheetId="5">#REF!</definedName>
    <definedName name="ApDsctKgIPAppCurDisct" localSheetId="5">#REF!</definedName>
    <definedName name="ApDsctKgIPAppMin" localSheetId="5">#REF!</definedName>
    <definedName name="ApDsctKgIPReqCurDisct" localSheetId="5">#REF!</definedName>
    <definedName name="ApDsctKgIPReqMin" localSheetId="5">#REF!</definedName>
    <definedName name="ApDsctKgIPRestore" localSheetId="5">#REF!</definedName>
    <definedName name="ApDsctKgLR" localSheetId="5">#REF!</definedName>
    <definedName name="ApDsctKgLR1" localSheetId="5">#REF!</definedName>
    <definedName name="ApDsctKgQ1" localSheetId="5">#REF!</definedName>
    <definedName name="ApDsctKgQ10" localSheetId="5">#REF!</definedName>
    <definedName name="ApDsctKgQ2" localSheetId="5">#REF!</definedName>
    <definedName name="ApDsctKgQ3" localSheetId="5">#REF!</definedName>
    <definedName name="ApDsctKgQ4" localSheetId="5">#REF!</definedName>
    <definedName name="ApDsctKgQ5" localSheetId="5">#REF!</definedName>
    <definedName name="ApDsctKgQ6" localSheetId="5">#REF!</definedName>
    <definedName name="ApDsctKgQ7" localSheetId="5">#REF!</definedName>
    <definedName name="ApDsctKgQ8" localSheetId="5">#REF!</definedName>
    <definedName name="ApDsctKgQ9" localSheetId="5">#REF!</definedName>
    <definedName name="ApDsctKgRMIE" localSheetId="5">#REF!</definedName>
    <definedName name="ApDsctKgRMIP" localSheetId="5">#REF!</definedName>
    <definedName name="ApDsctKgSIE" localSheetId="5">#REF!</definedName>
    <definedName name="ApDsctKgSIP" localSheetId="5">#REF!</definedName>
    <definedName name="ApDsctLbADNR" localSheetId="5">'[4]Approved Discts-lb'!$F$7:$AE$7</definedName>
    <definedName name="ApDsctLbComm" localSheetId="5">'[4]Approved Discts-lb'!$F$159</definedName>
    <definedName name="ApDsctLbH1" localSheetId="5">'[4]Approved Discts-lb'!$F$3:$H$4</definedName>
    <definedName name="ApDsctLbH2" localSheetId="5">'[4]Approved Discts-lb'!$Z$3:$Z$4</definedName>
    <definedName name="ApDsctLbIEAppCurDisct" localSheetId="5">'[4]Approved Discts-lb'!$A$111:$AE$114</definedName>
    <definedName name="ApDsctLbIEAppMin" localSheetId="5">'[4]Approved Discts-lb'!$A$108:$AE$110</definedName>
    <definedName name="ApDsctLbIEReqCurDisct" localSheetId="5">'[4]Approved Discts-lb'!$A$85:$AE$88</definedName>
    <definedName name="ApDsctLbIEReqMin" localSheetId="5">'[4]Approved Discts-lb'!$B$82:$AE$84</definedName>
    <definedName name="ApDsctLbIERestore" localSheetId="5">'[4]Approved Discts-lb'!$F$364:$AE$387</definedName>
    <definedName name="ApDsctLbIPAppCurDisct" localSheetId="5">'[4]Approved Discts-lb'!$A$50:$AE$55</definedName>
    <definedName name="ApDsctLbIPAppMin" localSheetId="5">'[4]Approved Discts-lb'!$A$45:$AE$49</definedName>
    <definedName name="ApDsctLbIPReqCurDisct" localSheetId="5">'[4]Approved Discts-lb'!$A$18:$AE$23</definedName>
    <definedName name="ApDsctLbIPReqMin" localSheetId="5">'[4]Approved Discts-lb'!$A$13:$AE$17</definedName>
    <definedName name="ApDsctLbIPRestore" localSheetId="5">'[4]Approved Discts-lb'!$F$326:$AE$355</definedName>
    <definedName name="ApDsctLbLR" localSheetId="5">'[4]Approved Discts-lb'!$F$11:$AE$11</definedName>
    <definedName name="ApDsctLbLR1" localSheetId="5">'[4]Approved Discts-lb'!$F$81:$AE$81</definedName>
    <definedName name="ApDsctLbQ1" localSheetId="5">'[4]Approved Discts-lb'!$AG$134</definedName>
    <definedName name="ApDsctLbQ10" localSheetId="5">'[4]Approved Discts-lb'!$AG$154</definedName>
    <definedName name="ApDsctLbQ2" localSheetId="5">'[4]Approved Discts-lb'!$AG$136</definedName>
    <definedName name="ApDsctLbQ3" localSheetId="5">'[4]Approved Discts-lb'!$AG$138</definedName>
    <definedName name="ApDsctLbQ4" localSheetId="5">'[4]Approved Discts-lb'!$AG$141</definedName>
    <definedName name="ApDsctLbQ5" localSheetId="5">'[4]Approved Discts-lb'!$AG$143</definedName>
    <definedName name="ApDsctLbQ6" localSheetId="5">'[4]Approved Discts-lb'!$AG$145</definedName>
    <definedName name="ApDsctLbQ7" localSheetId="5">'[4]Approved Discts-lb'!$AG$147</definedName>
    <definedName name="ApDsctLbQ8" localSheetId="5">'[4]Approved Discts-lb'!$AG$149</definedName>
    <definedName name="ApDsctLbQ9" localSheetId="5">'[4]Approved Discts-lb'!$AG$151</definedName>
    <definedName name="ApDsctLbRMIE" localSheetId="5">'[4]Approved Discts-lb'!$F$109:$AE$132</definedName>
    <definedName name="ApDsctLbRMIP" localSheetId="5">'[4]Approved Discts-lb'!$F$46:$AE$75</definedName>
    <definedName name="ApDsctLbSIE" localSheetId="5">'[4]Approved Discts-lb'!$F$83:$AE$106</definedName>
    <definedName name="ApDsctLbSIP" localSheetId="5">'[4]Approved Discts-lb'!$F$14:$AE$43</definedName>
    <definedName name="Approval" localSheetId="5">[4]Request!$P$16</definedName>
    <definedName name="Bill_3P" localSheetId="5">[4]Request!$M$29</definedName>
    <definedName name="Bill_Consignee" localSheetId="5">[4]Request!$L$29</definedName>
    <definedName name="Billing_Option" localSheetId="5">[4]Request!$A$29</definedName>
    <definedName name="Business_Type" localSheetId="5">[4]Request!$G$31</definedName>
    <definedName name="BWE" localSheetId="5">[4]TempVariables!$K$3</definedName>
    <definedName name="Chk_Origin_Cntry" localSheetId="5">[4]Request!$L$151</definedName>
    <definedName name="Chk_Provinces_Cities" localSheetId="5">[4]Request!$S$151</definedName>
    <definedName name="Chk_Ship_Loc" localSheetId="5">[4]Request!$R$151</definedName>
    <definedName name="Clearance_Reqd" localSheetId="5">[4]Request!$A$82</definedName>
    <definedName name="Commodity1" localSheetId="5">[4]Request!$I$48</definedName>
    <definedName name="Commodity2" localSheetId="5">[4]Request!$I$49</definedName>
    <definedName name="Competitor" localSheetId="5">[4]Request!$I$54</definedName>
    <definedName name="CONTDE" localSheetId="5">#REF!</definedName>
    <definedName name="CONTFD" localSheetId="5">#REF!</definedName>
    <definedName name="CONTFE" localSheetId="5">#REF!</definedName>
    <definedName name="CONTPD" localSheetId="5">#REF!</definedName>
    <definedName name="CONTPE" localSheetId="5">#REF!</definedName>
    <definedName name="countries" localSheetId="5">[7]zones_input!$A$2:$C$202</definedName>
    <definedName name="country_selection" localSheetId="5">[7]control!$S$4:$S$5</definedName>
    <definedName name="CSource" localSheetId="5">[7]control!$D$27:$D$29</definedName>
    <definedName name="Cur_Disct" localSheetId="5">[4]Request!$P$19</definedName>
    <definedName name="Curr_and_Incr" localSheetId="5">[4]Request!$R$32</definedName>
    <definedName name="Curr_Incr" localSheetId="5">[4]Request!$M$32</definedName>
    <definedName name="Current" localSheetId="5">'[4]Shipments - current'!$E$4:$Z$65536</definedName>
    <definedName name="Current_Only" localSheetId="5">[4]Request!$P$32</definedName>
    <definedName name="CurrentDetail" localSheetId="5">'[4]Shipments - current'!$A$3</definedName>
    <definedName name="CurrentDetailEnd" localSheetId="5">'[4]Shipments - current'!$AH$3</definedName>
    <definedName name="Cust_Clear" localSheetId="5">[4]Request!$P$84</definedName>
    <definedName name="CustClearQ" localSheetId="5">[4]Request!$L$84</definedName>
    <definedName name="Customer" localSheetId="5">[8]Summary!$B$1</definedName>
    <definedName name="Date1" localSheetId="5">[4]Request!$P$17</definedName>
    <definedName name="Date2" localSheetId="5">[4]Request!$Q$17</definedName>
    <definedName name="Declared_Value" localSheetId="5">[4]Request!$E$89</definedName>
    <definedName name="Dest_Countries" localSheetId="5">[4]Request!$N$125:$N$150</definedName>
    <definedName name="Dest_Country_Copy" localSheetId="5">[4]Request!$R$19</definedName>
    <definedName name="Dest_Scenario" localSheetId="5">[4]Request!$E$78</definedName>
    <definedName name="Dest1" localSheetId="5">[4]Request!$N$125</definedName>
    <definedName name="Dest10" localSheetId="5">[4]Request!$N$134</definedName>
    <definedName name="Dest11" localSheetId="5">[4]Request!$N$135</definedName>
    <definedName name="Dest12" localSheetId="5">[4]Request!$N$136</definedName>
    <definedName name="Dest13" localSheetId="5">[4]Request!$N$137</definedName>
    <definedName name="Dest14" localSheetId="5">[4]Request!$N$138</definedName>
    <definedName name="Dest15" localSheetId="5">[4]Request!$N$139</definedName>
    <definedName name="Dest16" localSheetId="5">[4]Request!$N$140</definedName>
    <definedName name="Dest17" localSheetId="5">[4]Request!$N$141</definedName>
    <definedName name="Dest18" localSheetId="5">[4]Request!$N$142</definedName>
    <definedName name="Dest19" localSheetId="5">[4]Request!$N$143</definedName>
    <definedName name="Dest2" localSheetId="5">[4]Request!$N$126</definedName>
    <definedName name="Dest20" localSheetId="5">[4]Request!$N$144</definedName>
    <definedName name="Dest21" localSheetId="5">[4]Request!$N$145</definedName>
    <definedName name="Dest22" localSheetId="5">[4]Request!$N$146</definedName>
    <definedName name="Dest23" localSheetId="5">[4]Request!$N$147</definedName>
    <definedName name="Dest24" localSheetId="5">[4]Request!$N$148</definedName>
    <definedName name="Dest25" localSheetId="5">[4]Request!$N$149</definedName>
    <definedName name="Dest26" localSheetId="5">[4]Request!$N$150</definedName>
    <definedName name="Dest3" localSheetId="5">[4]Request!$N$127</definedName>
    <definedName name="Dest4" localSheetId="5">[4]Request!$N$128</definedName>
    <definedName name="Dest5" localSheetId="5">[4]Request!$N$129</definedName>
    <definedName name="Dest6" localSheetId="5">[4]Request!$N$130</definedName>
    <definedName name="Dest7" localSheetId="5">[4]Request!$N$131</definedName>
    <definedName name="Dest8" localSheetId="5">[4]Request!$N$132</definedName>
    <definedName name="Dest9" localSheetId="5">[4]Request!$N$133</definedName>
    <definedName name="Division" localSheetId="5">[7]control!$O$27:$O$28</definedName>
    <definedName name="DOT" localSheetId="5">[7]control!$L$27:$L$29</definedName>
    <definedName name="dox" localSheetId="5">#REF!</definedName>
    <definedName name="dsfd" localSheetId="5">#REF!</definedName>
    <definedName name="EndMonth" localSheetId="5">[4]TempVariables!$H$3</definedName>
    <definedName name="ExDocDisc" localSheetId="5">[6]Discounts!$D$15:$Q$15,[6]Discounts!$S$15:$T$15</definedName>
    <definedName name="ExNDocDisc" localSheetId="5">[6]Discounts!$D$16:$Q$16,[6]Discounts!$S$16:$T$16,[6]Discounts!$D$22:$M$22,[6]Discounts!$O$22:$P$22,[6]Discounts!$T$22:$T$22</definedName>
    <definedName name="Expt638" localSheetId="5">#REF!</definedName>
    <definedName name="ExptPrepaid" localSheetId="5">'[10]Expt Disc prepaid'!#REF!</definedName>
    <definedName name="FDX" localSheetId="5">[4]Request!$A$50</definedName>
    <definedName name="FDX_Shpmts" localSheetId="5">[4]Request!$P$52</definedName>
    <definedName name="FXShpQ" localSheetId="5">[4]Request!$L$52</definedName>
    <definedName name="GroundWB" localSheetId="5">'[11]Customer Info'!$Y$20:$AB$26</definedName>
    <definedName name="GrpExcl_ll" localSheetId="5">[4]TempVariables!$D$2</definedName>
    <definedName name="GrpExcl_ul" localSheetId="5">[4]TempVariables!$E$2</definedName>
    <definedName name="GrpIncl_ll" localSheetId="5">[4]TempVariables!$B$2</definedName>
    <definedName name="GrpIncl_ul" localSheetId="5">[4]TempVariables!$C$2</definedName>
    <definedName name="Header" localSheetId="5">'[9]Expt Disc prepaid'!#REF!</definedName>
    <definedName name="home" localSheetId="5">[4]Request!$B$17</definedName>
    <definedName name="ImDocDisc" localSheetId="5">[6]Discounts!$D$29,[6]Discounts!$F$29:$Q$29,[6]Discounts!$T$29</definedName>
    <definedName name="IMListRates" localSheetId="5">#REF!</definedName>
    <definedName name="ImNDocDisc" localSheetId="5">[6]Discounts!$D$30:$D$30,[6]Discounts!$F$30:$Q$30,[6]Discounts!$T$30:$T$30,[6]Discounts!$D$36:$D$36,[6]Discounts!$F$36:$M$36,[6]Discounts!$O$36:$P$36,[6]Discounts!$T$36:$T$36</definedName>
    <definedName name="Import" localSheetId="5">[4]Request!$Q$33</definedName>
    <definedName name="Import_Pricing" localSheetId="5">#REF!</definedName>
    <definedName name="Impt_Inbnd" localSheetId="5">[4]Request!$L$33</definedName>
    <definedName name="ImptCheck" localSheetId="5">[4]Request!$Q$19</definedName>
    <definedName name="Inbound" localSheetId="5">[4]Request!$P$33</definedName>
    <definedName name="Inbound_Pricing" localSheetId="5">#REF!</definedName>
    <definedName name="Incremental_Only" localSheetId="5">[4]Request!$Q$32</definedName>
    <definedName name="IZ" localSheetId="5">#REF!</definedName>
    <definedName name="Kg_Apprv_Dt" localSheetId="5">#REF!</definedName>
    <definedName name="Kg_APPS_Chk" localSheetId="5">'[4]Shipments - kg'!$A$1138</definedName>
    <definedName name="Kg_AWPS_Chk" localSheetId="5">'[4]Shipments - kg'!$A$1117</definedName>
    <definedName name="Kg_Cntry_Disct" localSheetId="5">'[4]Discounts - kg'!$AB$108</definedName>
    <definedName name="kg_Disc_Edit_Check" localSheetId="5">#REF!</definedName>
    <definedName name="Kg_Discts" localSheetId="5">'[4]Discounts - kg'!$A$16:$IV$98</definedName>
    <definedName name="Kg_Dsc_Cntry" localSheetId="5">'[4]Discounts - kg'!$A$1:$IV$15</definedName>
    <definedName name="Kg_Dsc_IE_Cur_Disct" localSheetId="5">'[4]Discounts - kg'!$A$68:$IV$75</definedName>
    <definedName name="Kg_Dsc_IE_Hdr" localSheetId="5">'[4]Discounts - kg'!$A$60:$IV$62</definedName>
    <definedName name="Kg_Dsc_IE_Min_Hdr" localSheetId="5">'[4]Discounts - kg'!$A$63:$IV$64</definedName>
    <definedName name="Kg_Dsc_IE_Min_IE" localSheetId="5">'[4]Discounts - kg'!$A$65:$IV$65</definedName>
    <definedName name="Kg_Dsc_IE_Min_IEF" localSheetId="5">'[4]Discounts - kg'!$A$66:$IV$67</definedName>
    <definedName name="Kg_Dsc_IE_Pct_Disct" localSheetId="5">'[4]Discounts - kg'!$A$76:$IV$92</definedName>
    <definedName name="Kg_Dsc_IEF_Pct_Disct" localSheetId="5">'[4]Discounts - kg'!$A$93:$IV$99</definedName>
    <definedName name="Kg_Dsc_IP_Cur_Disct" localSheetId="5">'[4]Discounts - kg'!$A$25:$IV$31</definedName>
    <definedName name="Kg_Dsc_IP_Hdr" localSheetId="5">'[4]Discounts - kg'!$A$16:$IV$17</definedName>
    <definedName name="Kg_Dsc_IP_Min_Hdr" localSheetId="5">'[4]Discounts - kg'!$A$18:$IV$19</definedName>
    <definedName name="Kg_Dsc_IP_Min_IP" localSheetId="5">'[4]Discounts - kg'!$A$20:$IV$22</definedName>
    <definedName name="Kg_Dsc_IP_Min_IPF" localSheetId="5">'[4]Discounts - kg'!$A$23:$IV$24</definedName>
    <definedName name="Kg_Dsc_IP_Pct_Disct" localSheetId="5">'[4]Discounts - kg'!$A$32:$IV$50</definedName>
    <definedName name="Kg_Dsc_IPF_Pct_Disct" localSheetId="5">'[4]Discounts - kg'!$A$51:$IV$59</definedName>
    <definedName name="Kg_Dsc_Origin_Cntry" localSheetId="5">'[4]Discounts - kg'!$B$7:$AA$7</definedName>
    <definedName name="Kg_Incr_Shp_IE" localSheetId="5">'[4]Shipments - kg'!$A$162</definedName>
    <definedName name="Kg_Incr_Shp_IEF" localSheetId="5">'[4]Shipments - kg'!$A$163</definedName>
    <definedName name="Kg_Incr_Shp_IP" localSheetId="5">'[4]Shipments - kg'!$A$160</definedName>
    <definedName name="Kg_Incr_Shp_IPF" localSheetId="5">'[4]Shipments - kg'!$A$161</definedName>
    <definedName name="Kg_Rng_Cur_Disct_IE" localSheetId="5">'[4]Discounts - kg'!$B$72:$AA$74</definedName>
    <definedName name="Kg_Rng_Cur_Disct_IP" localSheetId="5">'[4]Discounts - kg'!$B$26:$AA$30</definedName>
    <definedName name="Kg_Rng_Disct_IE" localSheetId="5">'[4]Discounts - kg'!$B$78:$AA$84</definedName>
    <definedName name="Kg_Rng_Disct_IEF" localSheetId="5">'[4]Discounts - kg'!$B$94:$AA$98</definedName>
    <definedName name="Kg_Rng_Disct_IEHW" localSheetId="5">'[4]Discounts - kg'!$B$87:$AA$91</definedName>
    <definedName name="Kg_Rng_Disct_IP" localSheetId="5">'[4]Discounts - kg'!$B$34:$AA$42</definedName>
    <definedName name="Kg_Rng_Disct_IPF" localSheetId="5">'[4]Discounts - kg'!$B$52:$AA$56</definedName>
    <definedName name="Kg_Rng_Disct_IPHW" localSheetId="5">'[4]Discounts - kg'!$B$45:$AA$49</definedName>
    <definedName name="Kg_Rng_Disct_Min_IE" localSheetId="5">'[4]Discounts - kg'!$B$65:$AA$66</definedName>
    <definedName name="Kg_Rng_Disct_Min_IP" localSheetId="5">'[4]Discounts - kg'!$B$20:$AA$23</definedName>
    <definedName name="Kg_Rng_Shpmts_APPS_IE" localSheetId="5">'[4]Shipments - kg'!$C$119:$AB$129</definedName>
    <definedName name="Kg_Rng_Shpmts_APPS_IEF" localSheetId="5">'[4]Shipments - kg'!$C$131:$AB$135</definedName>
    <definedName name="Kg_Rng_Shpmts_APPS_IP" localSheetId="5">'[4]Shipments - kg'!$C$53:$AB$63</definedName>
    <definedName name="Kg_Rng_Shpmts_APPS_IPF" localSheetId="5">'[4]Shipments - kg'!$C$65:$AB$69</definedName>
    <definedName name="Kg_Rng_Shpmts_AWPS_IE" localSheetId="5">'[4]Shipments - kg'!$C$99:$AB$109</definedName>
    <definedName name="Kg_Rng_Shpmts_AWPS_IEF" localSheetId="5">'[4]Shipments - kg'!$C$111:$AB$115</definedName>
    <definedName name="Kg_Rng_Shpmts_AWPS_IP" localSheetId="5">'[4]Shipments - kg'!$C$34:$AB$44</definedName>
    <definedName name="Kg_Rng_Shpmts_AWPS_IPF" localSheetId="5">'[4]Shipments - kg'!$C$46:$AB$50</definedName>
    <definedName name="Kg_Rng_Shpmts_Incr_IE" localSheetId="5">'[4]Shipments - kg'!$C$75:$AB$86</definedName>
    <definedName name="Kg_Rng_Shpmts_Incr_IEF" localSheetId="5">'[4]Shipments - kg'!$C$88:$AB$92</definedName>
    <definedName name="Kg_Rng_Shpmts_Incr_IP" localSheetId="5">'[4]Shipments - kg'!$C$10:$AB$23</definedName>
    <definedName name="Kg_Rng_Shpmts_Incr_IPF" localSheetId="5">'[4]Shipments - kg'!$C$25:$AB$29</definedName>
    <definedName name="Kg_Shp_Cntry" localSheetId="5">'[4]Shipments - kg'!$A$1:$IV$8</definedName>
    <definedName name="Kg_Shp_IE_APPS" localSheetId="5">'[4]Shipments - kg'!$A$117:$IV$129</definedName>
    <definedName name="Kg_Shp_IE_AWPS" localSheetId="5">'[4]Shipments - kg'!$A$97:$IV$109</definedName>
    <definedName name="Kg_Shp_IE_Incr" localSheetId="5">'[4]Shipments - kg'!$A$72:$IV$86</definedName>
    <definedName name="Kg_Shp_IE_Tot" localSheetId="5">'[4]Shipments - kg'!$A$93:$IV$96</definedName>
    <definedName name="Kg_Shp_IEF_APPS" localSheetId="5">'[4]Shipments - kg'!$A$130:$IV$136</definedName>
    <definedName name="Kg_Shp_IEF_APPS_Hdr" localSheetId="5">'[4]Shipments - kg'!$A$117:$IV$118</definedName>
    <definedName name="Kg_Shp_IEF_AWPS" localSheetId="5">'[4]Shipments - kg'!$A$110:$IV$116</definedName>
    <definedName name="Kg_Shp_IEF_AWPS_Hdr" localSheetId="5">'[4]Shipments - kg'!$A$97:$IV$98</definedName>
    <definedName name="Kg_Shp_IEF_Incr" localSheetId="5">'[4]Shipments - kg'!$A$87:$IV$92</definedName>
    <definedName name="Kg_Shp_IEF_Incr_Hdr" localSheetId="5">'[4]Shipments - kg'!$A$72:$IV$73</definedName>
    <definedName name="Kg_Shp_IP_APPS" localSheetId="5">'[4]Shipments - kg'!$A$51:$IV$63</definedName>
    <definedName name="Kg_Shp_IP_AWPS" localSheetId="5">'[4]Shipments - kg'!$A$33:$IV$44</definedName>
    <definedName name="Kg_Shp_IP_Incr" localSheetId="5">'[4]Shipments - kg'!$A$9:$IV$23</definedName>
    <definedName name="Kg_Shp_IP_Tot" localSheetId="5">'[4]Shipments - kg'!$A$30:$IV$32</definedName>
    <definedName name="Kg_Shp_IPF_APPS" localSheetId="5">'[4]Shipments - kg'!$A$64:$IV$71</definedName>
    <definedName name="Kg_Shp_IPF_APPS_Hdr" localSheetId="5">'[4]Shipments - kg'!$A$51:$IV$52</definedName>
    <definedName name="Kg_Shp_IPF_AWPS" localSheetId="5">'[4]Shipments - kg'!$A$45:$IV$50</definedName>
    <definedName name="Kg_Shp_IPF_AWPS_Hdr" localSheetId="5">'[4]Shipments - kg'!$A$33:$IV$33</definedName>
    <definedName name="Kg_Shp_IPF_Incr" localSheetId="5">'[4]Shipments - kg'!$A$24:$IV$29</definedName>
    <definedName name="Kg_Shp_IPF_Incr_Hdr" localSheetId="5">'[4]Shipments - kg'!$A$9:$IV$9</definedName>
    <definedName name="Kg_Shp_Origin_Cntry" localSheetId="5">'[4]Shipments - kg'!$C$6:$AB$6</definedName>
    <definedName name="Kg_Shpmt_Cntry" localSheetId="5">'[4]Shipments - kg'!$AD$140</definedName>
    <definedName name="Kg_Shpmt_Disct" localSheetId="5">'[4]Discounts - kg'!$A$200</definedName>
    <definedName name="Kg_Shpmts" localSheetId="5">'[4]Shipments - kg'!$A$9:$IV$135</definedName>
    <definedName name="Kg_Shpmts_AWPS_Reset" localSheetId="5">'[4]Shipments - kg'!$A$500</definedName>
    <definedName name="Kg_Shpmts_AWPS_Reset1" localSheetId="5">'[4]Shipments - kg'!$A$501</definedName>
    <definedName name="Kilograms" localSheetId="5">[4]Request!$P$25</definedName>
    <definedName name="Lb_Apprv_Dt" localSheetId="5">'[4]Approved Discts-lb'!$F$3</definedName>
    <definedName name="Lb_APPS_Chk" localSheetId="5">'[4]Shipments - lb'!$A$1138</definedName>
    <definedName name="Lb_AWPS_Chk" localSheetId="5">'[4]Shipments - lb'!$A$1117</definedName>
    <definedName name="Lb_Cntry_Disct" localSheetId="5">'[4]Discounts - lb'!$AB$108</definedName>
    <definedName name="lb_Disc_Edit_Check" localSheetId="5">'[4]Approved Discts-lb'!$AF$259</definedName>
    <definedName name="Lb_Discts" localSheetId="5">'[4]Discounts - lb'!$A$16:$IV$98</definedName>
    <definedName name="Lb_Dsc_Cntry" localSheetId="5">'[4]Discounts - lb'!$A$1:$IV$15</definedName>
    <definedName name="Lb_Dsc_IE_Cur_Disct" localSheetId="5">'[4]Discounts - lb'!$A$68:$IV$75</definedName>
    <definedName name="Lb_Dsc_IE_Hdr" localSheetId="5">'[4]Discounts - lb'!$A$60:$IV$62</definedName>
    <definedName name="Lb_Dsc_IE_Min_Hdr" localSheetId="5">'[4]Discounts - lb'!$A$63:$IV$64</definedName>
    <definedName name="Lb_Dsc_IE_Min_IE" localSheetId="5">'[4]Discounts - lb'!$A$65:$IV$65</definedName>
    <definedName name="Lb_Dsc_IE_Min_IEF" localSheetId="5">'[4]Discounts - lb'!$A$66:$IV$67</definedName>
    <definedName name="Lb_Dsc_IE_Pct_Disct" localSheetId="5">'[4]Discounts - lb'!$A$76:$IV$92</definedName>
    <definedName name="Lb_Dsc_IEF_Pct_Disct" localSheetId="5">'[4]Discounts - lb'!$A$93:$IV$99</definedName>
    <definedName name="Lb_Dsc_IEF8" localSheetId="5">'[4]Discounts - lb'!$A$94:$IV$94</definedName>
    <definedName name="Lb_Dsc_IP_Cur_Disct" localSheetId="5">'[4]Discounts - lb'!$A$25:$IV$31</definedName>
    <definedName name="Lb_Dsc_IP_Hdr" localSheetId="5">'[4]Discounts - lb'!$A$16:$IV$17</definedName>
    <definedName name="Lb_Dsc_IP_Min_Hdr" localSheetId="5">'[4]Discounts - lb'!$A$18:$IV$19</definedName>
    <definedName name="Lb_Dsc_IP_Min_IP" localSheetId="5">'[4]Discounts - lb'!$A$20:$IV$22</definedName>
    <definedName name="Lb_Dsc_IP_Min_IPF" localSheetId="5">'[4]Discounts - lb'!$A$23:$IV$24</definedName>
    <definedName name="Lb_Dsc_IP_Pct_Disct" localSheetId="5">'[4]Discounts - lb'!$A$32:$IV$50</definedName>
    <definedName name="Lb_Dsc_IPF_Pct_Disct" localSheetId="5">'[4]Discounts - lb'!$A$51:$IV$59</definedName>
    <definedName name="Lb_Dsc_IPF8" localSheetId="5">'[4]Discounts - lb'!$A$52:$IV$52</definedName>
    <definedName name="Lb_Dsc_Origin_Cntry" localSheetId="5">'[4]Discounts - lb'!$B$7:$AA$7</definedName>
    <definedName name="Lb_Incr_Shp_IE" localSheetId="5">'[4]Shipments - lb'!$A$162</definedName>
    <definedName name="Lb_Incr_Shp_IEF" localSheetId="5">'[4]Shipments - lb'!$A$163</definedName>
    <definedName name="Lb_Incr_Shp_IP" localSheetId="5">'[4]Shipments - lb'!$A$160</definedName>
    <definedName name="Lb_Incr_Shp_IPF" localSheetId="5">'[4]Shipments - lb'!$A$161</definedName>
    <definedName name="Lb_Rng_Cur_Disct_IE" localSheetId="5">'[4]Discounts - lb'!$B$72:$AA$74</definedName>
    <definedName name="Lb_Rng_Cur_Disct_IP" localSheetId="5">'[4]Discounts - lb'!$B$26:$AA$30</definedName>
    <definedName name="Lb_Rng_Disct_IE" localSheetId="5">'[4]Discounts - lb'!$B$78:$AA$84</definedName>
    <definedName name="Lb_Rng_Disct_IEF" localSheetId="5">'[4]Discounts - lb'!$B$94:$AA$98</definedName>
    <definedName name="Lb_Rng_Disct_IEHW" localSheetId="5">'[4]Discounts - lb'!$B$87:$AA$91</definedName>
    <definedName name="Lb_Rng_Disct_IP" localSheetId="5">'[4]Discounts - lb'!$B$34:$AA$42</definedName>
    <definedName name="Lb_Rng_Disct_IPF" localSheetId="5">'[4]Discounts - lb'!$B$52:$AA$56</definedName>
    <definedName name="Lb_Rng_Disct_IPHW" localSheetId="5">'[4]Discounts - lb'!$B$45:$AA$49</definedName>
    <definedName name="Lb_Rng_Disct_Min_IE" localSheetId="5">'[4]Discounts - lb'!$B$65:$AA$66</definedName>
    <definedName name="Lb_Rng_Disct_Min_IP" localSheetId="5">'[4]Discounts - lb'!$B$20:$AA$23</definedName>
    <definedName name="Lb_Rng_Shpmts_APPS_IE" localSheetId="5">'[4]Shipments - lb'!$C$119:$AB$129</definedName>
    <definedName name="Lb_Rng_Shpmts_APPS_IEF" localSheetId="5">'[4]Shipments - lb'!$C$131:$AB$135</definedName>
    <definedName name="Lb_Rng_Shpmts_APPS_IP" localSheetId="5">'[4]Shipments - lb'!$C$53:$AB$63</definedName>
    <definedName name="Lb_Rng_Shpmts_APPS_IPF" localSheetId="5">'[4]Shipments - lb'!$C$65:$AB$69</definedName>
    <definedName name="Lb_Rng_Shpmts_AWPS_IE" localSheetId="5">'[4]Shipments - lb'!$C$99:$AB$109</definedName>
    <definedName name="Lb_Rng_Shpmts_AWPS_IEF" localSheetId="5">'[4]Shipments - lb'!$C$111:$AB$115</definedName>
    <definedName name="Lb_Rng_Shpmts_AWPS_IP" localSheetId="5">'[4]Shipments - lb'!$C$34:$AB$44</definedName>
    <definedName name="Lb_Rng_Shpmts_AWPS_IPF" localSheetId="5">'[4]Shipments - lb'!$C$46:$AB$50</definedName>
    <definedName name="Lb_Rng_Shpmts_Incr_IE" localSheetId="5">'[4]Shipments - lb'!$C$75:$AB$86</definedName>
    <definedName name="Lb_Rng_Shpmts_Incr_IEF" localSheetId="5">'[4]Shipments - lb'!$C$88:$AB$92</definedName>
    <definedName name="Lb_Rng_Shpmts_Incr_IP" localSheetId="5">'[4]Shipments - lb'!$C$10:$AB$23</definedName>
    <definedName name="Lb_Rng_Shpmts_Incr_IPF" localSheetId="5">'[4]Shipments - lb'!$C$25:$AB$29</definedName>
    <definedName name="Lb_Shp_Cntry" localSheetId="5">'[4]Shipments - lb'!$A$1:$IV$8</definedName>
    <definedName name="Lb_Shp_IE_APPS" localSheetId="5">'[4]Shipments - lb'!$A$117:$IV$129</definedName>
    <definedName name="Lb_Shp_IE_AWPS" localSheetId="5">'[4]Shipments - lb'!$A$97:$IV$109</definedName>
    <definedName name="Lb_Shp_IE_Incr" localSheetId="5">'[4]Shipments - lb'!$A$72:$IV$86</definedName>
    <definedName name="Lb_Shp_IE_Tot" localSheetId="5">'[4]Shipments - lb'!$A$93:$IV$96</definedName>
    <definedName name="Lb_Shp_IEF_APPS" localSheetId="5">'[4]Shipments - lb'!$A$130:$IV$136</definedName>
    <definedName name="Lb_Shp_IEF_APPS_Hdr" localSheetId="5">'[4]Shipments - lb'!$A$117:$IV$118</definedName>
    <definedName name="Lb_Shp_IEF_AWPS" localSheetId="5">'[4]Shipments - lb'!$A$110:$IV$116</definedName>
    <definedName name="Lb_Shp_IEF_AWPS_Hdr" localSheetId="5">'[4]Shipments - lb'!$A$97:$IV$98</definedName>
    <definedName name="Lb_Shp_IEF_Incr" localSheetId="5">'[4]Shipments - lb'!$A$87:$IV$92</definedName>
    <definedName name="Lb_Shp_IEF_Incr_Hdr" localSheetId="5">'[4]Shipments - lb'!$A$72:$IV$73</definedName>
    <definedName name="Lb_Shp_IEF8_APPS" localSheetId="5">'[4]Shipments - lb'!$A$131:$IV$131</definedName>
    <definedName name="Lb_Shp_IEF8_AWPS" localSheetId="5">'[4]Shipments - lb'!$A$111:$IV$111</definedName>
    <definedName name="Lb_Shp_IEF8_Incr" localSheetId="5">'[4]Shipments - lb'!$A$88:$IV$88</definedName>
    <definedName name="Lb_Shp_IP_APPS" localSheetId="5">'[4]Shipments - lb'!$A$51:$IV$63</definedName>
    <definedName name="Lb_Shp_IP_AWPS" localSheetId="5">'[4]Shipments - lb'!$A$33:$IV$44</definedName>
    <definedName name="Lb_Shp_IP_Incr" localSheetId="5">'[4]Shipments - lb'!$A$9:$IV$23</definedName>
    <definedName name="Lb_Shp_IP_Tot" localSheetId="5">'[4]Shipments - lb'!$A$30:$IV$32</definedName>
    <definedName name="Lb_Shp_IPF_APPS" localSheetId="5">'[4]Shipments - lb'!$A$64:$IV$71</definedName>
    <definedName name="Lb_Shp_IPF_APPS_Hdr" localSheetId="5">'[4]Shipments - lb'!$A$51:$IV$52</definedName>
    <definedName name="Lb_Shp_IPF_AWPS" localSheetId="5">'[4]Shipments - lb'!$A$45:$IV$50</definedName>
    <definedName name="Lb_Shp_IPF_AWPS_Hdr" localSheetId="5">'[4]Shipments - lb'!$A$33:$IV$33</definedName>
    <definedName name="Lb_Shp_IPF_Incr" localSheetId="5">'[4]Shipments - lb'!$A$24:$IV$29</definedName>
    <definedName name="Lb_Shp_IPF_Incr_Hdr" localSheetId="5">'[4]Shipments - lb'!$A$9:$IV$9</definedName>
    <definedName name="Lb_Shp_IPF8_APPS" localSheetId="5">'[4]Shipments - lb'!$A$65:$IV$65</definedName>
    <definedName name="Lb_Shp_IPF8_AWPS" localSheetId="5">'[4]Shipments - lb'!$A$46:$IV$46</definedName>
    <definedName name="Lb_Shp_IPF8_Incr" localSheetId="5">'[4]Shipments - lb'!$A$25:$IV$25</definedName>
    <definedName name="Lb_Shp_Origin_Cntry" localSheetId="5">'[4]Shipments - lb'!$C$6:$AB$6</definedName>
    <definedName name="Lb_Shpmt_Cntry" localSheetId="5">'[4]Shipments - lb'!$AD$140</definedName>
    <definedName name="Lb_Shpmt_Disct" localSheetId="5">'[4]Discounts - lb'!$A$200</definedName>
    <definedName name="Lb_Shpmts" localSheetId="5">'[4]Shipments - lb'!$A$9:$IV$135</definedName>
    <definedName name="Lb_Shpmts_AWPS_Reset" localSheetId="5">'[4]Shipments - lb'!$A$500</definedName>
    <definedName name="Lb_Shpmts_AWPS_Reset1" localSheetId="5">'[4]Shipments - lb'!$A$501</definedName>
    <definedName name="LocalAccts" localSheetId="5">[4]TempVariables!$F$2</definedName>
    <definedName name="Locations" localSheetId="5">[4]Request!$C$124</definedName>
    <definedName name="LOOKUP" localSheetId="5">#REF!</definedName>
    <definedName name="Major_Origin_Cities" localSheetId="5">[4]Request!$E$124</definedName>
    <definedName name="MBG" localSheetId="5">[4]Request!$G$42</definedName>
    <definedName name="MBG_NotReq" localSheetId="5">[4]Request!$P$44</definedName>
    <definedName name="MBG_Option" localSheetId="5">[4]Request!$M$44</definedName>
    <definedName name="MBG_Req" localSheetId="5">[4]Request!$Q$44</definedName>
    <definedName name="MINTABLE" localSheetId="5">[11]SURCHARGES!$H$9:$U$15</definedName>
    <definedName name="ModelDate" localSheetId="5">[4]Request!$K$1</definedName>
    <definedName name="NatlAccts" localSheetId="5">[4]TempVariables!$A$2</definedName>
    <definedName name="NDAAll" localSheetId="5">'[11]Customer Info'!$V$9</definedName>
    <definedName name="Old_Payor_No" localSheetId="5">[4]Request!$E$56</definedName>
    <definedName name="Old_Shipper_No" localSheetId="5">[4]Request!$E$54</definedName>
    <definedName name="Op_Months" localSheetId="5">'[4]Shipments - current'!$B$1</definedName>
    <definedName name="Op_Scenario" localSheetId="5">[4]Request!$P$74</definedName>
    <definedName name="OpQ" localSheetId="5">[4]Request!$L$74</definedName>
    <definedName name="OptionType" localSheetId="5">[7]control!$F$27:$F$29</definedName>
    <definedName name="Orig_Region_1" localSheetId="5">[4]Request!$A$125</definedName>
    <definedName name="Orig_Region_10" localSheetId="5">[4]Request!$A$134</definedName>
    <definedName name="Orig_Region_11" localSheetId="5">[4]Request!$A$135</definedName>
    <definedName name="Orig_Region_12" localSheetId="5">[4]Request!$A$136</definedName>
    <definedName name="Orig_Region_13" localSheetId="5">[4]Request!$A$137</definedName>
    <definedName name="Orig_Region_14" localSheetId="5">[4]Request!$A$138</definedName>
    <definedName name="Orig_Region_15" localSheetId="5">[4]Request!$A$139</definedName>
    <definedName name="Orig_Region_16" localSheetId="5">[4]Request!$A$140</definedName>
    <definedName name="Orig_Region_17" localSheetId="5">[4]Request!$A$141</definedName>
    <definedName name="Orig_Region_18" localSheetId="5">[4]Request!$A$142</definedName>
    <definedName name="Orig_Region_19" localSheetId="5">[4]Request!$A$143</definedName>
    <definedName name="Orig_Region_2" localSheetId="5">[4]Request!$A$126</definedName>
    <definedName name="Orig_Region_20" localSheetId="5">[4]Request!$A$144</definedName>
    <definedName name="Orig_Region_21" localSheetId="5">[4]Request!$A$145</definedName>
    <definedName name="Orig_Region_22" localSheetId="5">[4]Request!$A$146</definedName>
    <definedName name="Orig_Region_23" localSheetId="5">[4]Request!$A$147</definedName>
    <definedName name="Orig_Region_24" localSheetId="5">[4]Request!$A$148</definedName>
    <definedName name="Orig_Region_25" localSheetId="5">[4]Request!$A$149</definedName>
    <definedName name="Orig_Region_26" localSheetId="5">[4]Request!$A$150</definedName>
    <definedName name="Orig_Region_3" localSheetId="5">[4]Request!$A$127</definedName>
    <definedName name="Orig_Region_4" localSheetId="5">[4]Request!$A$128</definedName>
    <definedName name="Orig_Region_5" localSheetId="5">[4]Request!$A$129</definedName>
    <definedName name="Orig_Region_6" localSheetId="5">[4]Request!$A$130</definedName>
    <definedName name="Orig_Region_7" localSheetId="5">[4]Request!$A$131</definedName>
    <definedName name="Orig_Region_8" localSheetId="5">[4]Request!$A$132</definedName>
    <definedName name="Orig_Region_9" localSheetId="5">[4]Request!$A$133</definedName>
    <definedName name="Orig1" localSheetId="5">[4]Request!$L$125</definedName>
    <definedName name="Orig10" localSheetId="5">[4]Request!$L$134</definedName>
    <definedName name="Orig11" localSheetId="5">[4]Request!$L$135</definedName>
    <definedName name="Orig12" localSheetId="5">[4]Request!$L$136</definedName>
    <definedName name="Orig13" localSheetId="5">[4]Request!$L$137</definedName>
    <definedName name="Orig14" localSheetId="5">[4]Request!$L$138</definedName>
    <definedName name="Orig15" localSheetId="5">[4]Request!$L$139</definedName>
    <definedName name="Orig16" localSheetId="5">[4]Request!$L$140</definedName>
    <definedName name="Orig17" localSheetId="5">[4]Request!$L$141</definedName>
    <definedName name="Orig18" localSheetId="5">[4]Request!$L$142</definedName>
    <definedName name="Orig19" localSheetId="5">[4]Request!$L$143</definedName>
    <definedName name="Orig2" localSheetId="5">[4]Request!$L$126</definedName>
    <definedName name="Orig20" localSheetId="5">[4]Request!$L$144</definedName>
    <definedName name="Orig21" localSheetId="5">[4]Request!$L$145</definedName>
    <definedName name="Orig22" localSheetId="5">[4]Request!$L$146</definedName>
    <definedName name="Orig23" localSheetId="5">[4]Request!$L$147</definedName>
    <definedName name="Orig24" localSheetId="5">[4]Request!$L$148</definedName>
    <definedName name="Orig25" localSheetId="5">[4]Request!$L$149</definedName>
    <definedName name="Orig26" localSheetId="5">[4]Request!$L$150</definedName>
    <definedName name="Orig3" localSheetId="5">[4]Request!$L$127</definedName>
    <definedName name="Orig4" localSheetId="5">[4]Request!$L$128</definedName>
    <definedName name="Orig5" localSheetId="5">[4]Request!$L$129</definedName>
    <definedName name="Orig6" localSheetId="5">[4]Request!$L$130</definedName>
    <definedName name="Orig7" localSheetId="5">[4]Request!$L$131</definedName>
    <definedName name="Orig8" localSheetId="5">[4]Request!$L$132</definedName>
    <definedName name="Orig9" localSheetId="5">[4]Request!$L$133</definedName>
    <definedName name="Origin" localSheetId="5">[4]Request!$B$124</definedName>
    <definedName name="Origin_Countries" localSheetId="5">[4]Request!$L$125:$L$150</definedName>
    <definedName name="Origin_Country_Code" localSheetId="5">[4]Countries!$G$4:$H$224</definedName>
    <definedName name="Origin_Country_Name_Code" localSheetId="5">[4]Countries!$B$4:$C$224</definedName>
    <definedName name="Origin_Scenario" localSheetId="5">[4]Request!$E$76</definedName>
    <definedName name="parcels" localSheetId="5">#REF!</definedName>
    <definedName name="Password" localSheetId="5">[4]TempVariables!$O$3</definedName>
    <definedName name="Payor_Acct1" localSheetId="5">[4]Request!$I$23</definedName>
    <definedName name="Payor_Acct2" localSheetId="5">[4]Request!$I$25</definedName>
    <definedName name="Payor_Acct3" localSheetId="5">[4]Request!$I$27</definedName>
    <definedName name="Payor_Country" localSheetId="5">[4]Request!$M$19</definedName>
    <definedName name="Payor_Table" localSheetId="5">[4]Countries!$HI$4:$HR$101</definedName>
    <definedName name="PayorRgn" localSheetId="5">[4]Request!$P$15</definedName>
    <definedName name="PNH" localSheetId="5">#REF!</definedName>
    <definedName name="Pricing_Requested" localSheetId="5">[4]Request!$A$33</definedName>
    <definedName name="Product" localSheetId="5">[7]control!$N$27:$N$38</definedName>
    <definedName name="Provinces_Cities" localSheetId="5">[4]Request!$E$125:$E$150</definedName>
    <definedName name="Range1" localSheetId="5">#REF!</definedName>
    <definedName name="Region" localSheetId="5">[4]Request!$O$16</definedName>
    <definedName name="Region_Rev" localSheetId="5">[4]Request!$E$112:$E$116</definedName>
    <definedName name="RO" localSheetId="5">#REF!</definedName>
    <definedName name="road" localSheetId="5">#REF!</definedName>
    <definedName name="RTH" localSheetId="5">#REF!</definedName>
    <definedName name="Sales_AE" localSheetId="5">[4]Request!$B$21</definedName>
    <definedName name="Sales_Manager" localSheetId="5">[4]Request!$B$19</definedName>
    <definedName name="SDAALL" localSheetId="5">'[11]Customer Info'!$V$15</definedName>
    <definedName name="Service_IE" localSheetId="5">[4]Request!$R$46</definedName>
    <definedName name="Service_IE_IEF" localSheetId="5">[4]Request!$R$47</definedName>
    <definedName name="Service_IEF" localSheetId="5">[4]Request!$S$46</definedName>
    <definedName name="Service_IP" localSheetId="5">[4]Request!$P$46</definedName>
    <definedName name="Service_IP_IPF" localSheetId="5">[4]Request!$P$47</definedName>
    <definedName name="Service_IPF" localSheetId="5">[4]Request!$Q$46</definedName>
    <definedName name="Service_Type" localSheetId="5">[4]Request!$L$48</definedName>
    <definedName name="Services_Requested" localSheetId="5">[4]Request!$A$42</definedName>
    <definedName name="Ship_Locations" localSheetId="5">[4]Request!$M$125:$M$150</definedName>
    <definedName name="Ship_Tender" localSheetId="5">[4]Request!$E$68</definedName>
    <definedName name="Show9DigitAccts" localSheetId="5">[4]TempVariables!$J$3</definedName>
    <definedName name="SlsChan" localSheetId="5">[7]control!$B$27:$B$28</definedName>
    <definedName name="Spec_Op" localSheetId="5">[4]Request!$A$72</definedName>
    <definedName name="StartMonth" localSheetId="5">[4]TempVariables!$G$3</definedName>
    <definedName name="Strategy" localSheetId="5">[4]Request!$A$108</definedName>
    <definedName name="SurchargeType" localSheetId="5">[7]control!$I$27:$I$32</definedName>
    <definedName name="TABLE" localSheetId="5">#REF!</definedName>
    <definedName name="TempVariables" localSheetId="5">[4]TempVariables!$A$1</definedName>
    <definedName name="Tier" localSheetId="5">'[12]Portfolio Discount'!#REF!</definedName>
    <definedName name="Tot_Annual_Rev" localSheetId="5">[4]Request!$E$117</definedName>
    <definedName name="USAcctsOnly" localSheetId="5">[4]TempVariables!$I$3</definedName>
    <definedName name="UserID" localSheetId="5">[4]TempVariables!$N$3</definedName>
    <definedName name="Value_2K" localSheetId="5">[4]Request!$E$88</definedName>
    <definedName name="values" localSheetId="5">[4]Request!$L$16:$O$150</definedName>
    <definedName name="WtMetric" localSheetId="5">[4]Request!$B$25</definedName>
    <definedName name="YN" localSheetId="5">[7]control!$P$27:$P$28</definedName>
    <definedName name="zone" localSheetId="5">#REF!</definedName>
    <definedName name="ZonedOut" localSheetId="5">[7]rates_input!$R$5:$Z$8</definedName>
    <definedName name="ZonedOut1" localSheetId="5">[7]rates_input!$I$6:$Z$8</definedName>
    <definedName name="ZonedOut2" localSheetId="5">[7]rates_input!$I$7:$Z$8</definedName>
    <definedName name="ZONELU" localSheetId="5">[11]SURCHARGES!$B$9:$D$59</definedName>
    <definedName name="Zones" localSheetId="5">#REF!,#REF!,#REF!,#REF!</definedName>
    <definedName name="Zones_New" localSheetId="5">[7]zones_input!$B$1:$G$65536</definedName>
    <definedName name="_Fill" localSheetId="6" hidden="1">[2]Express!#REF!</definedName>
    <definedName name="_Key1" localSheetId="6" hidden="1">#REF!</definedName>
    <definedName name="_Loc1" localSheetId="6">[3]Request!$M$125</definedName>
    <definedName name="_Loc10" localSheetId="6">[4]Request!$M$134</definedName>
    <definedName name="_Loc11" localSheetId="6">[4]Request!$M$135</definedName>
    <definedName name="_Loc12" localSheetId="6">[4]Request!$M$136</definedName>
    <definedName name="_Loc13" localSheetId="6">[4]Request!$M$137</definedName>
    <definedName name="_Loc14" localSheetId="6">[4]Request!$M$138</definedName>
    <definedName name="_Loc15" localSheetId="6">[4]Request!$M$139</definedName>
    <definedName name="_Loc16" localSheetId="6">[4]Request!$M$140</definedName>
    <definedName name="_Loc17" localSheetId="6">[4]Request!$M$141</definedName>
    <definedName name="_Loc18" localSheetId="6">[4]Request!$M$142</definedName>
    <definedName name="_Loc19" localSheetId="6">[4]Request!$M$143</definedName>
    <definedName name="_Loc2" localSheetId="6">[4]Request!$M$126</definedName>
    <definedName name="_Loc20" localSheetId="6">[4]Request!$M$144</definedName>
    <definedName name="_Loc21" localSheetId="6">[4]Request!$M$145</definedName>
    <definedName name="_Loc22" localSheetId="6">[4]Request!$M$146</definedName>
    <definedName name="_Loc23" localSheetId="6">[4]Request!$M$147</definedName>
    <definedName name="_Loc24" localSheetId="6">[4]Request!$M$148</definedName>
    <definedName name="_Loc25" localSheetId="6">[4]Request!$M$149</definedName>
    <definedName name="_Loc26" localSheetId="6">[4]Request!$M$150</definedName>
    <definedName name="_Loc3" localSheetId="6">[4]Request!$M$127</definedName>
    <definedName name="_Loc4" localSheetId="6">[4]Request!$M$128</definedName>
    <definedName name="_Loc5" localSheetId="6">[4]Request!$M$129</definedName>
    <definedName name="_Loc6" localSheetId="6">[4]Request!$M$130</definedName>
    <definedName name="_Loc7" localSheetId="6">[4]Request!$M$131</definedName>
    <definedName name="_Loc8" localSheetId="6">[4]Request!$M$132</definedName>
    <definedName name="_Loc9" localSheetId="6">[4]Request!$M$133</definedName>
    <definedName name="_Sort" localSheetId="6" hidden="1">[1]Express!#REF!</definedName>
    <definedName name="a" localSheetId="6" hidden="1">[1]Express!#REF!</definedName>
    <definedName name="Account" localSheetId="6">[4]Request!$B$17</definedName>
    <definedName name="Acct_number" localSheetId="6">[5]Summary!$E$2</definedName>
    <definedName name="AFD" localSheetId="6">#REF!</definedName>
    <definedName name="Agent" localSheetId="6">[4]Request!$A$60</definedName>
    <definedName name="Agent_Comm" localSheetId="6">[4]Request!$E$64</definedName>
    <definedName name="Agent_Delivery" localSheetId="6">[4]Request!$O$62</definedName>
    <definedName name="Agent_Involved" localSheetId="6">[4]Request!$P$62</definedName>
    <definedName name="Agent_Pickup" localSheetId="6">[4]Request!$N$62</definedName>
    <definedName name="Agent_Services" localSheetId="6">[4]Request!$E$66</definedName>
    <definedName name="AgentQ" localSheetId="6">[4]Request!$L$62</definedName>
    <definedName name="AllDiscountArea" localSheetId="6">[6]Discounts!$D$15:$Q$16,[6]Discounts!$S$15:$T$16,[6]Discounts!$D$22:$M$22,[6]Discounts!$O$22:$P$22,[6]Discounts!$T$22:$T$22,[6]Discounts!$D$29:$D$30,[6]Discounts!$F$29:$Q$30,[6]Discounts!$T$29:$T$30,[6]Discounts!$D$36:$D$36,[6]Discounts!$F$36:$M$36,[6]Discounts!$O$36:$P$36,[6]Discounts!$T$36:$T$36</definedName>
    <definedName name="Alph_countries" localSheetId="6">[7]zones_input!$A$2:$A$214</definedName>
    <definedName name="anakg" localSheetId="6">'[4]Shipments - kg current'!$D$1</definedName>
    <definedName name="analb" localSheetId="6">'[4]Shipments - lb current'!$D$1</definedName>
    <definedName name="ApDsctKgADNR" localSheetId="6">#REF!</definedName>
    <definedName name="ApDsctKgComm" localSheetId="6">#REF!</definedName>
    <definedName name="ApDsctKgH1" localSheetId="6">#REF!</definedName>
    <definedName name="ApDsctKgH2" localSheetId="6">#REF!</definedName>
    <definedName name="ApDsctKgIEAppCurDisct" localSheetId="6">#REF!</definedName>
    <definedName name="ApDsctKgIEAppMin" localSheetId="6">#REF!</definedName>
    <definedName name="ApDsctKgIEReqCurDisct" localSheetId="6">#REF!</definedName>
    <definedName name="ApDsctKgIEReqMin" localSheetId="6">#REF!</definedName>
    <definedName name="ApDsctKgIERestore" localSheetId="6">#REF!</definedName>
    <definedName name="ApDsctKgIPAppCurDisct" localSheetId="6">#REF!</definedName>
    <definedName name="ApDsctKgIPAppMin" localSheetId="6">#REF!</definedName>
    <definedName name="ApDsctKgIPReqCurDisct" localSheetId="6">#REF!</definedName>
    <definedName name="ApDsctKgIPReqMin" localSheetId="6">#REF!</definedName>
    <definedName name="ApDsctKgIPRestore" localSheetId="6">#REF!</definedName>
    <definedName name="ApDsctKgLR" localSheetId="6">#REF!</definedName>
    <definedName name="ApDsctKgLR1" localSheetId="6">#REF!</definedName>
    <definedName name="ApDsctKgQ1" localSheetId="6">#REF!</definedName>
    <definedName name="ApDsctKgQ10" localSheetId="6">#REF!</definedName>
    <definedName name="ApDsctKgQ2" localSheetId="6">#REF!</definedName>
    <definedName name="ApDsctKgQ3" localSheetId="6">#REF!</definedName>
    <definedName name="ApDsctKgQ4" localSheetId="6">#REF!</definedName>
    <definedName name="ApDsctKgQ5" localSheetId="6">#REF!</definedName>
    <definedName name="ApDsctKgQ6" localSheetId="6">#REF!</definedName>
    <definedName name="ApDsctKgQ7" localSheetId="6">#REF!</definedName>
    <definedName name="ApDsctKgQ8" localSheetId="6">#REF!</definedName>
    <definedName name="ApDsctKgQ9" localSheetId="6">#REF!</definedName>
    <definedName name="ApDsctKgRMIE" localSheetId="6">#REF!</definedName>
    <definedName name="ApDsctKgRMIP" localSheetId="6">#REF!</definedName>
    <definedName name="ApDsctKgSIE" localSheetId="6">#REF!</definedName>
    <definedName name="ApDsctKgSIP" localSheetId="6">#REF!</definedName>
    <definedName name="ApDsctLbADNR" localSheetId="6">'[4]Approved Discts-lb'!$F$7:$AE$7</definedName>
    <definedName name="ApDsctLbComm" localSheetId="6">'[4]Approved Discts-lb'!$F$159</definedName>
    <definedName name="ApDsctLbH1" localSheetId="6">'[4]Approved Discts-lb'!$F$3:$H$4</definedName>
    <definedName name="ApDsctLbH2" localSheetId="6">'[4]Approved Discts-lb'!$Z$3:$Z$4</definedName>
    <definedName name="ApDsctLbIEAppCurDisct" localSheetId="6">'[4]Approved Discts-lb'!$A$111:$AE$114</definedName>
    <definedName name="ApDsctLbIEAppMin" localSheetId="6">'[4]Approved Discts-lb'!$A$108:$AE$110</definedName>
    <definedName name="ApDsctLbIEReqCurDisct" localSheetId="6">'[4]Approved Discts-lb'!$A$85:$AE$88</definedName>
    <definedName name="ApDsctLbIEReqMin" localSheetId="6">'[4]Approved Discts-lb'!$B$82:$AE$84</definedName>
    <definedName name="ApDsctLbIERestore" localSheetId="6">'[4]Approved Discts-lb'!$F$364:$AE$387</definedName>
    <definedName name="ApDsctLbIPAppCurDisct" localSheetId="6">'[4]Approved Discts-lb'!$A$50:$AE$55</definedName>
    <definedName name="ApDsctLbIPAppMin" localSheetId="6">'[4]Approved Discts-lb'!$A$45:$AE$49</definedName>
    <definedName name="ApDsctLbIPReqCurDisct" localSheetId="6">'[4]Approved Discts-lb'!$A$18:$AE$23</definedName>
    <definedName name="ApDsctLbIPReqMin" localSheetId="6">'[4]Approved Discts-lb'!$A$13:$AE$17</definedName>
    <definedName name="ApDsctLbIPRestore" localSheetId="6">'[4]Approved Discts-lb'!$F$326:$AE$355</definedName>
    <definedName name="ApDsctLbLR" localSheetId="6">'[4]Approved Discts-lb'!$F$11:$AE$11</definedName>
    <definedName name="ApDsctLbLR1" localSheetId="6">'[4]Approved Discts-lb'!$F$81:$AE$81</definedName>
    <definedName name="ApDsctLbQ1" localSheetId="6">'[4]Approved Discts-lb'!$AG$134</definedName>
    <definedName name="ApDsctLbQ10" localSheetId="6">'[4]Approved Discts-lb'!$AG$154</definedName>
    <definedName name="ApDsctLbQ2" localSheetId="6">'[4]Approved Discts-lb'!$AG$136</definedName>
    <definedName name="ApDsctLbQ3" localSheetId="6">'[4]Approved Discts-lb'!$AG$138</definedName>
    <definedName name="ApDsctLbQ4" localSheetId="6">'[4]Approved Discts-lb'!$AG$141</definedName>
    <definedName name="ApDsctLbQ5" localSheetId="6">'[4]Approved Discts-lb'!$AG$143</definedName>
    <definedName name="ApDsctLbQ6" localSheetId="6">'[4]Approved Discts-lb'!$AG$145</definedName>
    <definedName name="ApDsctLbQ7" localSheetId="6">'[4]Approved Discts-lb'!$AG$147</definedName>
    <definedName name="ApDsctLbQ8" localSheetId="6">'[4]Approved Discts-lb'!$AG$149</definedName>
    <definedName name="ApDsctLbQ9" localSheetId="6">'[4]Approved Discts-lb'!$AG$151</definedName>
    <definedName name="ApDsctLbRMIE" localSheetId="6">'[4]Approved Discts-lb'!$F$109:$AE$132</definedName>
    <definedName name="ApDsctLbRMIP" localSheetId="6">'[4]Approved Discts-lb'!$F$46:$AE$75</definedName>
    <definedName name="ApDsctLbSIE" localSheetId="6">'[4]Approved Discts-lb'!$F$83:$AE$106</definedName>
    <definedName name="ApDsctLbSIP" localSheetId="6">'[4]Approved Discts-lb'!$F$14:$AE$43</definedName>
    <definedName name="Approval" localSheetId="6">[4]Request!$P$16</definedName>
    <definedName name="Bill_3P" localSheetId="6">[4]Request!$M$29</definedName>
    <definedName name="Bill_Consignee" localSheetId="6">[4]Request!$L$29</definedName>
    <definedName name="Billing_Option" localSheetId="6">[4]Request!$A$29</definedName>
    <definedName name="Business_Type" localSheetId="6">[4]Request!$G$31</definedName>
    <definedName name="BWE" localSheetId="6">[4]TempVariables!$K$3</definedName>
    <definedName name="Chk_Origin_Cntry" localSheetId="6">[4]Request!$L$151</definedName>
    <definedName name="Chk_Provinces_Cities" localSheetId="6">[4]Request!$S$151</definedName>
    <definedName name="Chk_Ship_Loc" localSheetId="6">[4]Request!$R$151</definedName>
    <definedName name="Clearance_Reqd" localSheetId="6">[4]Request!$A$82</definedName>
    <definedName name="Commodity1" localSheetId="6">[4]Request!$I$48</definedName>
    <definedName name="Commodity2" localSheetId="6">[4]Request!$I$49</definedName>
    <definedName name="Competitor" localSheetId="6">[4]Request!$I$54</definedName>
    <definedName name="CONTDE" localSheetId="6">#REF!</definedName>
    <definedName name="CONTFD" localSheetId="6">#REF!</definedName>
    <definedName name="CONTFE" localSheetId="6">#REF!</definedName>
    <definedName name="CONTPD" localSheetId="6">#REF!</definedName>
    <definedName name="CONTPE" localSheetId="6">#REF!</definedName>
    <definedName name="countries" localSheetId="6">[7]zones_input!$A$2:$C$202</definedName>
    <definedName name="country_selection" localSheetId="6">[7]control!$S$4:$S$5</definedName>
    <definedName name="CSource" localSheetId="6">[7]control!$D$27:$D$29</definedName>
    <definedName name="Cur_Disct" localSheetId="6">[4]Request!$P$19</definedName>
    <definedName name="Curr_and_Incr" localSheetId="6">[4]Request!$R$32</definedName>
    <definedName name="Curr_Incr" localSheetId="6">[4]Request!$M$32</definedName>
    <definedName name="Current" localSheetId="6">'[4]Shipments - current'!$E$4:$Z$65536</definedName>
    <definedName name="Current_Only" localSheetId="6">[4]Request!$P$32</definedName>
    <definedName name="CurrentDetail" localSheetId="6">'[4]Shipments - current'!$A$3</definedName>
    <definedName name="CurrentDetailEnd" localSheetId="6">'[4]Shipments - current'!$AH$3</definedName>
    <definedName name="Cust_Clear" localSheetId="6">[4]Request!$P$84</definedName>
    <definedName name="CustClearQ" localSheetId="6">[4]Request!$L$84</definedName>
    <definedName name="Customer" localSheetId="6">[8]Summary!$B$1</definedName>
    <definedName name="Date1" localSheetId="6">[4]Request!$P$17</definedName>
    <definedName name="Date2" localSheetId="6">[4]Request!$Q$17</definedName>
    <definedName name="Declared_Value" localSheetId="6">[4]Request!$E$89</definedName>
    <definedName name="Dest_Countries" localSheetId="6">[4]Request!$N$125:$N$150</definedName>
    <definedName name="Dest_Country_Copy" localSheetId="6">[4]Request!$R$19</definedName>
    <definedName name="Dest_Scenario" localSheetId="6">[4]Request!$E$78</definedName>
    <definedName name="Dest1" localSheetId="6">[4]Request!$N$125</definedName>
    <definedName name="Dest10" localSheetId="6">[4]Request!$N$134</definedName>
    <definedName name="Dest11" localSheetId="6">[4]Request!$N$135</definedName>
    <definedName name="Dest12" localSheetId="6">[4]Request!$N$136</definedName>
    <definedName name="Dest13" localSheetId="6">[4]Request!$N$137</definedName>
    <definedName name="Dest14" localSheetId="6">[4]Request!$N$138</definedName>
    <definedName name="Dest15" localSheetId="6">[4]Request!$N$139</definedName>
    <definedName name="Dest16" localSheetId="6">[4]Request!$N$140</definedName>
    <definedName name="Dest17" localSheetId="6">[4]Request!$N$141</definedName>
    <definedName name="Dest18" localSheetId="6">[4]Request!$N$142</definedName>
    <definedName name="Dest19" localSheetId="6">[4]Request!$N$143</definedName>
    <definedName name="Dest2" localSheetId="6">[4]Request!$N$126</definedName>
    <definedName name="Dest20" localSheetId="6">[4]Request!$N$144</definedName>
    <definedName name="Dest21" localSheetId="6">[4]Request!$N$145</definedName>
    <definedName name="Dest22" localSheetId="6">[4]Request!$N$146</definedName>
    <definedName name="Dest23" localSheetId="6">[4]Request!$N$147</definedName>
    <definedName name="Dest24" localSheetId="6">[4]Request!$N$148</definedName>
    <definedName name="Dest25" localSheetId="6">[4]Request!$N$149</definedName>
    <definedName name="Dest26" localSheetId="6">[4]Request!$N$150</definedName>
    <definedName name="Dest3" localSheetId="6">[4]Request!$N$127</definedName>
    <definedName name="Dest4" localSheetId="6">[4]Request!$N$128</definedName>
    <definedName name="Dest5" localSheetId="6">[4]Request!$N$129</definedName>
    <definedName name="Dest6" localSheetId="6">[4]Request!$N$130</definedName>
    <definedName name="Dest7" localSheetId="6">[4]Request!$N$131</definedName>
    <definedName name="Dest8" localSheetId="6">[4]Request!$N$132</definedName>
    <definedName name="Dest9" localSheetId="6">[4]Request!$N$133</definedName>
    <definedName name="Division" localSheetId="6">[7]control!$O$27:$O$28</definedName>
    <definedName name="DOT" localSheetId="6">[7]control!$L$27:$L$29</definedName>
    <definedName name="dox" localSheetId="6">#REF!</definedName>
    <definedName name="dsfd" localSheetId="6">#REF!</definedName>
    <definedName name="EndMonth" localSheetId="6">[4]TempVariables!$H$3</definedName>
    <definedName name="ExDocDisc" localSheetId="6">[6]Discounts!$D$15:$Q$15,[6]Discounts!$S$15:$T$15</definedName>
    <definedName name="ExNDocDisc" localSheetId="6">[6]Discounts!$D$16:$Q$16,[6]Discounts!$S$16:$T$16,[6]Discounts!$D$22:$M$22,[6]Discounts!$O$22:$P$22,[6]Discounts!$T$22:$T$22</definedName>
    <definedName name="Expt638" localSheetId="6">#REF!</definedName>
    <definedName name="ExptPrepaid" localSheetId="6">'[10]Expt Disc prepaid'!#REF!</definedName>
    <definedName name="FDX" localSheetId="6">[4]Request!$A$50</definedName>
    <definedName name="FDX_Shpmts" localSheetId="6">[4]Request!$P$52</definedName>
    <definedName name="FXShpQ" localSheetId="6">[4]Request!$L$52</definedName>
    <definedName name="GroundWB" localSheetId="6">'[11]Customer Info'!$Y$20:$AB$26</definedName>
    <definedName name="GrpExcl_ll" localSheetId="6">[4]TempVariables!$D$2</definedName>
    <definedName name="GrpExcl_ul" localSheetId="6">[4]TempVariables!$E$2</definedName>
    <definedName name="GrpIncl_ll" localSheetId="6">[4]TempVariables!$B$2</definedName>
    <definedName name="GrpIncl_ul" localSheetId="6">[4]TempVariables!$C$2</definedName>
    <definedName name="Header" localSheetId="6">'[9]Expt Disc prepaid'!#REF!</definedName>
    <definedName name="home" localSheetId="6">[4]Request!$B$17</definedName>
    <definedName name="ImDocDisc" localSheetId="6">[6]Discounts!$D$29,[6]Discounts!$F$29:$Q$29,[6]Discounts!$T$29</definedName>
    <definedName name="IMListRates" localSheetId="6">#REF!</definedName>
    <definedName name="ImNDocDisc" localSheetId="6">[6]Discounts!$D$30:$D$30,[6]Discounts!$F$30:$Q$30,[6]Discounts!$T$30:$T$30,[6]Discounts!$D$36:$D$36,[6]Discounts!$F$36:$M$36,[6]Discounts!$O$36:$P$36,[6]Discounts!$T$36:$T$36</definedName>
    <definedName name="Import" localSheetId="6">[4]Request!$Q$33</definedName>
    <definedName name="Import_Pricing" localSheetId="6">#REF!</definedName>
    <definedName name="Impt_Inbnd" localSheetId="6">[4]Request!$L$33</definedName>
    <definedName name="ImptCheck" localSheetId="6">[4]Request!$Q$19</definedName>
    <definedName name="Inbound" localSheetId="6">[4]Request!$P$33</definedName>
    <definedName name="Inbound_Pricing" localSheetId="6">#REF!</definedName>
    <definedName name="Incremental_Only" localSheetId="6">[4]Request!$Q$32</definedName>
    <definedName name="IZ" localSheetId="6">#REF!</definedName>
    <definedName name="Kg_Apprv_Dt" localSheetId="6">#REF!</definedName>
    <definedName name="Kg_APPS_Chk" localSheetId="6">'[4]Shipments - kg'!$A$1138</definedName>
    <definedName name="Kg_AWPS_Chk" localSheetId="6">'[4]Shipments - kg'!$A$1117</definedName>
    <definedName name="Kg_Cntry_Disct" localSheetId="6">'[4]Discounts - kg'!$AB$108</definedName>
    <definedName name="kg_Disc_Edit_Check" localSheetId="6">#REF!</definedName>
    <definedName name="Kg_Discts" localSheetId="6">'[4]Discounts - kg'!$A$16:$IV$98</definedName>
    <definedName name="Kg_Dsc_Cntry" localSheetId="6">'[4]Discounts - kg'!$A$1:$IV$15</definedName>
    <definedName name="Kg_Dsc_IE_Cur_Disct" localSheetId="6">'[4]Discounts - kg'!$A$68:$IV$75</definedName>
    <definedName name="Kg_Dsc_IE_Hdr" localSheetId="6">'[4]Discounts - kg'!$A$60:$IV$62</definedName>
    <definedName name="Kg_Dsc_IE_Min_Hdr" localSheetId="6">'[4]Discounts - kg'!$A$63:$IV$64</definedName>
    <definedName name="Kg_Dsc_IE_Min_IE" localSheetId="6">'[4]Discounts - kg'!$A$65:$IV$65</definedName>
    <definedName name="Kg_Dsc_IE_Min_IEF" localSheetId="6">'[4]Discounts - kg'!$A$66:$IV$67</definedName>
    <definedName name="Kg_Dsc_IE_Pct_Disct" localSheetId="6">'[4]Discounts - kg'!$A$76:$IV$92</definedName>
    <definedName name="Kg_Dsc_IEF_Pct_Disct" localSheetId="6">'[4]Discounts - kg'!$A$93:$IV$99</definedName>
    <definedName name="Kg_Dsc_IP_Cur_Disct" localSheetId="6">'[4]Discounts - kg'!$A$25:$IV$31</definedName>
    <definedName name="Kg_Dsc_IP_Hdr" localSheetId="6">'[4]Discounts - kg'!$A$16:$IV$17</definedName>
    <definedName name="Kg_Dsc_IP_Min_Hdr" localSheetId="6">'[4]Discounts - kg'!$A$18:$IV$19</definedName>
    <definedName name="Kg_Dsc_IP_Min_IP" localSheetId="6">'[4]Discounts - kg'!$A$20:$IV$22</definedName>
    <definedName name="Kg_Dsc_IP_Min_IPF" localSheetId="6">'[4]Discounts - kg'!$A$23:$IV$24</definedName>
    <definedName name="Kg_Dsc_IP_Pct_Disct" localSheetId="6">'[4]Discounts - kg'!$A$32:$IV$50</definedName>
    <definedName name="Kg_Dsc_IPF_Pct_Disct" localSheetId="6">'[4]Discounts - kg'!$A$51:$IV$59</definedName>
    <definedName name="Kg_Dsc_Origin_Cntry" localSheetId="6">'[4]Discounts - kg'!$B$7:$AA$7</definedName>
    <definedName name="Kg_Incr_Shp_IE" localSheetId="6">'[4]Shipments - kg'!$A$162</definedName>
    <definedName name="Kg_Incr_Shp_IEF" localSheetId="6">'[4]Shipments - kg'!$A$163</definedName>
    <definedName name="Kg_Incr_Shp_IP" localSheetId="6">'[4]Shipments - kg'!$A$160</definedName>
    <definedName name="Kg_Incr_Shp_IPF" localSheetId="6">'[4]Shipments - kg'!$A$161</definedName>
    <definedName name="Kg_Rng_Cur_Disct_IE" localSheetId="6">'[4]Discounts - kg'!$B$72:$AA$74</definedName>
    <definedName name="Kg_Rng_Cur_Disct_IP" localSheetId="6">'[4]Discounts - kg'!$B$26:$AA$30</definedName>
    <definedName name="Kg_Rng_Disct_IE" localSheetId="6">'[4]Discounts - kg'!$B$78:$AA$84</definedName>
    <definedName name="Kg_Rng_Disct_IEF" localSheetId="6">'[4]Discounts - kg'!$B$94:$AA$98</definedName>
    <definedName name="Kg_Rng_Disct_IEHW" localSheetId="6">'[4]Discounts - kg'!$B$87:$AA$91</definedName>
    <definedName name="Kg_Rng_Disct_IP" localSheetId="6">'[4]Discounts - kg'!$B$34:$AA$42</definedName>
    <definedName name="Kg_Rng_Disct_IPF" localSheetId="6">'[4]Discounts - kg'!$B$52:$AA$56</definedName>
    <definedName name="Kg_Rng_Disct_IPHW" localSheetId="6">'[4]Discounts - kg'!$B$45:$AA$49</definedName>
    <definedName name="Kg_Rng_Disct_Min_IE" localSheetId="6">'[4]Discounts - kg'!$B$65:$AA$66</definedName>
    <definedName name="Kg_Rng_Disct_Min_IP" localSheetId="6">'[4]Discounts - kg'!$B$20:$AA$23</definedName>
    <definedName name="Kg_Rng_Shpmts_APPS_IE" localSheetId="6">'[4]Shipments - kg'!$C$119:$AB$129</definedName>
    <definedName name="Kg_Rng_Shpmts_APPS_IEF" localSheetId="6">'[4]Shipments - kg'!$C$131:$AB$135</definedName>
    <definedName name="Kg_Rng_Shpmts_APPS_IP" localSheetId="6">'[4]Shipments - kg'!$C$53:$AB$63</definedName>
    <definedName name="Kg_Rng_Shpmts_APPS_IPF" localSheetId="6">'[4]Shipments - kg'!$C$65:$AB$69</definedName>
    <definedName name="Kg_Rng_Shpmts_AWPS_IE" localSheetId="6">'[4]Shipments - kg'!$C$99:$AB$109</definedName>
    <definedName name="Kg_Rng_Shpmts_AWPS_IEF" localSheetId="6">'[4]Shipments - kg'!$C$111:$AB$115</definedName>
    <definedName name="Kg_Rng_Shpmts_AWPS_IP" localSheetId="6">'[4]Shipments - kg'!$C$34:$AB$44</definedName>
    <definedName name="Kg_Rng_Shpmts_AWPS_IPF" localSheetId="6">'[4]Shipments - kg'!$C$46:$AB$50</definedName>
    <definedName name="Kg_Rng_Shpmts_Incr_IE" localSheetId="6">'[4]Shipments - kg'!$C$75:$AB$86</definedName>
    <definedName name="Kg_Rng_Shpmts_Incr_IEF" localSheetId="6">'[4]Shipments - kg'!$C$88:$AB$92</definedName>
    <definedName name="Kg_Rng_Shpmts_Incr_IP" localSheetId="6">'[4]Shipments - kg'!$C$10:$AB$23</definedName>
    <definedName name="Kg_Rng_Shpmts_Incr_IPF" localSheetId="6">'[4]Shipments - kg'!$C$25:$AB$29</definedName>
    <definedName name="Kg_Shp_Cntry" localSheetId="6">'[4]Shipments - kg'!$A$1:$IV$8</definedName>
    <definedName name="Kg_Shp_IE_APPS" localSheetId="6">'[4]Shipments - kg'!$A$117:$IV$129</definedName>
    <definedName name="Kg_Shp_IE_AWPS" localSheetId="6">'[4]Shipments - kg'!$A$97:$IV$109</definedName>
    <definedName name="Kg_Shp_IE_Incr" localSheetId="6">'[4]Shipments - kg'!$A$72:$IV$86</definedName>
    <definedName name="Kg_Shp_IE_Tot" localSheetId="6">'[4]Shipments - kg'!$A$93:$IV$96</definedName>
    <definedName name="Kg_Shp_IEF_APPS" localSheetId="6">'[4]Shipments - kg'!$A$130:$IV$136</definedName>
    <definedName name="Kg_Shp_IEF_APPS_Hdr" localSheetId="6">'[4]Shipments - kg'!$A$117:$IV$118</definedName>
    <definedName name="Kg_Shp_IEF_AWPS" localSheetId="6">'[4]Shipments - kg'!$A$110:$IV$116</definedName>
    <definedName name="Kg_Shp_IEF_AWPS_Hdr" localSheetId="6">'[4]Shipments - kg'!$A$97:$IV$98</definedName>
    <definedName name="Kg_Shp_IEF_Incr" localSheetId="6">'[4]Shipments - kg'!$A$87:$IV$92</definedName>
    <definedName name="Kg_Shp_IEF_Incr_Hdr" localSheetId="6">'[4]Shipments - kg'!$A$72:$IV$73</definedName>
    <definedName name="Kg_Shp_IP_APPS" localSheetId="6">'[4]Shipments - kg'!$A$51:$IV$63</definedName>
    <definedName name="Kg_Shp_IP_AWPS" localSheetId="6">'[4]Shipments - kg'!$A$33:$IV$44</definedName>
    <definedName name="Kg_Shp_IP_Incr" localSheetId="6">'[4]Shipments - kg'!$A$9:$IV$23</definedName>
    <definedName name="Kg_Shp_IP_Tot" localSheetId="6">'[4]Shipments - kg'!$A$30:$IV$32</definedName>
    <definedName name="Kg_Shp_IPF_APPS" localSheetId="6">'[4]Shipments - kg'!$A$64:$IV$71</definedName>
    <definedName name="Kg_Shp_IPF_APPS_Hdr" localSheetId="6">'[4]Shipments - kg'!$A$51:$IV$52</definedName>
    <definedName name="Kg_Shp_IPF_AWPS" localSheetId="6">'[4]Shipments - kg'!$A$45:$IV$50</definedName>
    <definedName name="Kg_Shp_IPF_AWPS_Hdr" localSheetId="6">'[4]Shipments - kg'!$A$33:$IV$33</definedName>
    <definedName name="Kg_Shp_IPF_Incr" localSheetId="6">'[4]Shipments - kg'!$A$24:$IV$29</definedName>
    <definedName name="Kg_Shp_IPF_Incr_Hdr" localSheetId="6">'[4]Shipments - kg'!$A$9:$IV$9</definedName>
    <definedName name="Kg_Shp_Origin_Cntry" localSheetId="6">'[4]Shipments - kg'!$C$6:$AB$6</definedName>
    <definedName name="Kg_Shpmt_Cntry" localSheetId="6">'[4]Shipments - kg'!$AD$140</definedName>
    <definedName name="Kg_Shpmt_Disct" localSheetId="6">'[4]Discounts - kg'!$A$200</definedName>
    <definedName name="Kg_Shpmts" localSheetId="6">'[4]Shipments - kg'!$A$9:$IV$135</definedName>
    <definedName name="Kg_Shpmts_AWPS_Reset" localSheetId="6">'[4]Shipments - kg'!$A$500</definedName>
    <definedName name="Kg_Shpmts_AWPS_Reset1" localSheetId="6">'[4]Shipments - kg'!$A$501</definedName>
    <definedName name="Kilograms" localSheetId="6">[4]Request!$P$25</definedName>
    <definedName name="Lb_Apprv_Dt" localSheetId="6">'[4]Approved Discts-lb'!$F$3</definedName>
    <definedName name="Lb_APPS_Chk" localSheetId="6">'[4]Shipments - lb'!$A$1138</definedName>
    <definedName name="Lb_AWPS_Chk" localSheetId="6">'[4]Shipments - lb'!$A$1117</definedName>
    <definedName name="Lb_Cntry_Disct" localSheetId="6">'[4]Discounts - lb'!$AB$108</definedName>
    <definedName name="lb_Disc_Edit_Check" localSheetId="6">'[4]Approved Discts-lb'!$AF$259</definedName>
    <definedName name="Lb_Discts" localSheetId="6">'[4]Discounts - lb'!$A$16:$IV$98</definedName>
    <definedName name="Lb_Dsc_Cntry" localSheetId="6">'[4]Discounts - lb'!$A$1:$IV$15</definedName>
    <definedName name="Lb_Dsc_IE_Cur_Disct" localSheetId="6">'[4]Discounts - lb'!$A$68:$IV$75</definedName>
    <definedName name="Lb_Dsc_IE_Hdr" localSheetId="6">'[4]Discounts - lb'!$A$60:$IV$62</definedName>
    <definedName name="Lb_Dsc_IE_Min_Hdr" localSheetId="6">'[4]Discounts - lb'!$A$63:$IV$64</definedName>
    <definedName name="Lb_Dsc_IE_Min_IE" localSheetId="6">'[4]Discounts - lb'!$A$65:$IV$65</definedName>
    <definedName name="Lb_Dsc_IE_Min_IEF" localSheetId="6">'[4]Discounts - lb'!$A$66:$IV$67</definedName>
    <definedName name="Lb_Dsc_IE_Pct_Disct" localSheetId="6">'[4]Discounts - lb'!$A$76:$IV$92</definedName>
    <definedName name="Lb_Dsc_IEF_Pct_Disct" localSheetId="6">'[4]Discounts - lb'!$A$93:$IV$99</definedName>
    <definedName name="Lb_Dsc_IEF8" localSheetId="6">'[4]Discounts - lb'!$A$94:$IV$94</definedName>
    <definedName name="Lb_Dsc_IP_Cur_Disct" localSheetId="6">'[4]Discounts - lb'!$A$25:$IV$31</definedName>
    <definedName name="Lb_Dsc_IP_Hdr" localSheetId="6">'[4]Discounts - lb'!$A$16:$IV$17</definedName>
    <definedName name="Lb_Dsc_IP_Min_Hdr" localSheetId="6">'[4]Discounts - lb'!$A$18:$IV$19</definedName>
    <definedName name="Lb_Dsc_IP_Min_IP" localSheetId="6">'[4]Discounts - lb'!$A$20:$IV$22</definedName>
    <definedName name="Lb_Dsc_IP_Min_IPF" localSheetId="6">'[4]Discounts - lb'!$A$23:$IV$24</definedName>
    <definedName name="Lb_Dsc_IP_Pct_Disct" localSheetId="6">'[4]Discounts - lb'!$A$32:$IV$50</definedName>
    <definedName name="Lb_Dsc_IPF_Pct_Disct" localSheetId="6">'[4]Discounts - lb'!$A$51:$IV$59</definedName>
    <definedName name="Lb_Dsc_IPF8" localSheetId="6">'[4]Discounts - lb'!$A$52:$IV$52</definedName>
    <definedName name="Lb_Dsc_Origin_Cntry" localSheetId="6">'[4]Discounts - lb'!$B$7:$AA$7</definedName>
    <definedName name="Lb_Incr_Shp_IE" localSheetId="6">'[4]Shipments - lb'!$A$162</definedName>
    <definedName name="Lb_Incr_Shp_IEF" localSheetId="6">'[4]Shipments - lb'!$A$163</definedName>
    <definedName name="Lb_Incr_Shp_IP" localSheetId="6">'[4]Shipments - lb'!$A$160</definedName>
    <definedName name="Lb_Incr_Shp_IPF" localSheetId="6">'[4]Shipments - lb'!$A$161</definedName>
    <definedName name="Lb_Rng_Cur_Disct_IE" localSheetId="6">'[4]Discounts - lb'!$B$72:$AA$74</definedName>
    <definedName name="Lb_Rng_Cur_Disct_IP" localSheetId="6">'[4]Discounts - lb'!$B$26:$AA$30</definedName>
    <definedName name="Lb_Rng_Disct_IE" localSheetId="6">'[4]Discounts - lb'!$B$78:$AA$84</definedName>
    <definedName name="Lb_Rng_Disct_IEF" localSheetId="6">'[4]Discounts - lb'!$B$94:$AA$98</definedName>
    <definedName name="Lb_Rng_Disct_IEHW" localSheetId="6">'[4]Discounts - lb'!$B$87:$AA$91</definedName>
    <definedName name="Lb_Rng_Disct_IP" localSheetId="6">'[4]Discounts - lb'!$B$34:$AA$42</definedName>
    <definedName name="Lb_Rng_Disct_IPF" localSheetId="6">'[4]Discounts - lb'!$B$52:$AA$56</definedName>
    <definedName name="Lb_Rng_Disct_IPHW" localSheetId="6">'[4]Discounts - lb'!$B$45:$AA$49</definedName>
    <definedName name="Lb_Rng_Disct_Min_IE" localSheetId="6">'[4]Discounts - lb'!$B$65:$AA$66</definedName>
    <definedName name="Lb_Rng_Disct_Min_IP" localSheetId="6">'[4]Discounts - lb'!$B$20:$AA$23</definedName>
    <definedName name="Lb_Rng_Shpmts_APPS_IE" localSheetId="6">'[4]Shipments - lb'!$C$119:$AB$129</definedName>
    <definedName name="Lb_Rng_Shpmts_APPS_IEF" localSheetId="6">'[4]Shipments - lb'!$C$131:$AB$135</definedName>
    <definedName name="Lb_Rng_Shpmts_APPS_IP" localSheetId="6">'[4]Shipments - lb'!$C$53:$AB$63</definedName>
    <definedName name="Lb_Rng_Shpmts_APPS_IPF" localSheetId="6">'[4]Shipments - lb'!$C$65:$AB$69</definedName>
    <definedName name="Lb_Rng_Shpmts_AWPS_IE" localSheetId="6">'[4]Shipments - lb'!$C$99:$AB$109</definedName>
    <definedName name="Lb_Rng_Shpmts_AWPS_IEF" localSheetId="6">'[4]Shipments - lb'!$C$111:$AB$115</definedName>
    <definedName name="Lb_Rng_Shpmts_AWPS_IP" localSheetId="6">'[4]Shipments - lb'!$C$34:$AB$44</definedName>
    <definedName name="Lb_Rng_Shpmts_AWPS_IPF" localSheetId="6">'[4]Shipments - lb'!$C$46:$AB$50</definedName>
    <definedName name="Lb_Rng_Shpmts_Incr_IE" localSheetId="6">'[4]Shipments - lb'!$C$75:$AB$86</definedName>
    <definedName name="Lb_Rng_Shpmts_Incr_IEF" localSheetId="6">'[4]Shipments - lb'!$C$88:$AB$92</definedName>
    <definedName name="Lb_Rng_Shpmts_Incr_IP" localSheetId="6">'[4]Shipments - lb'!$C$10:$AB$23</definedName>
    <definedName name="Lb_Rng_Shpmts_Incr_IPF" localSheetId="6">'[4]Shipments - lb'!$C$25:$AB$29</definedName>
    <definedName name="Lb_Shp_Cntry" localSheetId="6">'[4]Shipments - lb'!$A$1:$IV$8</definedName>
    <definedName name="Lb_Shp_IE_APPS" localSheetId="6">'[4]Shipments - lb'!$A$117:$IV$129</definedName>
    <definedName name="Lb_Shp_IE_AWPS" localSheetId="6">'[4]Shipments - lb'!$A$97:$IV$109</definedName>
    <definedName name="Lb_Shp_IE_Incr" localSheetId="6">'[4]Shipments - lb'!$A$72:$IV$86</definedName>
    <definedName name="Lb_Shp_IE_Tot" localSheetId="6">'[4]Shipments - lb'!$A$93:$IV$96</definedName>
    <definedName name="Lb_Shp_IEF_APPS" localSheetId="6">'[4]Shipments - lb'!$A$130:$IV$136</definedName>
    <definedName name="Lb_Shp_IEF_APPS_Hdr" localSheetId="6">'[4]Shipments - lb'!$A$117:$IV$118</definedName>
    <definedName name="Lb_Shp_IEF_AWPS" localSheetId="6">'[4]Shipments - lb'!$A$110:$IV$116</definedName>
    <definedName name="Lb_Shp_IEF_AWPS_Hdr" localSheetId="6">'[4]Shipments - lb'!$A$97:$IV$98</definedName>
    <definedName name="Lb_Shp_IEF_Incr" localSheetId="6">'[4]Shipments - lb'!$A$87:$IV$92</definedName>
    <definedName name="Lb_Shp_IEF_Incr_Hdr" localSheetId="6">'[4]Shipments - lb'!$A$72:$IV$73</definedName>
    <definedName name="Lb_Shp_IEF8_APPS" localSheetId="6">'[4]Shipments - lb'!$A$131:$IV$131</definedName>
    <definedName name="Lb_Shp_IEF8_AWPS" localSheetId="6">'[4]Shipments - lb'!$A$111:$IV$111</definedName>
    <definedName name="Lb_Shp_IEF8_Incr" localSheetId="6">'[4]Shipments - lb'!$A$88:$IV$88</definedName>
    <definedName name="Lb_Shp_IP_APPS" localSheetId="6">'[4]Shipments - lb'!$A$51:$IV$63</definedName>
    <definedName name="Lb_Shp_IP_AWPS" localSheetId="6">'[4]Shipments - lb'!$A$33:$IV$44</definedName>
    <definedName name="Lb_Shp_IP_Incr" localSheetId="6">'[4]Shipments - lb'!$A$9:$IV$23</definedName>
    <definedName name="Lb_Shp_IP_Tot" localSheetId="6">'[4]Shipments - lb'!$A$30:$IV$32</definedName>
    <definedName name="Lb_Shp_IPF_APPS" localSheetId="6">'[4]Shipments - lb'!$A$64:$IV$71</definedName>
    <definedName name="Lb_Shp_IPF_APPS_Hdr" localSheetId="6">'[4]Shipments - lb'!$A$51:$IV$52</definedName>
    <definedName name="Lb_Shp_IPF_AWPS" localSheetId="6">'[4]Shipments - lb'!$A$45:$IV$50</definedName>
    <definedName name="Lb_Shp_IPF_AWPS_Hdr" localSheetId="6">'[4]Shipments - lb'!$A$33:$IV$33</definedName>
    <definedName name="Lb_Shp_IPF_Incr" localSheetId="6">'[4]Shipments - lb'!$A$24:$IV$29</definedName>
    <definedName name="Lb_Shp_IPF_Incr_Hdr" localSheetId="6">'[4]Shipments - lb'!$A$9:$IV$9</definedName>
    <definedName name="Lb_Shp_IPF8_APPS" localSheetId="6">'[4]Shipments - lb'!$A$65:$IV$65</definedName>
    <definedName name="Lb_Shp_IPF8_AWPS" localSheetId="6">'[4]Shipments - lb'!$A$46:$IV$46</definedName>
    <definedName name="Lb_Shp_IPF8_Incr" localSheetId="6">'[4]Shipments - lb'!$A$25:$IV$25</definedName>
    <definedName name="Lb_Shp_Origin_Cntry" localSheetId="6">'[4]Shipments - lb'!$C$6:$AB$6</definedName>
    <definedName name="Lb_Shpmt_Cntry" localSheetId="6">'[4]Shipments - lb'!$AD$140</definedName>
    <definedName name="Lb_Shpmt_Disct" localSheetId="6">'[4]Discounts - lb'!$A$200</definedName>
    <definedName name="Lb_Shpmts" localSheetId="6">'[4]Shipments - lb'!$A$9:$IV$135</definedName>
    <definedName name="Lb_Shpmts_AWPS_Reset" localSheetId="6">'[4]Shipments - lb'!$A$500</definedName>
    <definedName name="Lb_Shpmts_AWPS_Reset1" localSheetId="6">'[4]Shipments - lb'!$A$501</definedName>
    <definedName name="LocalAccts" localSheetId="6">[4]TempVariables!$F$2</definedName>
    <definedName name="Locations" localSheetId="6">[4]Request!$C$124</definedName>
    <definedName name="LOOKUP" localSheetId="6">#REF!</definedName>
    <definedName name="Major_Origin_Cities" localSheetId="6">[4]Request!$E$124</definedName>
    <definedName name="MBG" localSheetId="6">[4]Request!$G$42</definedName>
    <definedName name="MBG_NotReq" localSheetId="6">[4]Request!$P$44</definedName>
    <definedName name="MBG_Option" localSheetId="6">[4]Request!$M$44</definedName>
    <definedName name="MBG_Req" localSheetId="6">[4]Request!$Q$44</definedName>
    <definedName name="MINTABLE" localSheetId="6">[11]SURCHARGES!$H$9:$U$15</definedName>
    <definedName name="ModelDate" localSheetId="6">[4]Request!$K$1</definedName>
    <definedName name="NatlAccts" localSheetId="6">[4]TempVariables!$A$2</definedName>
    <definedName name="NDAAll" localSheetId="6">'[11]Customer Info'!$V$9</definedName>
    <definedName name="Old_Payor_No" localSheetId="6">[4]Request!$E$56</definedName>
    <definedName name="Old_Shipper_No" localSheetId="6">[4]Request!$E$54</definedName>
    <definedName name="Op_Months" localSheetId="6">'[4]Shipments - current'!$B$1</definedName>
    <definedName name="Op_Scenario" localSheetId="6">[4]Request!$P$74</definedName>
    <definedName name="OpQ" localSheetId="6">[4]Request!$L$74</definedName>
    <definedName name="OptionType" localSheetId="6">[7]control!$F$27:$F$29</definedName>
    <definedName name="Orig_Region_1" localSheetId="6">[4]Request!$A$125</definedName>
    <definedName name="Orig_Region_10" localSheetId="6">[4]Request!$A$134</definedName>
    <definedName name="Orig_Region_11" localSheetId="6">[4]Request!$A$135</definedName>
    <definedName name="Orig_Region_12" localSheetId="6">[4]Request!$A$136</definedName>
    <definedName name="Orig_Region_13" localSheetId="6">[4]Request!$A$137</definedName>
    <definedName name="Orig_Region_14" localSheetId="6">[4]Request!$A$138</definedName>
    <definedName name="Orig_Region_15" localSheetId="6">[4]Request!$A$139</definedName>
    <definedName name="Orig_Region_16" localSheetId="6">[4]Request!$A$140</definedName>
    <definedName name="Orig_Region_17" localSheetId="6">[4]Request!$A$141</definedName>
    <definedName name="Orig_Region_18" localSheetId="6">[4]Request!$A$142</definedName>
    <definedName name="Orig_Region_19" localSheetId="6">[4]Request!$A$143</definedName>
    <definedName name="Orig_Region_2" localSheetId="6">[4]Request!$A$126</definedName>
    <definedName name="Orig_Region_20" localSheetId="6">[4]Request!$A$144</definedName>
    <definedName name="Orig_Region_21" localSheetId="6">[4]Request!$A$145</definedName>
    <definedName name="Orig_Region_22" localSheetId="6">[4]Request!$A$146</definedName>
    <definedName name="Orig_Region_23" localSheetId="6">[4]Request!$A$147</definedName>
    <definedName name="Orig_Region_24" localSheetId="6">[4]Request!$A$148</definedName>
    <definedName name="Orig_Region_25" localSheetId="6">[4]Request!$A$149</definedName>
    <definedName name="Orig_Region_26" localSheetId="6">[4]Request!$A$150</definedName>
    <definedName name="Orig_Region_3" localSheetId="6">[4]Request!$A$127</definedName>
    <definedName name="Orig_Region_4" localSheetId="6">[4]Request!$A$128</definedName>
    <definedName name="Orig_Region_5" localSheetId="6">[4]Request!$A$129</definedName>
    <definedName name="Orig_Region_6" localSheetId="6">[4]Request!$A$130</definedName>
    <definedName name="Orig_Region_7" localSheetId="6">[4]Request!$A$131</definedName>
    <definedName name="Orig_Region_8" localSheetId="6">[4]Request!$A$132</definedName>
    <definedName name="Orig_Region_9" localSheetId="6">[4]Request!$A$133</definedName>
    <definedName name="Orig1" localSheetId="6">[4]Request!$L$125</definedName>
    <definedName name="Orig10" localSheetId="6">[4]Request!$L$134</definedName>
    <definedName name="Orig11" localSheetId="6">[4]Request!$L$135</definedName>
    <definedName name="Orig12" localSheetId="6">[4]Request!$L$136</definedName>
    <definedName name="Orig13" localSheetId="6">[4]Request!$L$137</definedName>
    <definedName name="Orig14" localSheetId="6">[4]Request!$L$138</definedName>
    <definedName name="Orig15" localSheetId="6">[4]Request!$L$139</definedName>
    <definedName name="Orig16" localSheetId="6">[4]Request!$L$140</definedName>
    <definedName name="Orig17" localSheetId="6">[4]Request!$L$141</definedName>
    <definedName name="Orig18" localSheetId="6">[4]Request!$L$142</definedName>
    <definedName name="Orig19" localSheetId="6">[4]Request!$L$143</definedName>
    <definedName name="Orig2" localSheetId="6">[4]Request!$L$126</definedName>
    <definedName name="Orig20" localSheetId="6">[4]Request!$L$144</definedName>
    <definedName name="Orig21" localSheetId="6">[4]Request!$L$145</definedName>
    <definedName name="Orig22" localSheetId="6">[4]Request!$L$146</definedName>
    <definedName name="Orig23" localSheetId="6">[4]Request!$L$147</definedName>
    <definedName name="Orig24" localSheetId="6">[4]Request!$L$148</definedName>
    <definedName name="Orig25" localSheetId="6">[4]Request!$L$149</definedName>
    <definedName name="Orig26" localSheetId="6">[4]Request!$L$150</definedName>
    <definedName name="Orig3" localSheetId="6">[4]Request!$L$127</definedName>
    <definedName name="Orig4" localSheetId="6">[4]Request!$L$128</definedName>
    <definedName name="Orig5" localSheetId="6">[4]Request!$L$129</definedName>
    <definedName name="Orig6" localSheetId="6">[4]Request!$L$130</definedName>
    <definedName name="Orig7" localSheetId="6">[4]Request!$L$131</definedName>
    <definedName name="Orig8" localSheetId="6">[4]Request!$L$132</definedName>
    <definedName name="Orig9" localSheetId="6">[4]Request!$L$133</definedName>
    <definedName name="Origin" localSheetId="6">[4]Request!$B$124</definedName>
    <definedName name="Origin_Countries" localSheetId="6">[4]Request!$L$125:$L$150</definedName>
    <definedName name="Origin_Country_Code" localSheetId="6">[4]Countries!$G$4:$H$224</definedName>
    <definedName name="Origin_Country_Name_Code" localSheetId="6">[4]Countries!$B$4:$C$224</definedName>
    <definedName name="Origin_Scenario" localSheetId="6">[4]Request!$E$76</definedName>
    <definedName name="parcels" localSheetId="6">#REF!</definedName>
    <definedName name="Password" localSheetId="6">[4]TempVariables!$O$3</definedName>
    <definedName name="Payor_Acct1" localSheetId="6">[4]Request!$I$23</definedName>
    <definedName name="Payor_Acct2" localSheetId="6">[4]Request!$I$25</definedName>
    <definedName name="Payor_Acct3" localSheetId="6">[4]Request!$I$27</definedName>
    <definedName name="Payor_Country" localSheetId="6">[4]Request!$M$19</definedName>
    <definedName name="Payor_Table" localSheetId="6">[4]Countries!$HI$4:$HR$101</definedName>
    <definedName name="PayorRgn" localSheetId="6">[4]Request!$P$15</definedName>
    <definedName name="PNH" localSheetId="6">#REF!</definedName>
    <definedName name="Pricing_Requested" localSheetId="6">[4]Request!$A$33</definedName>
    <definedName name="Product" localSheetId="6">[7]control!$N$27:$N$38</definedName>
    <definedName name="Provinces_Cities" localSheetId="6">[4]Request!$E$125:$E$150</definedName>
    <definedName name="Range1" localSheetId="6">#REF!</definedName>
    <definedName name="Region" localSheetId="6">[4]Request!$O$16</definedName>
    <definedName name="Region_Rev" localSheetId="6">[4]Request!$E$112:$E$116</definedName>
    <definedName name="RO" localSheetId="6">#REF!</definedName>
    <definedName name="road" localSheetId="6">#REF!</definedName>
    <definedName name="RTH" localSheetId="6">#REF!</definedName>
    <definedName name="Sales_AE" localSheetId="6">[4]Request!$B$21</definedName>
    <definedName name="Sales_Manager" localSheetId="6">[4]Request!$B$19</definedName>
    <definedName name="SDAALL" localSheetId="6">'[11]Customer Info'!$V$15</definedName>
    <definedName name="Service_IE" localSheetId="6">[4]Request!$R$46</definedName>
    <definedName name="Service_IE_IEF" localSheetId="6">[4]Request!$R$47</definedName>
    <definedName name="Service_IEF" localSheetId="6">[4]Request!$S$46</definedName>
    <definedName name="Service_IP" localSheetId="6">[4]Request!$P$46</definedName>
    <definedName name="Service_IP_IPF" localSheetId="6">[4]Request!$P$47</definedName>
    <definedName name="Service_IPF" localSheetId="6">[4]Request!$Q$46</definedName>
    <definedName name="Service_Type" localSheetId="6">[4]Request!$L$48</definedName>
    <definedName name="Services_Requested" localSheetId="6">[4]Request!$A$42</definedName>
    <definedName name="Ship_Locations" localSheetId="6">[4]Request!$M$125:$M$150</definedName>
    <definedName name="Ship_Tender" localSheetId="6">[4]Request!$E$68</definedName>
    <definedName name="Show9DigitAccts" localSheetId="6">[4]TempVariables!$J$3</definedName>
    <definedName name="SlsChan" localSheetId="6">[7]control!$B$27:$B$28</definedName>
    <definedName name="Spec_Op" localSheetId="6">[4]Request!$A$72</definedName>
    <definedName name="StartMonth" localSheetId="6">[4]TempVariables!$G$3</definedName>
    <definedName name="Strategy" localSheetId="6">[4]Request!$A$108</definedName>
    <definedName name="SurchargeType" localSheetId="6">[7]control!$I$27:$I$32</definedName>
    <definedName name="TABLE" localSheetId="6">#REF!</definedName>
    <definedName name="TempVariables" localSheetId="6">[4]TempVariables!$A$1</definedName>
    <definedName name="Tier" localSheetId="6">'[12]Portfolio Discount'!#REF!</definedName>
    <definedName name="Tot_Annual_Rev" localSheetId="6">[4]Request!$E$117</definedName>
    <definedName name="USAcctsOnly" localSheetId="6">[4]TempVariables!$I$3</definedName>
    <definedName name="UserID" localSheetId="6">[4]TempVariables!$N$3</definedName>
    <definedName name="Value_2K" localSheetId="6">[4]Request!$E$88</definedName>
    <definedName name="values" localSheetId="6">[4]Request!$L$16:$O$150</definedName>
    <definedName name="WtMetric" localSheetId="6">[4]Request!$B$25</definedName>
    <definedName name="YN" localSheetId="6">[7]control!$P$27:$P$28</definedName>
    <definedName name="zone" localSheetId="6">#REF!</definedName>
    <definedName name="ZonedOut" localSheetId="6">[7]rates_input!$R$5:$Z$8</definedName>
    <definedName name="ZonedOut1" localSheetId="6">[7]rates_input!$I$6:$Z$8</definedName>
    <definedName name="ZonedOut2" localSheetId="6">[7]rates_input!$I$7:$Z$8</definedName>
    <definedName name="ZONELU" localSheetId="6">[11]SURCHARGES!$B$9:$D$59</definedName>
    <definedName name="Zones" localSheetId="6">#REF!,#REF!,#REF!,#REF!</definedName>
    <definedName name="Zones_New" localSheetId="6">[7]zones_input!$B$1:$G$65536</definedName>
    <definedName name="_Fill" localSheetId="7" hidden="1">[2]Express!#REF!</definedName>
    <definedName name="_Key1" localSheetId="7" hidden="1">#REF!</definedName>
    <definedName name="_Loc1" localSheetId="7">[3]Request!$M$125</definedName>
    <definedName name="_Loc10" localSheetId="7">[4]Request!$M$134</definedName>
    <definedName name="_Loc11" localSheetId="7">[4]Request!$M$135</definedName>
    <definedName name="_Loc12" localSheetId="7">[4]Request!$M$136</definedName>
    <definedName name="_Loc13" localSheetId="7">[4]Request!$M$137</definedName>
    <definedName name="_Loc14" localSheetId="7">[4]Request!$M$138</definedName>
    <definedName name="_Loc15" localSheetId="7">[4]Request!$M$139</definedName>
    <definedName name="_Loc16" localSheetId="7">[4]Request!$M$140</definedName>
    <definedName name="_Loc17" localSheetId="7">[4]Request!$M$141</definedName>
    <definedName name="_Loc18" localSheetId="7">[4]Request!$M$142</definedName>
    <definedName name="_Loc19" localSheetId="7">[4]Request!$M$143</definedName>
    <definedName name="_Loc2" localSheetId="7">[4]Request!$M$126</definedName>
    <definedName name="_Loc20" localSheetId="7">[4]Request!$M$144</definedName>
    <definedName name="_Loc21" localSheetId="7">[4]Request!$M$145</definedName>
    <definedName name="_Loc22" localSheetId="7">[4]Request!$M$146</definedName>
    <definedName name="_Loc23" localSheetId="7">[4]Request!$M$147</definedName>
    <definedName name="_Loc24" localSheetId="7">[4]Request!$M$148</definedName>
    <definedName name="_Loc25" localSheetId="7">[4]Request!$M$149</definedName>
    <definedName name="_Loc26" localSheetId="7">[4]Request!$M$150</definedName>
    <definedName name="_Loc3" localSheetId="7">[4]Request!$M$127</definedName>
    <definedName name="_Loc4" localSheetId="7">[4]Request!$M$128</definedName>
    <definedName name="_Loc5" localSheetId="7">[4]Request!$M$129</definedName>
    <definedName name="_Loc6" localSheetId="7">[4]Request!$M$130</definedName>
    <definedName name="_Loc7" localSheetId="7">[4]Request!$M$131</definedName>
    <definedName name="_Loc8" localSheetId="7">[4]Request!$M$132</definedName>
    <definedName name="_Loc9" localSheetId="7">[4]Request!$M$133</definedName>
    <definedName name="_Sort" localSheetId="7" hidden="1">[1]Express!#REF!</definedName>
    <definedName name="a" localSheetId="7" hidden="1">[1]Express!#REF!</definedName>
    <definedName name="Account" localSheetId="7">[4]Request!$B$17</definedName>
    <definedName name="Acct_number" localSheetId="7">[5]Summary!$E$2</definedName>
    <definedName name="AFD" localSheetId="7">#REF!</definedName>
    <definedName name="Agent" localSheetId="7">[4]Request!$A$60</definedName>
    <definedName name="Agent_Comm" localSheetId="7">[4]Request!$E$64</definedName>
    <definedName name="Agent_Delivery" localSheetId="7">[4]Request!$O$62</definedName>
    <definedName name="Agent_Involved" localSheetId="7">[4]Request!$P$62</definedName>
    <definedName name="Agent_Pickup" localSheetId="7">[4]Request!$N$62</definedName>
    <definedName name="Agent_Services" localSheetId="7">[4]Request!$E$66</definedName>
    <definedName name="AgentQ" localSheetId="7">[4]Request!$L$62</definedName>
    <definedName name="AllDiscountArea" localSheetId="7">[6]Discounts!$D$15:$Q$16,[6]Discounts!$S$15:$T$16,[6]Discounts!$D$22:$M$22,[6]Discounts!$O$22:$P$22,[6]Discounts!$T$22:$T$22,[6]Discounts!$D$29:$D$30,[6]Discounts!$F$29:$Q$30,[6]Discounts!$T$29:$T$30,[6]Discounts!$D$36:$D$36,[6]Discounts!$F$36:$M$36,[6]Discounts!$O$36:$P$36,[6]Discounts!$T$36:$T$36</definedName>
    <definedName name="Alph_countries" localSheetId="7">[7]zones_input!$A$2:$A$214</definedName>
    <definedName name="anakg" localSheetId="7">'[4]Shipments - kg current'!$D$1</definedName>
    <definedName name="analb" localSheetId="7">'[4]Shipments - lb current'!$D$1</definedName>
    <definedName name="ApDsctKgADNR" localSheetId="7">#REF!</definedName>
    <definedName name="ApDsctKgComm" localSheetId="7">#REF!</definedName>
    <definedName name="ApDsctKgH1" localSheetId="7">#REF!</definedName>
    <definedName name="ApDsctKgH2" localSheetId="7">#REF!</definedName>
    <definedName name="ApDsctKgIEAppCurDisct" localSheetId="7">#REF!</definedName>
    <definedName name="ApDsctKgIEAppMin" localSheetId="7">#REF!</definedName>
    <definedName name="ApDsctKgIEReqCurDisct" localSheetId="7">#REF!</definedName>
    <definedName name="ApDsctKgIEReqMin" localSheetId="7">#REF!</definedName>
    <definedName name="ApDsctKgIERestore" localSheetId="7">#REF!</definedName>
    <definedName name="ApDsctKgIPAppCurDisct" localSheetId="7">#REF!</definedName>
    <definedName name="ApDsctKgIPAppMin" localSheetId="7">#REF!</definedName>
    <definedName name="ApDsctKgIPReqCurDisct" localSheetId="7">#REF!</definedName>
    <definedName name="ApDsctKgIPReqMin" localSheetId="7">#REF!</definedName>
    <definedName name="ApDsctKgIPRestore" localSheetId="7">#REF!</definedName>
    <definedName name="ApDsctKgLR" localSheetId="7">#REF!</definedName>
    <definedName name="ApDsctKgLR1" localSheetId="7">#REF!</definedName>
    <definedName name="ApDsctKgQ1" localSheetId="7">#REF!</definedName>
    <definedName name="ApDsctKgQ10" localSheetId="7">#REF!</definedName>
    <definedName name="ApDsctKgQ2" localSheetId="7">#REF!</definedName>
    <definedName name="ApDsctKgQ3" localSheetId="7">#REF!</definedName>
    <definedName name="ApDsctKgQ4" localSheetId="7">#REF!</definedName>
    <definedName name="ApDsctKgQ5" localSheetId="7">#REF!</definedName>
    <definedName name="ApDsctKgQ6" localSheetId="7">#REF!</definedName>
    <definedName name="ApDsctKgQ7" localSheetId="7">#REF!</definedName>
    <definedName name="ApDsctKgQ8" localSheetId="7">#REF!</definedName>
    <definedName name="ApDsctKgQ9" localSheetId="7">#REF!</definedName>
    <definedName name="ApDsctKgRMIE" localSheetId="7">#REF!</definedName>
    <definedName name="ApDsctKgRMIP" localSheetId="7">#REF!</definedName>
    <definedName name="ApDsctKgSIE" localSheetId="7">#REF!</definedName>
    <definedName name="ApDsctKgSIP" localSheetId="7">#REF!</definedName>
    <definedName name="ApDsctLbADNR" localSheetId="7">'[4]Approved Discts-lb'!$F$7:$AE$7</definedName>
    <definedName name="ApDsctLbComm" localSheetId="7">'[4]Approved Discts-lb'!$F$159</definedName>
    <definedName name="ApDsctLbH1" localSheetId="7">'[4]Approved Discts-lb'!$F$3:$H$4</definedName>
    <definedName name="ApDsctLbH2" localSheetId="7">'[4]Approved Discts-lb'!$Z$3:$Z$4</definedName>
    <definedName name="ApDsctLbIEAppCurDisct" localSheetId="7">'[4]Approved Discts-lb'!$A$111:$AE$114</definedName>
    <definedName name="ApDsctLbIEAppMin" localSheetId="7">'[4]Approved Discts-lb'!$A$108:$AE$110</definedName>
    <definedName name="ApDsctLbIEReqCurDisct" localSheetId="7">'[4]Approved Discts-lb'!$A$85:$AE$88</definedName>
    <definedName name="ApDsctLbIEReqMin" localSheetId="7">'[4]Approved Discts-lb'!$B$82:$AE$84</definedName>
    <definedName name="ApDsctLbIERestore" localSheetId="7">'[4]Approved Discts-lb'!$F$364:$AE$387</definedName>
    <definedName name="ApDsctLbIPAppCurDisct" localSheetId="7">'[4]Approved Discts-lb'!$A$50:$AE$55</definedName>
    <definedName name="ApDsctLbIPAppMin" localSheetId="7">'[4]Approved Discts-lb'!$A$45:$AE$49</definedName>
    <definedName name="ApDsctLbIPReqCurDisct" localSheetId="7">'[4]Approved Discts-lb'!$A$18:$AE$23</definedName>
    <definedName name="ApDsctLbIPReqMin" localSheetId="7">'[4]Approved Discts-lb'!$A$13:$AE$17</definedName>
    <definedName name="ApDsctLbIPRestore" localSheetId="7">'[4]Approved Discts-lb'!$F$326:$AE$355</definedName>
    <definedName name="ApDsctLbLR" localSheetId="7">'[4]Approved Discts-lb'!$F$11:$AE$11</definedName>
    <definedName name="ApDsctLbLR1" localSheetId="7">'[4]Approved Discts-lb'!$F$81:$AE$81</definedName>
    <definedName name="ApDsctLbQ1" localSheetId="7">'[4]Approved Discts-lb'!$AG$134</definedName>
    <definedName name="ApDsctLbQ10" localSheetId="7">'[4]Approved Discts-lb'!$AG$154</definedName>
    <definedName name="ApDsctLbQ2" localSheetId="7">'[4]Approved Discts-lb'!$AG$136</definedName>
    <definedName name="ApDsctLbQ3" localSheetId="7">'[4]Approved Discts-lb'!$AG$138</definedName>
    <definedName name="ApDsctLbQ4" localSheetId="7">'[4]Approved Discts-lb'!$AG$141</definedName>
    <definedName name="ApDsctLbQ5" localSheetId="7">'[4]Approved Discts-lb'!$AG$143</definedName>
    <definedName name="ApDsctLbQ6" localSheetId="7">'[4]Approved Discts-lb'!$AG$145</definedName>
    <definedName name="ApDsctLbQ7" localSheetId="7">'[4]Approved Discts-lb'!$AG$147</definedName>
    <definedName name="ApDsctLbQ8" localSheetId="7">'[4]Approved Discts-lb'!$AG$149</definedName>
    <definedName name="ApDsctLbQ9" localSheetId="7">'[4]Approved Discts-lb'!$AG$151</definedName>
    <definedName name="ApDsctLbRMIE" localSheetId="7">'[4]Approved Discts-lb'!$F$109:$AE$132</definedName>
    <definedName name="ApDsctLbRMIP" localSheetId="7">'[4]Approved Discts-lb'!$F$46:$AE$75</definedName>
    <definedName name="ApDsctLbSIE" localSheetId="7">'[4]Approved Discts-lb'!$F$83:$AE$106</definedName>
    <definedName name="ApDsctLbSIP" localSheetId="7">'[4]Approved Discts-lb'!$F$14:$AE$43</definedName>
    <definedName name="Approval" localSheetId="7">[4]Request!$P$16</definedName>
    <definedName name="Bill_3P" localSheetId="7">[4]Request!$M$29</definedName>
    <definedName name="Bill_Consignee" localSheetId="7">[4]Request!$L$29</definedName>
    <definedName name="Billing_Option" localSheetId="7">[4]Request!$A$29</definedName>
    <definedName name="Business_Type" localSheetId="7">[4]Request!$G$31</definedName>
    <definedName name="BWE" localSheetId="7">[4]TempVariables!$K$3</definedName>
    <definedName name="Chk_Origin_Cntry" localSheetId="7">[4]Request!$L$151</definedName>
    <definedName name="Chk_Provinces_Cities" localSheetId="7">[4]Request!$S$151</definedName>
    <definedName name="Chk_Ship_Loc" localSheetId="7">[4]Request!$R$151</definedName>
    <definedName name="Clearance_Reqd" localSheetId="7">[4]Request!$A$82</definedName>
    <definedName name="Commodity1" localSheetId="7">[4]Request!$I$48</definedName>
    <definedName name="Commodity2" localSheetId="7">[4]Request!$I$49</definedName>
    <definedName name="Competitor" localSheetId="7">[4]Request!$I$54</definedName>
    <definedName name="CONTDE" localSheetId="7">#REF!</definedName>
    <definedName name="CONTFD" localSheetId="7">#REF!</definedName>
    <definedName name="CONTFE" localSheetId="7">#REF!</definedName>
    <definedName name="CONTPD" localSheetId="7">#REF!</definedName>
    <definedName name="CONTPE" localSheetId="7">#REF!</definedName>
    <definedName name="countries" localSheetId="7">[7]zones_input!$A$2:$C$202</definedName>
    <definedName name="country_selection" localSheetId="7">[7]control!$S$4:$S$5</definedName>
    <definedName name="CSource" localSheetId="7">[7]control!$D$27:$D$29</definedName>
    <definedName name="Cur_Disct" localSheetId="7">[4]Request!$P$19</definedName>
    <definedName name="Curr_and_Incr" localSheetId="7">[4]Request!$R$32</definedName>
    <definedName name="Curr_Incr" localSheetId="7">[4]Request!$M$32</definedName>
    <definedName name="Current" localSheetId="7">'[4]Shipments - current'!$E$4:$Z$65536</definedName>
    <definedName name="Current_Only" localSheetId="7">[4]Request!$P$32</definedName>
    <definedName name="CurrentDetail" localSheetId="7">'[4]Shipments - current'!$A$3</definedName>
    <definedName name="CurrentDetailEnd" localSheetId="7">'[4]Shipments - current'!$AH$3</definedName>
    <definedName name="Cust_Clear" localSheetId="7">[4]Request!$P$84</definedName>
    <definedName name="CustClearQ" localSheetId="7">[4]Request!$L$84</definedName>
    <definedName name="Customer" localSheetId="7">[8]Summary!$B$1</definedName>
    <definedName name="Date1" localSheetId="7">[4]Request!$P$17</definedName>
    <definedName name="Date2" localSheetId="7">[4]Request!$Q$17</definedName>
    <definedName name="Declared_Value" localSheetId="7">[4]Request!$E$89</definedName>
    <definedName name="Dest_Countries" localSheetId="7">[4]Request!$N$125:$N$150</definedName>
    <definedName name="Dest_Country_Copy" localSheetId="7">[4]Request!$R$19</definedName>
    <definedName name="Dest_Scenario" localSheetId="7">[4]Request!$E$78</definedName>
    <definedName name="Dest1" localSheetId="7">[4]Request!$N$125</definedName>
    <definedName name="Dest10" localSheetId="7">[4]Request!$N$134</definedName>
    <definedName name="Dest11" localSheetId="7">[4]Request!$N$135</definedName>
    <definedName name="Dest12" localSheetId="7">[4]Request!$N$136</definedName>
    <definedName name="Dest13" localSheetId="7">[4]Request!$N$137</definedName>
    <definedName name="Dest14" localSheetId="7">[4]Request!$N$138</definedName>
    <definedName name="Dest15" localSheetId="7">[4]Request!$N$139</definedName>
    <definedName name="Dest16" localSheetId="7">[4]Request!$N$140</definedName>
    <definedName name="Dest17" localSheetId="7">[4]Request!$N$141</definedName>
    <definedName name="Dest18" localSheetId="7">[4]Request!$N$142</definedName>
    <definedName name="Dest19" localSheetId="7">[4]Request!$N$143</definedName>
    <definedName name="Dest2" localSheetId="7">[4]Request!$N$126</definedName>
    <definedName name="Dest20" localSheetId="7">[4]Request!$N$144</definedName>
    <definedName name="Dest21" localSheetId="7">[4]Request!$N$145</definedName>
    <definedName name="Dest22" localSheetId="7">[4]Request!$N$146</definedName>
    <definedName name="Dest23" localSheetId="7">[4]Request!$N$147</definedName>
    <definedName name="Dest24" localSheetId="7">[4]Request!$N$148</definedName>
    <definedName name="Dest25" localSheetId="7">[4]Request!$N$149</definedName>
    <definedName name="Dest26" localSheetId="7">[4]Request!$N$150</definedName>
    <definedName name="Dest3" localSheetId="7">[4]Request!$N$127</definedName>
    <definedName name="Dest4" localSheetId="7">[4]Request!$N$128</definedName>
    <definedName name="Dest5" localSheetId="7">[4]Request!$N$129</definedName>
    <definedName name="Dest6" localSheetId="7">[4]Request!$N$130</definedName>
    <definedName name="Dest7" localSheetId="7">[4]Request!$N$131</definedName>
    <definedName name="Dest8" localSheetId="7">[4]Request!$N$132</definedName>
    <definedName name="Dest9" localSheetId="7">[4]Request!$N$133</definedName>
    <definedName name="Division" localSheetId="7">[7]control!$O$27:$O$28</definedName>
    <definedName name="DOT" localSheetId="7">[7]control!$L$27:$L$29</definedName>
    <definedName name="dox" localSheetId="7">#REF!</definedName>
    <definedName name="dsfd" localSheetId="7">#REF!</definedName>
    <definedName name="EndMonth" localSheetId="7">[4]TempVariables!$H$3</definedName>
    <definedName name="ExDocDisc" localSheetId="7">[6]Discounts!$D$15:$Q$15,[6]Discounts!$S$15:$T$15</definedName>
    <definedName name="ExNDocDisc" localSheetId="7">[6]Discounts!$D$16:$Q$16,[6]Discounts!$S$16:$T$16,[6]Discounts!$D$22:$M$22,[6]Discounts!$O$22:$P$22,[6]Discounts!$T$22:$T$22</definedName>
    <definedName name="Expt638" localSheetId="7">#REF!</definedName>
    <definedName name="ExptPrepaid" localSheetId="7">'[10]Expt Disc prepaid'!#REF!</definedName>
    <definedName name="FDX" localSheetId="7">[4]Request!$A$50</definedName>
    <definedName name="FDX_Shpmts" localSheetId="7">[4]Request!$P$52</definedName>
    <definedName name="FXShpQ" localSheetId="7">[4]Request!$L$52</definedName>
    <definedName name="GroundWB" localSheetId="7">'[11]Customer Info'!$Y$20:$AB$26</definedName>
    <definedName name="GrpExcl_ll" localSheetId="7">[4]TempVariables!$D$2</definedName>
    <definedName name="GrpExcl_ul" localSheetId="7">[4]TempVariables!$E$2</definedName>
    <definedName name="GrpIncl_ll" localSheetId="7">[4]TempVariables!$B$2</definedName>
    <definedName name="GrpIncl_ul" localSheetId="7">[4]TempVariables!$C$2</definedName>
    <definedName name="Header" localSheetId="7">'[9]Expt Disc prepaid'!#REF!</definedName>
    <definedName name="home" localSheetId="7">[4]Request!$B$17</definedName>
    <definedName name="ImDocDisc" localSheetId="7">[6]Discounts!$D$29,[6]Discounts!$F$29:$Q$29,[6]Discounts!$T$29</definedName>
    <definedName name="IMListRates" localSheetId="7">#REF!</definedName>
    <definedName name="ImNDocDisc" localSheetId="7">[6]Discounts!$D$30:$D$30,[6]Discounts!$F$30:$Q$30,[6]Discounts!$T$30:$T$30,[6]Discounts!$D$36:$D$36,[6]Discounts!$F$36:$M$36,[6]Discounts!$O$36:$P$36,[6]Discounts!$T$36:$T$36</definedName>
    <definedName name="Import" localSheetId="7">[4]Request!$Q$33</definedName>
    <definedName name="Import_Pricing" localSheetId="7">#REF!</definedName>
    <definedName name="Impt_Inbnd" localSheetId="7">[4]Request!$L$33</definedName>
    <definedName name="ImptCheck" localSheetId="7">[4]Request!$Q$19</definedName>
    <definedName name="Inbound" localSheetId="7">[4]Request!$P$33</definedName>
    <definedName name="Inbound_Pricing" localSheetId="7">#REF!</definedName>
    <definedName name="Incremental_Only" localSheetId="7">[4]Request!$Q$32</definedName>
    <definedName name="IZ" localSheetId="7">#REF!</definedName>
    <definedName name="Kg_Apprv_Dt" localSheetId="7">#REF!</definedName>
    <definedName name="Kg_APPS_Chk" localSheetId="7">'[4]Shipments - kg'!$A$1138</definedName>
    <definedName name="Kg_AWPS_Chk" localSheetId="7">'[4]Shipments - kg'!$A$1117</definedName>
    <definedName name="Kg_Cntry_Disct" localSheetId="7">'[4]Discounts - kg'!$AB$108</definedName>
    <definedName name="kg_Disc_Edit_Check" localSheetId="7">#REF!</definedName>
    <definedName name="Kg_Discts" localSheetId="7">'[4]Discounts - kg'!$A$16:$IV$98</definedName>
    <definedName name="Kg_Dsc_Cntry" localSheetId="7">'[4]Discounts - kg'!$A$1:$IV$15</definedName>
    <definedName name="Kg_Dsc_IE_Cur_Disct" localSheetId="7">'[4]Discounts - kg'!$A$68:$IV$75</definedName>
    <definedName name="Kg_Dsc_IE_Hdr" localSheetId="7">'[4]Discounts - kg'!$A$60:$IV$62</definedName>
    <definedName name="Kg_Dsc_IE_Min_Hdr" localSheetId="7">'[4]Discounts - kg'!$A$63:$IV$64</definedName>
    <definedName name="Kg_Dsc_IE_Min_IE" localSheetId="7">'[4]Discounts - kg'!$A$65:$IV$65</definedName>
    <definedName name="Kg_Dsc_IE_Min_IEF" localSheetId="7">'[4]Discounts - kg'!$A$66:$IV$67</definedName>
    <definedName name="Kg_Dsc_IE_Pct_Disct" localSheetId="7">'[4]Discounts - kg'!$A$76:$IV$92</definedName>
    <definedName name="Kg_Dsc_IEF_Pct_Disct" localSheetId="7">'[4]Discounts - kg'!$A$93:$IV$99</definedName>
    <definedName name="Kg_Dsc_IP_Cur_Disct" localSheetId="7">'[4]Discounts - kg'!$A$25:$IV$31</definedName>
    <definedName name="Kg_Dsc_IP_Hdr" localSheetId="7">'[4]Discounts - kg'!$A$16:$IV$17</definedName>
    <definedName name="Kg_Dsc_IP_Min_Hdr" localSheetId="7">'[4]Discounts - kg'!$A$18:$IV$19</definedName>
    <definedName name="Kg_Dsc_IP_Min_IP" localSheetId="7">'[4]Discounts - kg'!$A$20:$IV$22</definedName>
    <definedName name="Kg_Dsc_IP_Min_IPF" localSheetId="7">'[4]Discounts - kg'!$A$23:$IV$24</definedName>
    <definedName name="Kg_Dsc_IP_Pct_Disct" localSheetId="7">'[4]Discounts - kg'!$A$32:$IV$50</definedName>
    <definedName name="Kg_Dsc_IPF_Pct_Disct" localSheetId="7">'[4]Discounts - kg'!$A$51:$IV$59</definedName>
    <definedName name="Kg_Dsc_Origin_Cntry" localSheetId="7">'[4]Discounts - kg'!$B$7:$AA$7</definedName>
    <definedName name="Kg_Incr_Shp_IE" localSheetId="7">'[4]Shipments - kg'!$A$162</definedName>
    <definedName name="Kg_Incr_Shp_IEF" localSheetId="7">'[4]Shipments - kg'!$A$163</definedName>
    <definedName name="Kg_Incr_Shp_IP" localSheetId="7">'[4]Shipments - kg'!$A$160</definedName>
    <definedName name="Kg_Incr_Shp_IPF" localSheetId="7">'[4]Shipments - kg'!$A$161</definedName>
    <definedName name="Kg_Rng_Cur_Disct_IE" localSheetId="7">'[4]Discounts - kg'!$B$72:$AA$74</definedName>
    <definedName name="Kg_Rng_Cur_Disct_IP" localSheetId="7">'[4]Discounts - kg'!$B$26:$AA$30</definedName>
    <definedName name="Kg_Rng_Disct_IE" localSheetId="7">'[4]Discounts - kg'!$B$78:$AA$84</definedName>
    <definedName name="Kg_Rng_Disct_IEF" localSheetId="7">'[4]Discounts - kg'!$B$94:$AA$98</definedName>
    <definedName name="Kg_Rng_Disct_IEHW" localSheetId="7">'[4]Discounts - kg'!$B$87:$AA$91</definedName>
    <definedName name="Kg_Rng_Disct_IP" localSheetId="7">'[4]Discounts - kg'!$B$34:$AA$42</definedName>
    <definedName name="Kg_Rng_Disct_IPF" localSheetId="7">'[4]Discounts - kg'!$B$52:$AA$56</definedName>
    <definedName name="Kg_Rng_Disct_IPHW" localSheetId="7">'[4]Discounts - kg'!$B$45:$AA$49</definedName>
    <definedName name="Kg_Rng_Disct_Min_IE" localSheetId="7">'[4]Discounts - kg'!$B$65:$AA$66</definedName>
    <definedName name="Kg_Rng_Disct_Min_IP" localSheetId="7">'[4]Discounts - kg'!$B$20:$AA$23</definedName>
    <definedName name="Kg_Rng_Shpmts_APPS_IE" localSheetId="7">'[4]Shipments - kg'!$C$119:$AB$129</definedName>
    <definedName name="Kg_Rng_Shpmts_APPS_IEF" localSheetId="7">'[4]Shipments - kg'!$C$131:$AB$135</definedName>
    <definedName name="Kg_Rng_Shpmts_APPS_IP" localSheetId="7">'[4]Shipments - kg'!$C$53:$AB$63</definedName>
    <definedName name="Kg_Rng_Shpmts_APPS_IPF" localSheetId="7">'[4]Shipments - kg'!$C$65:$AB$69</definedName>
    <definedName name="Kg_Rng_Shpmts_AWPS_IE" localSheetId="7">'[4]Shipments - kg'!$C$99:$AB$109</definedName>
    <definedName name="Kg_Rng_Shpmts_AWPS_IEF" localSheetId="7">'[4]Shipments - kg'!$C$111:$AB$115</definedName>
    <definedName name="Kg_Rng_Shpmts_AWPS_IP" localSheetId="7">'[4]Shipments - kg'!$C$34:$AB$44</definedName>
    <definedName name="Kg_Rng_Shpmts_AWPS_IPF" localSheetId="7">'[4]Shipments - kg'!$C$46:$AB$50</definedName>
    <definedName name="Kg_Rng_Shpmts_Incr_IE" localSheetId="7">'[4]Shipments - kg'!$C$75:$AB$86</definedName>
    <definedName name="Kg_Rng_Shpmts_Incr_IEF" localSheetId="7">'[4]Shipments - kg'!$C$88:$AB$92</definedName>
    <definedName name="Kg_Rng_Shpmts_Incr_IP" localSheetId="7">'[4]Shipments - kg'!$C$10:$AB$23</definedName>
    <definedName name="Kg_Rng_Shpmts_Incr_IPF" localSheetId="7">'[4]Shipments - kg'!$C$25:$AB$29</definedName>
    <definedName name="Kg_Shp_Cntry" localSheetId="7">'[4]Shipments - kg'!$A$1:$IV$8</definedName>
    <definedName name="Kg_Shp_IE_APPS" localSheetId="7">'[4]Shipments - kg'!$A$117:$IV$129</definedName>
    <definedName name="Kg_Shp_IE_AWPS" localSheetId="7">'[4]Shipments - kg'!$A$97:$IV$109</definedName>
    <definedName name="Kg_Shp_IE_Incr" localSheetId="7">'[4]Shipments - kg'!$A$72:$IV$86</definedName>
    <definedName name="Kg_Shp_IE_Tot" localSheetId="7">'[4]Shipments - kg'!$A$93:$IV$96</definedName>
    <definedName name="Kg_Shp_IEF_APPS" localSheetId="7">'[4]Shipments - kg'!$A$130:$IV$136</definedName>
    <definedName name="Kg_Shp_IEF_APPS_Hdr" localSheetId="7">'[4]Shipments - kg'!$A$117:$IV$118</definedName>
    <definedName name="Kg_Shp_IEF_AWPS" localSheetId="7">'[4]Shipments - kg'!$A$110:$IV$116</definedName>
    <definedName name="Kg_Shp_IEF_AWPS_Hdr" localSheetId="7">'[4]Shipments - kg'!$A$97:$IV$98</definedName>
    <definedName name="Kg_Shp_IEF_Incr" localSheetId="7">'[4]Shipments - kg'!$A$87:$IV$92</definedName>
    <definedName name="Kg_Shp_IEF_Incr_Hdr" localSheetId="7">'[4]Shipments - kg'!$A$72:$IV$73</definedName>
    <definedName name="Kg_Shp_IP_APPS" localSheetId="7">'[4]Shipments - kg'!$A$51:$IV$63</definedName>
    <definedName name="Kg_Shp_IP_AWPS" localSheetId="7">'[4]Shipments - kg'!$A$33:$IV$44</definedName>
    <definedName name="Kg_Shp_IP_Incr" localSheetId="7">'[4]Shipments - kg'!$A$9:$IV$23</definedName>
    <definedName name="Kg_Shp_IP_Tot" localSheetId="7">'[4]Shipments - kg'!$A$30:$IV$32</definedName>
    <definedName name="Kg_Shp_IPF_APPS" localSheetId="7">'[4]Shipments - kg'!$A$64:$IV$71</definedName>
    <definedName name="Kg_Shp_IPF_APPS_Hdr" localSheetId="7">'[4]Shipments - kg'!$A$51:$IV$52</definedName>
    <definedName name="Kg_Shp_IPF_AWPS" localSheetId="7">'[4]Shipments - kg'!$A$45:$IV$50</definedName>
    <definedName name="Kg_Shp_IPF_AWPS_Hdr" localSheetId="7">'[4]Shipments - kg'!$A$33:$IV$33</definedName>
    <definedName name="Kg_Shp_IPF_Incr" localSheetId="7">'[4]Shipments - kg'!$A$24:$IV$29</definedName>
    <definedName name="Kg_Shp_IPF_Incr_Hdr" localSheetId="7">'[4]Shipments - kg'!$A$9:$IV$9</definedName>
    <definedName name="Kg_Shp_Origin_Cntry" localSheetId="7">'[4]Shipments - kg'!$C$6:$AB$6</definedName>
    <definedName name="Kg_Shpmt_Cntry" localSheetId="7">'[4]Shipments - kg'!$AD$140</definedName>
    <definedName name="Kg_Shpmt_Disct" localSheetId="7">'[4]Discounts - kg'!$A$200</definedName>
    <definedName name="Kg_Shpmts" localSheetId="7">'[4]Shipments - kg'!$A$9:$IV$135</definedName>
    <definedName name="Kg_Shpmts_AWPS_Reset" localSheetId="7">'[4]Shipments - kg'!$A$500</definedName>
    <definedName name="Kg_Shpmts_AWPS_Reset1" localSheetId="7">'[4]Shipments - kg'!$A$501</definedName>
    <definedName name="Kilograms" localSheetId="7">[4]Request!$P$25</definedName>
    <definedName name="Lb_Apprv_Dt" localSheetId="7">'[4]Approved Discts-lb'!$F$3</definedName>
    <definedName name="Lb_APPS_Chk" localSheetId="7">'[4]Shipments - lb'!$A$1138</definedName>
    <definedName name="Lb_AWPS_Chk" localSheetId="7">'[4]Shipments - lb'!$A$1117</definedName>
    <definedName name="Lb_Cntry_Disct" localSheetId="7">'[4]Discounts - lb'!$AB$108</definedName>
    <definedName name="lb_Disc_Edit_Check" localSheetId="7">'[4]Approved Discts-lb'!$AF$259</definedName>
    <definedName name="Lb_Discts" localSheetId="7">'[4]Discounts - lb'!$A$16:$IV$98</definedName>
    <definedName name="Lb_Dsc_Cntry" localSheetId="7">'[4]Discounts - lb'!$A$1:$IV$15</definedName>
    <definedName name="Lb_Dsc_IE_Cur_Disct" localSheetId="7">'[4]Discounts - lb'!$A$68:$IV$75</definedName>
    <definedName name="Lb_Dsc_IE_Hdr" localSheetId="7">'[4]Discounts - lb'!$A$60:$IV$62</definedName>
    <definedName name="Lb_Dsc_IE_Min_Hdr" localSheetId="7">'[4]Discounts - lb'!$A$63:$IV$64</definedName>
    <definedName name="Lb_Dsc_IE_Min_IE" localSheetId="7">'[4]Discounts - lb'!$A$65:$IV$65</definedName>
    <definedName name="Lb_Dsc_IE_Min_IEF" localSheetId="7">'[4]Discounts - lb'!$A$66:$IV$67</definedName>
    <definedName name="Lb_Dsc_IE_Pct_Disct" localSheetId="7">'[4]Discounts - lb'!$A$76:$IV$92</definedName>
    <definedName name="Lb_Dsc_IEF_Pct_Disct" localSheetId="7">'[4]Discounts - lb'!$A$93:$IV$99</definedName>
    <definedName name="Lb_Dsc_IEF8" localSheetId="7">'[4]Discounts - lb'!$A$94:$IV$94</definedName>
    <definedName name="Lb_Dsc_IP_Cur_Disct" localSheetId="7">'[4]Discounts - lb'!$A$25:$IV$31</definedName>
    <definedName name="Lb_Dsc_IP_Hdr" localSheetId="7">'[4]Discounts - lb'!$A$16:$IV$17</definedName>
    <definedName name="Lb_Dsc_IP_Min_Hdr" localSheetId="7">'[4]Discounts - lb'!$A$18:$IV$19</definedName>
    <definedName name="Lb_Dsc_IP_Min_IP" localSheetId="7">'[4]Discounts - lb'!$A$20:$IV$22</definedName>
    <definedName name="Lb_Dsc_IP_Min_IPF" localSheetId="7">'[4]Discounts - lb'!$A$23:$IV$24</definedName>
    <definedName name="Lb_Dsc_IP_Pct_Disct" localSheetId="7">'[4]Discounts - lb'!$A$32:$IV$50</definedName>
    <definedName name="Lb_Dsc_IPF_Pct_Disct" localSheetId="7">'[4]Discounts - lb'!$A$51:$IV$59</definedName>
    <definedName name="Lb_Dsc_IPF8" localSheetId="7">'[4]Discounts - lb'!$A$52:$IV$52</definedName>
    <definedName name="Lb_Dsc_Origin_Cntry" localSheetId="7">'[4]Discounts - lb'!$B$7:$AA$7</definedName>
    <definedName name="Lb_Incr_Shp_IE" localSheetId="7">'[4]Shipments - lb'!$A$162</definedName>
    <definedName name="Lb_Incr_Shp_IEF" localSheetId="7">'[4]Shipments - lb'!$A$163</definedName>
    <definedName name="Lb_Incr_Shp_IP" localSheetId="7">'[4]Shipments - lb'!$A$160</definedName>
    <definedName name="Lb_Incr_Shp_IPF" localSheetId="7">'[4]Shipments - lb'!$A$161</definedName>
    <definedName name="Lb_Rng_Cur_Disct_IE" localSheetId="7">'[4]Discounts - lb'!$B$72:$AA$74</definedName>
    <definedName name="Lb_Rng_Cur_Disct_IP" localSheetId="7">'[4]Discounts - lb'!$B$26:$AA$30</definedName>
    <definedName name="Lb_Rng_Disct_IE" localSheetId="7">'[4]Discounts - lb'!$B$78:$AA$84</definedName>
    <definedName name="Lb_Rng_Disct_IEF" localSheetId="7">'[4]Discounts - lb'!$B$94:$AA$98</definedName>
    <definedName name="Lb_Rng_Disct_IEHW" localSheetId="7">'[4]Discounts - lb'!$B$87:$AA$91</definedName>
    <definedName name="Lb_Rng_Disct_IP" localSheetId="7">'[4]Discounts - lb'!$B$34:$AA$42</definedName>
    <definedName name="Lb_Rng_Disct_IPF" localSheetId="7">'[4]Discounts - lb'!$B$52:$AA$56</definedName>
    <definedName name="Lb_Rng_Disct_IPHW" localSheetId="7">'[4]Discounts - lb'!$B$45:$AA$49</definedName>
    <definedName name="Lb_Rng_Disct_Min_IE" localSheetId="7">'[4]Discounts - lb'!$B$65:$AA$66</definedName>
    <definedName name="Lb_Rng_Disct_Min_IP" localSheetId="7">'[4]Discounts - lb'!$B$20:$AA$23</definedName>
    <definedName name="Lb_Rng_Shpmts_APPS_IE" localSheetId="7">'[4]Shipments - lb'!$C$119:$AB$129</definedName>
    <definedName name="Lb_Rng_Shpmts_APPS_IEF" localSheetId="7">'[4]Shipments - lb'!$C$131:$AB$135</definedName>
    <definedName name="Lb_Rng_Shpmts_APPS_IP" localSheetId="7">'[4]Shipments - lb'!$C$53:$AB$63</definedName>
    <definedName name="Lb_Rng_Shpmts_APPS_IPF" localSheetId="7">'[4]Shipments - lb'!$C$65:$AB$69</definedName>
    <definedName name="Lb_Rng_Shpmts_AWPS_IE" localSheetId="7">'[4]Shipments - lb'!$C$99:$AB$109</definedName>
    <definedName name="Lb_Rng_Shpmts_AWPS_IEF" localSheetId="7">'[4]Shipments - lb'!$C$111:$AB$115</definedName>
    <definedName name="Lb_Rng_Shpmts_AWPS_IP" localSheetId="7">'[4]Shipments - lb'!$C$34:$AB$44</definedName>
    <definedName name="Lb_Rng_Shpmts_AWPS_IPF" localSheetId="7">'[4]Shipments - lb'!$C$46:$AB$50</definedName>
    <definedName name="Lb_Rng_Shpmts_Incr_IE" localSheetId="7">'[4]Shipments - lb'!$C$75:$AB$86</definedName>
    <definedName name="Lb_Rng_Shpmts_Incr_IEF" localSheetId="7">'[4]Shipments - lb'!$C$88:$AB$92</definedName>
    <definedName name="Lb_Rng_Shpmts_Incr_IP" localSheetId="7">'[4]Shipments - lb'!$C$10:$AB$23</definedName>
    <definedName name="Lb_Rng_Shpmts_Incr_IPF" localSheetId="7">'[4]Shipments - lb'!$C$25:$AB$29</definedName>
    <definedName name="Lb_Shp_Cntry" localSheetId="7">'[4]Shipments - lb'!$A$1:$IV$8</definedName>
    <definedName name="Lb_Shp_IE_APPS" localSheetId="7">'[4]Shipments - lb'!$A$117:$IV$129</definedName>
    <definedName name="Lb_Shp_IE_AWPS" localSheetId="7">'[4]Shipments - lb'!$A$97:$IV$109</definedName>
    <definedName name="Lb_Shp_IE_Incr" localSheetId="7">'[4]Shipments - lb'!$A$72:$IV$86</definedName>
    <definedName name="Lb_Shp_IE_Tot" localSheetId="7">'[4]Shipments - lb'!$A$93:$IV$96</definedName>
    <definedName name="Lb_Shp_IEF_APPS" localSheetId="7">'[4]Shipments - lb'!$A$130:$IV$136</definedName>
    <definedName name="Lb_Shp_IEF_APPS_Hdr" localSheetId="7">'[4]Shipments - lb'!$A$117:$IV$118</definedName>
    <definedName name="Lb_Shp_IEF_AWPS" localSheetId="7">'[4]Shipments - lb'!$A$110:$IV$116</definedName>
    <definedName name="Lb_Shp_IEF_AWPS_Hdr" localSheetId="7">'[4]Shipments - lb'!$A$97:$IV$98</definedName>
    <definedName name="Lb_Shp_IEF_Incr" localSheetId="7">'[4]Shipments - lb'!$A$87:$IV$92</definedName>
    <definedName name="Lb_Shp_IEF_Incr_Hdr" localSheetId="7">'[4]Shipments - lb'!$A$72:$IV$73</definedName>
    <definedName name="Lb_Shp_IEF8_APPS" localSheetId="7">'[4]Shipments - lb'!$A$131:$IV$131</definedName>
    <definedName name="Lb_Shp_IEF8_AWPS" localSheetId="7">'[4]Shipments - lb'!$A$111:$IV$111</definedName>
    <definedName name="Lb_Shp_IEF8_Incr" localSheetId="7">'[4]Shipments - lb'!$A$88:$IV$88</definedName>
    <definedName name="Lb_Shp_IP_APPS" localSheetId="7">'[4]Shipments - lb'!$A$51:$IV$63</definedName>
    <definedName name="Lb_Shp_IP_AWPS" localSheetId="7">'[4]Shipments - lb'!$A$33:$IV$44</definedName>
    <definedName name="Lb_Shp_IP_Incr" localSheetId="7">'[4]Shipments - lb'!$A$9:$IV$23</definedName>
    <definedName name="Lb_Shp_IP_Tot" localSheetId="7">'[4]Shipments - lb'!$A$30:$IV$32</definedName>
    <definedName name="Lb_Shp_IPF_APPS" localSheetId="7">'[4]Shipments - lb'!$A$64:$IV$71</definedName>
    <definedName name="Lb_Shp_IPF_APPS_Hdr" localSheetId="7">'[4]Shipments - lb'!$A$51:$IV$52</definedName>
    <definedName name="Lb_Shp_IPF_AWPS" localSheetId="7">'[4]Shipments - lb'!$A$45:$IV$50</definedName>
    <definedName name="Lb_Shp_IPF_AWPS_Hdr" localSheetId="7">'[4]Shipments - lb'!$A$33:$IV$33</definedName>
    <definedName name="Lb_Shp_IPF_Incr" localSheetId="7">'[4]Shipments - lb'!$A$24:$IV$29</definedName>
    <definedName name="Lb_Shp_IPF_Incr_Hdr" localSheetId="7">'[4]Shipments - lb'!$A$9:$IV$9</definedName>
    <definedName name="Lb_Shp_IPF8_APPS" localSheetId="7">'[4]Shipments - lb'!$A$65:$IV$65</definedName>
    <definedName name="Lb_Shp_IPF8_AWPS" localSheetId="7">'[4]Shipments - lb'!$A$46:$IV$46</definedName>
    <definedName name="Lb_Shp_IPF8_Incr" localSheetId="7">'[4]Shipments - lb'!$A$25:$IV$25</definedName>
    <definedName name="Lb_Shp_Origin_Cntry" localSheetId="7">'[4]Shipments - lb'!$C$6:$AB$6</definedName>
    <definedName name="Lb_Shpmt_Cntry" localSheetId="7">'[4]Shipments - lb'!$AD$140</definedName>
    <definedName name="Lb_Shpmt_Disct" localSheetId="7">'[4]Discounts - lb'!$A$200</definedName>
    <definedName name="Lb_Shpmts" localSheetId="7">'[4]Shipments - lb'!$A$9:$IV$135</definedName>
    <definedName name="Lb_Shpmts_AWPS_Reset" localSheetId="7">'[4]Shipments - lb'!$A$500</definedName>
    <definedName name="Lb_Shpmts_AWPS_Reset1" localSheetId="7">'[4]Shipments - lb'!$A$501</definedName>
    <definedName name="LocalAccts" localSheetId="7">[4]TempVariables!$F$2</definedName>
    <definedName name="Locations" localSheetId="7">[4]Request!$C$124</definedName>
    <definedName name="LOOKUP" localSheetId="7">#REF!</definedName>
    <definedName name="Major_Origin_Cities" localSheetId="7">[4]Request!$E$124</definedName>
    <definedName name="MBG" localSheetId="7">[4]Request!$G$42</definedName>
    <definedName name="MBG_NotReq" localSheetId="7">[4]Request!$P$44</definedName>
    <definedName name="MBG_Option" localSheetId="7">[4]Request!$M$44</definedName>
    <definedName name="MBG_Req" localSheetId="7">[4]Request!$Q$44</definedName>
    <definedName name="MINTABLE" localSheetId="7">[11]SURCHARGES!$H$9:$U$15</definedName>
    <definedName name="ModelDate" localSheetId="7">[4]Request!$K$1</definedName>
    <definedName name="NatlAccts" localSheetId="7">[4]TempVariables!$A$2</definedName>
    <definedName name="NDAAll" localSheetId="7">'[11]Customer Info'!$V$9</definedName>
    <definedName name="Old_Payor_No" localSheetId="7">[4]Request!$E$56</definedName>
    <definedName name="Old_Shipper_No" localSheetId="7">[4]Request!$E$54</definedName>
    <definedName name="Op_Months" localSheetId="7">'[4]Shipments - current'!$B$1</definedName>
    <definedName name="Op_Scenario" localSheetId="7">[4]Request!$P$74</definedName>
    <definedName name="OpQ" localSheetId="7">[4]Request!$L$74</definedName>
    <definedName name="OptionType" localSheetId="7">[7]control!$F$27:$F$29</definedName>
    <definedName name="Orig_Region_1" localSheetId="7">[4]Request!$A$125</definedName>
    <definedName name="Orig_Region_10" localSheetId="7">[4]Request!$A$134</definedName>
    <definedName name="Orig_Region_11" localSheetId="7">[4]Request!$A$135</definedName>
    <definedName name="Orig_Region_12" localSheetId="7">[4]Request!$A$136</definedName>
    <definedName name="Orig_Region_13" localSheetId="7">[4]Request!$A$137</definedName>
    <definedName name="Orig_Region_14" localSheetId="7">[4]Request!$A$138</definedName>
    <definedName name="Orig_Region_15" localSheetId="7">[4]Request!$A$139</definedName>
    <definedName name="Orig_Region_16" localSheetId="7">[4]Request!$A$140</definedName>
    <definedName name="Orig_Region_17" localSheetId="7">[4]Request!$A$141</definedName>
    <definedName name="Orig_Region_18" localSheetId="7">[4]Request!$A$142</definedName>
    <definedName name="Orig_Region_19" localSheetId="7">[4]Request!$A$143</definedName>
    <definedName name="Orig_Region_2" localSheetId="7">[4]Request!$A$126</definedName>
    <definedName name="Orig_Region_20" localSheetId="7">[4]Request!$A$144</definedName>
    <definedName name="Orig_Region_21" localSheetId="7">[4]Request!$A$145</definedName>
    <definedName name="Orig_Region_22" localSheetId="7">[4]Request!$A$146</definedName>
    <definedName name="Orig_Region_23" localSheetId="7">[4]Request!$A$147</definedName>
    <definedName name="Orig_Region_24" localSheetId="7">[4]Request!$A$148</definedName>
    <definedName name="Orig_Region_25" localSheetId="7">[4]Request!$A$149</definedName>
    <definedName name="Orig_Region_26" localSheetId="7">[4]Request!$A$150</definedName>
    <definedName name="Orig_Region_3" localSheetId="7">[4]Request!$A$127</definedName>
    <definedName name="Orig_Region_4" localSheetId="7">[4]Request!$A$128</definedName>
    <definedName name="Orig_Region_5" localSheetId="7">[4]Request!$A$129</definedName>
    <definedName name="Orig_Region_6" localSheetId="7">[4]Request!$A$130</definedName>
    <definedName name="Orig_Region_7" localSheetId="7">[4]Request!$A$131</definedName>
    <definedName name="Orig_Region_8" localSheetId="7">[4]Request!$A$132</definedName>
    <definedName name="Orig_Region_9" localSheetId="7">[4]Request!$A$133</definedName>
    <definedName name="Orig1" localSheetId="7">[4]Request!$L$125</definedName>
    <definedName name="Orig10" localSheetId="7">[4]Request!$L$134</definedName>
    <definedName name="Orig11" localSheetId="7">[4]Request!$L$135</definedName>
    <definedName name="Orig12" localSheetId="7">[4]Request!$L$136</definedName>
    <definedName name="Orig13" localSheetId="7">[4]Request!$L$137</definedName>
    <definedName name="Orig14" localSheetId="7">[4]Request!$L$138</definedName>
    <definedName name="Orig15" localSheetId="7">[4]Request!$L$139</definedName>
    <definedName name="Orig16" localSheetId="7">[4]Request!$L$140</definedName>
    <definedName name="Orig17" localSheetId="7">[4]Request!$L$141</definedName>
    <definedName name="Orig18" localSheetId="7">[4]Request!$L$142</definedName>
    <definedName name="Orig19" localSheetId="7">[4]Request!$L$143</definedName>
    <definedName name="Orig2" localSheetId="7">[4]Request!$L$126</definedName>
    <definedName name="Orig20" localSheetId="7">[4]Request!$L$144</definedName>
    <definedName name="Orig21" localSheetId="7">[4]Request!$L$145</definedName>
    <definedName name="Orig22" localSheetId="7">[4]Request!$L$146</definedName>
    <definedName name="Orig23" localSheetId="7">[4]Request!$L$147</definedName>
    <definedName name="Orig24" localSheetId="7">[4]Request!$L$148</definedName>
    <definedName name="Orig25" localSheetId="7">[4]Request!$L$149</definedName>
    <definedName name="Orig26" localSheetId="7">[4]Request!$L$150</definedName>
    <definedName name="Orig3" localSheetId="7">[4]Request!$L$127</definedName>
    <definedName name="Orig4" localSheetId="7">[4]Request!$L$128</definedName>
    <definedName name="Orig5" localSheetId="7">[4]Request!$L$129</definedName>
    <definedName name="Orig6" localSheetId="7">[4]Request!$L$130</definedName>
    <definedName name="Orig7" localSheetId="7">[4]Request!$L$131</definedName>
    <definedName name="Orig8" localSheetId="7">[4]Request!$L$132</definedName>
    <definedName name="Orig9" localSheetId="7">[4]Request!$L$133</definedName>
    <definedName name="Origin" localSheetId="7">[4]Request!$B$124</definedName>
    <definedName name="Origin_Countries" localSheetId="7">[4]Request!$L$125:$L$150</definedName>
    <definedName name="Origin_Country_Code" localSheetId="7">[4]Countries!$G$4:$H$224</definedName>
    <definedName name="Origin_Country_Name_Code" localSheetId="7">[4]Countries!$B$4:$C$224</definedName>
    <definedName name="Origin_Scenario" localSheetId="7">[4]Request!$E$76</definedName>
    <definedName name="parcels" localSheetId="7">#REF!</definedName>
    <definedName name="Password" localSheetId="7">[4]TempVariables!$O$3</definedName>
    <definedName name="Payor_Acct1" localSheetId="7">[4]Request!$I$23</definedName>
    <definedName name="Payor_Acct2" localSheetId="7">[4]Request!$I$25</definedName>
    <definedName name="Payor_Acct3" localSheetId="7">[4]Request!$I$27</definedName>
    <definedName name="Payor_Country" localSheetId="7">[4]Request!$M$19</definedName>
    <definedName name="Payor_Table" localSheetId="7">[4]Countries!$HI$4:$HR$101</definedName>
    <definedName name="PayorRgn" localSheetId="7">[4]Request!$P$15</definedName>
    <definedName name="PNH" localSheetId="7">#REF!</definedName>
    <definedName name="Pricing_Requested" localSheetId="7">[4]Request!$A$33</definedName>
    <definedName name="Product" localSheetId="7">[7]control!$N$27:$N$38</definedName>
    <definedName name="Provinces_Cities" localSheetId="7">[4]Request!$E$125:$E$150</definedName>
    <definedName name="Range1" localSheetId="7">#REF!</definedName>
    <definedName name="Region" localSheetId="7">[4]Request!$O$16</definedName>
    <definedName name="Region_Rev" localSheetId="7">[4]Request!$E$112:$E$116</definedName>
    <definedName name="RO" localSheetId="7">#REF!</definedName>
    <definedName name="road" localSheetId="7">#REF!</definedName>
    <definedName name="RTH" localSheetId="7">#REF!</definedName>
    <definedName name="Sales_AE" localSheetId="7">[4]Request!$B$21</definedName>
    <definedName name="Sales_Manager" localSheetId="7">[4]Request!$B$19</definedName>
    <definedName name="SDAALL" localSheetId="7">'[11]Customer Info'!$V$15</definedName>
    <definedName name="Service_IE" localSheetId="7">[4]Request!$R$46</definedName>
    <definedName name="Service_IE_IEF" localSheetId="7">[4]Request!$R$47</definedName>
    <definedName name="Service_IEF" localSheetId="7">[4]Request!$S$46</definedName>
    <definedName name="Service_IP" localSheetId="7">[4]Request!$P$46</definedName>
    <definedName name="Service_IP_IPF" localSheetId="7">[4]Request!$P$47</definedName>
    <definedName name="Service_IPF" localSheetId="7">[4]Request!$Q$46</definedName>
    <definedName name="Service_Type" localSheetId="7">[4]Request!$L$48</definedName>
    <definedName name="Services_Requested" localSheetId="7">[4]Request!$A$42</definedName>
    <definedName name="Ship_Locations" localSheetId="7">[4]Request!$M$125:$M$150</definedName>
    <definedName name="Ship_Tender" localSheetId="7">[4]Request!$E$68</definedName>
    <definedName name="Show9DigitAccts" localSheetId="7">[4]TempVariables!$J$3</definedName>
    <definedName name="SlsChan" localSheetId="7">[7]control!$B$27:$B$28</definedName>
    <definedName name="Spec_Op" localSheetId="7">[4]Request!$A$72</definedName>
    <definedName name="StartMonth" localSheetId="7">[4]TempVariables!$G$3</definedName>
    <definedName name="Strategy" localSheetId="7">[4]Request!$A$108</definedName>
    <definedName name="SurchargeType" localSheetId="7">[7]control!$I$27:$I$32</definedName>
    <definedName name="TABLE" localSheetId="7">#REF!</definedName>
    <definedName name="TempVariables" localSheetId="7">[4]TempVariables!$A$1</definedName>
    <definedName name="Tier" localSheetId="7">'[12]Portfolio Discount'!#REF!</definedName>
    <definedName name="Tot_Annual_Rev" localSheetId="7">[4]Request!$E$117</definedName>
    <definedName name="USAcctsOnly" localSheetId="7">[4]TempVariables!$I$3</definedName>
    <definedName name="UserID" localSheetId="7">[4]TempVariables!$N$3</definedName>
    <definedName name="Value_2K" localSheetId="7">[4]Request!$E$88</definedName>
    <definedName name="values" localSheetId="7">[4]Request!$L$16:$O$150</definedName>
    <definedName name="WtMetric" localSheetId="7">[4]Request!$B$25</definedName>
    <definedName name="YN" localSheetId="7">[7]control!$P$27:$P$28</definedName>
    <definedName name="zone" localSheetId="7">#REF!</definedName>
    <definedName name="ZonedOut" localSheetId="7">[7]rates_input!$R$5:$Z$8</definedName>
    <definedName name="ZonedOut1" localSheetId="7">[7]rates_input!$I$6:$Z$8</definedName>
    <definedName name="ZonedOut2" localSheetId="7">[7]rates_input!$I$7:$Z$8</definedName>
    <definedName name="ZONELU" localSheetId="7">[11]SURCHARGES!$B$9:$D$59</definedName>
    <definedName name="Zones" localSheetId="7">#REF!,#REF!,#REF!,#REF!</definedName>
    <definedName name="Zones_New" localSheetId="7">[7]zones_input!$B$1:$G$65536</definedName>
    <definedName name="_Fill" localSheetId="8" hidden="1">[2]Express!#REF!</definedName>
    <definedName name="_Key1" localSheetId="8" hidden="1">#REF!</definedName>
    <definedName name="_Loc1" localSheetId="8">[3]Request!$M$125</definedName>
    <definedName name="_Loc10" localSheetId="8">[4]Request!$M$134</definedName>
    <definedName name="_Loc11" localSheetId="8">[4]Request!$M$135</definedName>
    <definedName name="_Loc12" localSheetId="8">[4]Request!$M$136</definedName>
    <definedName name="_Loc13" localSheetId="8">[4]Request!$M$137</definedName>
    <definedName name="_Loc14" localSheetId="8">[4]Request!$M$138</definedName>
    <definedName name="_Loc15" localSheetId="8">[4]Request!$M$139</definedName>
    <definedName name="_Loc16" localSheetId="8">[4]Request!$M$140</definedName>
    <definedName name="_Loc17" localSheetId="8">[4]Request!$M$141</definedName>
    <definedName name="_Loc18" localSheetId="8">[4]Request!$M$142</definedName>
    <definedName name="_Loc19" localSheetId="8">[4]Request!$M$143</definedName>
    <definedName name="_Loc2" localSheetId="8">[4]Request!$M$126</definedName>
    <definedName name="_Loc20" localSheetId="8">[4]Request!$M$144</definedName>
    <definedName name="_Loc21" localSheetId="8">[4]Request!$M$145</definedName>
    <definedName name="_Loc22" localSheetId="8">[4]Request!$M$146</definedName>
    <definedName name="_Loc23" localSheetId="8">[4]Request!$M$147</definedName>
    <definedName name="_Loc24" localSheetId="8">[4]Request!$M$148</definedName>
    <definedName name="_Loc25" localSheetId="8">[4]Request!$M$149</definedName>
    <definedName name="_Loc26" localSheetId="8">[4]Request!$M$150</definedName>
    <definedName name="_Loc3" localSheetId="8">[4]Request!$M$127</definedName>
    <definedName name="_Loc4" localSheetId="8">[4]Request!$M$128</definedName>
    <definedName name="_Loc5" localSheetId="8">[4]Request!$M$129</definedName>
    <definedName name="_Loc6" localSheetId="8">[4]Request!$M$130</definedName>
    <definedName name="_Loc7" localSheetId="8">[4]Request!$M$131</definedName>
    <definedName name="_Loc8" localSheetId="8">[4]Request!$M$132</definedName>
    <definedName name="_Loc9" localSheetId="8">[4]Request!$M$133</definedName>
    <definedName name="_Sort" localSheetId="8" hidden="1">[1]Express!#REF!</definedName>
    <definedName name="a" localSheetId="8" hidden="1">[1]Express!#REF!</definedName>
    <definedName name="Account" localSheetId="8">[4]Request!$B$17</definedName>
    <definedName name="Acct_number" localSheetId="8">[5]Summary!$E$2</definedName>
    <definedName name="AFD" localSheetId="8">#REF!</definedName>
    <definedName name="Agent" localSheetId="8">[4]Request!$A$60</definedName>
    <definedName name="Agent_Comm" localSheetId="8">[4]Request!$E$64</definedName>
    <definedName name="Agent_Delivery" localSheetId="8">[4]Request!$O$62</definedName>
    <definedName name="Agent_Involved" localSheetId="8">[4]Request!$P$62</definedName>
    <definedName name="Agent_Pickup" localSheetId="8">[4]Request!$N$62</definedName>
    <definedName name="Agent_Services" localSheetId="8">[4]Request!$E$66</definedName>
    <definedName name="AgentQ" localSheetId="8">[4]Request!$L$62</definedName>
    <definedName name="AllDiscountArea" localSheetId="8">[6]Discounts!$D$15:$Q$16,[6]Discounts!$S$15:$T$16,[6]Discounts!$D$22:$M$22,[6]Discounts!$O$22:$P$22,[6]Discounts!$T$22:$T$22,[6]Discounts!$D$29:$D$30,[6]Discounts!$F$29:$Q$30,[6]Discounts!$T$29:$T$30,[6]Discounts!$D$36:$D$36,[6]Discounts!$F$36:$M$36,[6]Discounts!$O$36:$P$36,[6]Discounts!$T$36:$T$36</definedName>
    <definedName name="Alph_countries" localSheetId="8">[7]zones_input!$A$2:$A$214</definedName>
    <definedName name="anakg" localSheetId="8">'[4]Shipments - kg current'!$D$1</definedName>
    <definedName name="analb" localSheetId="8">'[4]Shipments - lb current'!$D$1</definedName>
    <definedName name="ApDsctKgADNR" localSheetId="8">#REF!</definedName>
    <definedName name="ApDsctKgComm" localSheetId="8">#REF!</definedName>
    <definedName name="ApDsctKgH1" localSheetId="8">#REF!</definedName>
    <definedName name="ApDsctKgH2" localSheetId="8">#REF!</definedName>
    <definedName name="ApDsctKgIEAppCurDisct" localSheetId="8">#REF!</definedName>
    <definedName name="ApDsctKgIEAppMin" localSheetId="8">#REF!</definedName>
    <definedName name="ApDsctKgIEReqCurDisct" localSheetId="8">#REF!</definedName>
    <definedName name="ApDsctKgIEReqMin" localSheetId="8">#REF!</definedName>
    <definedName name="ApDsctKgIERestore" localSheetId="8">#REF!</definedName>
    <definedName name="ApDsctKgIPAppCurDisct" localSheetId="8">#REF!</definedName>
    <definedName name="ApDsctKgIPAppMin" localSheetId="8">#REF!</definedName>
    <definedName name="ApDsctKgIPReqCurDisct" localSheetId="8">#REF!</definedName>
    <definedName name="ApDsctKgIPReqMin" localSheetId="8">#REF!</definedName>
    <definedName name="ApDsctKgIPRestore" localSheetId="8">#REF!</definedName>
    <definedName name="ApDsctKgLR" localSheetId="8">#REF!</definedName>
    <definedName name="ApDsctKgLR1" localSheetId="8">#REF!</definedName>
    <definedName name="ApDsctKgQ1" localSheetId="8">#REF!</definedName>
    <definedName name="ApDsctKgQ10" localSheetId="8">#REF!</definedName>
    <definedName name="ApDsctKgQ2" localSheetId="8">#REF!</definedName>
    <definedName name="ApDsctKgQ3" localSheetId="8">#REF!</definedName>
    <definedName name="ApDsctKgQ4" localSheetId="8">#REF!</definedName>
    <definedName name="ApDsctKgQ5" localSheetId="8">#REF!</definedName>
    <definedName name="ApDsctKgQ6" localSheetId="8">#REF!</definedName>
    <definedName name="ApDsctKgQ7" localSheetId="8">#REF!</definedName>
    <definedName name="ApDsctKgQ8" localSheetId="8">#REF!</definedName>
    <definedName name="ApDsctKgQ9" localSheetId="8">#REF!</definedName>
    <definedName name="ApDsctKgRMIE" localSheetId="8">#REF!</definedName>
    <definedName name="ApDsctKgRMIP" localSheetId="8">#REF!</definedName>
    <definedName name="ApDsctKgSIE" localSheetId="8">#REF!</definedName>
    <definedName name="ApDsctKgSIP" localSheetId="8">#REF!</definedName>
    <definedName name="ApDsctLbADNR" localSheetId="8">'[4]Approved Discts-lb'!$F$7:$AE$7</definedName>
    <definedName name="ApDsctLbComm" localSheetId="8">'[4]Approved Discts-lb'!$F$159</definedName>
    <definedName name="ApDsctLbH1" localSheetId="8">'[4]Approved Discts-lb'!$F$3:$H$4</definedName>
    <definedName name="ApDsctLbH2" localSheetId="8">'[4]Approved Discts-lb'!$Z$3:$Z$4</definedName>
    <definedName name="ApDsctLbIEAppCurDisct" localSheetId="8">'[4]Approved Discts-lb'!$A$111:$AE$114</definedName>
    <definedName name="ApDsctLbIEAppMin" localSheetId="8">'[4]Approved Discts-lb'!$A$108:$AE$110</definedName>
    <definedName name="ApDsctLbIEReqCurDisct" localSheetId="8">'[4]Approved Discts-lb'!$A$85:$AE$88</definedName>
    <definedName name="ApDsctLbIEReqMin" localSheetId="8">'[4]Approved Discts-lb'!$B$82:$AE$84</definedName>
    <definedName name="ApDsctLbIERestore" localSheetId="8">'[4]Approved Discts-lb'!$F$364:$AE$387</definedName>
    <definedName name="ApDsctLbIPAppCurDisct" localSheetId="8">'[4]Approved Discts-lb'!$A$50:$AE$55</definedName>
    <definedName name="ApDsctLbIPAppMin" localSheetId="8">'[4]Approved Discts-lb'!$A$45:$AE$49</definedName>
    <definedName name="ApDsctLbIPReqCurDisct" localSheetId="8">'[4]Approved Discts-lb'!$A$18:$AE$23</definedName>
    <definedName name="ApDsctLbIPReqMin" localSheetId="8">'[4]Approved Discts-lb'!$A$13:$AE$17</definedName>
    <definedName name="ApDsctLbIPRestore" localSheetId="8">'[4]Approved Discts-lb'!$F$326:$AE$355</definedName>
    <definedName name="ApDsctLbLR" localSheetId="8">'[4]Approved Discts-lb'!$F$11:$AE$11</definedName>
    <definedName name="ApDsctLbLR1" localSheetId="8">'[4]Approved Discts-lb'!$F$81:$AE$81</definedName>
    <definedName name="ApDsctLbQ1" localSheetId="8">'[4]Approved Discts-lb'!$AG$134</definedName>
    <definedName name="ApDsctLbQ10" localSheetId="8">'[4]Approved Discts-lb'!$AG$154</definedName>
    <definedName name="ApDsctLbQ2" localSheetId="8">'[4]Approved Discts-lb'!$AG$136</definedName>
    <definedName name="ApDsctLbQ3" localSheetId="8">'[4]Approved Discts-lb'!$AG$138</definedName>
    <definedName name="ApDsctLbQ4" localSheetId="8">'[4]Approved Discts-lb'!$AG$141</definedName>
    <definedName name="ApDsctLbQ5" localSheetId="8">'[4]Approved Discts-lb'!$AG$143</definedName>
    <definedName name="ApDsctLbQ6" localSheetId="8">'[4]Approved Discts-lb'!$AG$145</definedName>
    <definedName name="ApDsctLbQ7" localSheetId="8">'[4]Approved Discts-lb'!$AG$147</definedName>
    <definedName name="ApDsctLbQ8" localSheetId="8">'[4]Approved Discts-lb'!$AG$149</definedName>
    <definedName name="ApDsctLbQ9" localSheetId="8">'[4]Approved Discts-lb'!$AG$151</definedName>
    <definedName name="ApDsctLbRMIE" localSheetId="8">'[4]Approved Discts-lb'!$F$109:$AE$132</definedName>
    <definedName name="ApDsctLbRMIP" localSheetId="8">'[4]Approved Discts-lb'!$F$46:$AE$75</definedName>
    <definedName name="ApDsctLbSIE" localSheetId="8">'[4]Approved Discts-lb'!$F$83:$AE$106</definedName>
    <definedName name="ApDsctLbSIP" localSheetId="8">'[4]Approved Discts-lb'!$F$14:$AE$43</definedName>
    <definedName name="Approval" localSheetId="8">[4]Request!$P$16</definedName>
    <definedName name="Bill_3P" localSheetId="8">[4]Request!$M$29</definedName>
    <definedName name="Bill_Consignee" localSheetId="8">[4]Request!$L$29</definedName>
    <definedName name="Billing_Option" localSheetId="8">[4]Request!$A$29</definedName>
    <definedName name="Business_Type" localSheetId="8">[4]Request!$G$31</definedName>
    <definedName name="BWE" localSheetId="8">[4]TempVariables!$K$3</definedName>
    <definedName name="Chk_Origin_Cntry" localSheetId="8">[4]Request!$L$151</definedName>
    <definedName name="Chk_Provinces_Cities" localSheetId="8">[4]Request!$S$151</definedName>
    <definedName name="Chk_Ship_Loc" localSheetId="8">[4]Request!$R$151</definedName>
    <definedName name="Clearance_Reqd" localSheetId="8">[4]Request!$A$82</definedName>
    <definedName name="Commodity1" localSheetId="8">[4]Request!$I$48</definedName>
    <definedName name="Commodity2" localSheetId="8">[4]Request!$I$49</definedName>
    <definedName name="Competitor" localSheetId="8">[4]Request!$I$54</definedName>
    <definedName name="CONTDE" localSheetId="8">#REF!</definedName>
    <definedName name="CONTFD" localSheetId="8">#REF!</definedName>
    <definedName name="CONTFE" localSheetId="8">#REF!</definedName>
    <definedName name="CONTPD" localSheetId="8">#REF!</definedName>
    <definedName name="CONTPE" localSheetId="8">#REF!</definedName>
    <definedName name="countries" localSheetId="8">[7]zones_input!$A$2:$C$202</definedName>
    <definedName name="country_selection" localSheetId="8">[7]control!$S$4:$S$5</definedName>
    <definedName name="CSource" localSheetId="8">[7]control!$D$27:$D$29</definedName>
    <definedName name="Cur_Disct" localSheetId="8">[4]Request!$P$19</definedName>
    <definedName name="Curr_and_Incr" localSheetId="8">[4]Request!$R$32</definedName>
    <definedName name="Curr_Incr" localSheetId="8">[4]Request!$M$32</definedName>
    <definedName name="Current" localSheetId="8">'[4]Shipments - current'!$E$4:$Z$65536</definedName>
    <definedName name="Current_Only" localSheetId="8">[4]Request!$P$32</definedName>
    <definedName name="CurrentDetail" localSheetId="8">'[4]Shipments - current'!$A$3</definedName>
    <definedName name="CurrentDetailEnd" localSheetId="8">'[4]Shipments - current'!$AH$3</definedName>
    <definedName name="Cust_Clear" localSheetId="8">[4]Request!$P$84</definedName>
    <definedName name="CustClearQ" localSheetId="8">[4]Request!$L$84</definedName>
    <definedName name="Customer" localSheetId="8">[8]Summary!$B$1</definedName>
    <definedName name="Date1" localSheetId="8">[4]Request!$P$17</definedName>
    <definedName name="Date2" localSheetId="8">[4]Request!$Q$17</definedName>
    <definedName name="Declared_Value" localSheetId="8">[4]Request!$E$89</definedName>
    <definedName name="Dest_Countries" localSheetId="8">[4]Request!$N$125:$N$150</definedName>
    <definedName name="Dest_Country_Copy" localSheetId="8">[4]Request!$R$19</definedName>
    <definedName name="Dest_Scenario" localSheetId="8">[4]Request!$E$78</definedName>
    <definedName name="Dest1" localSheetId="8">[4]Request!$N$125</definedName>
    <definedName name="Dest10" localSheetId="8">[4]Request!$N$134</definedName>
    <definedName name="Dest11" localSheetId="8">[4]Request!$N$135</definedName>
    <definedName name="Dest12" localSheetId="8">[4]Request!$N$136</definedName>
    <definedName name="Dest13" localSheetId="8">[4]Request!$N$137</definedName>
    <definedName name="Dest14" localSheetId="8">[4]Request!$N$138</definedName>
    <definedName name="Dest15" localSheetId="8">[4]Request!$N$139</definedName>
    <definedName name="Dest16" localSheetId="8">[4]Request!$N$140</definedName>
    <definedName name="Dest17" localSheetId="8">[4]Request!$N$141</definedName>
    <definedName name="Dest18" localSheetId="8">[4]Request!$N$142</definedName>
    <definedName name="Dest19" localSheetId="8">[4]Request!$N$143</definedName>
    <definedName name="Dest2" localSheetId="8">[4]Request!$N$126</definedName>
    <definedName name="Dest20" localSheetId="8">[4]Request!$N$144</definedName>
    <definedName name="Dest21" localSheetId="8">[4]Request!$N$145</definedName>
    <definedName name="Dest22" localSheetId="8">[4]Request!$N$146</definedName>
    <definedName name="Dest23" localSheetId="8">[4]Request!$N$147</definedName>
    <definedName name="Dest24" localSheetId="8">[4]Request!$N$148</definedName>
    <definedName name="Dest25" localSheetId="8">[4]Request!$N$149</definedName>
    <definedName name="Dest26" localSheetId="8">[4]Request!$N$150</definedName>
    <definedName name="Dest3" localSheetId="8">[4]Request!$N$127</definedName>
    <definedName name="Dest4" localSheetId="8">[4]Request!$N$128</definedName>
    <definedName name="Dest5" localSheetId="8">[4]Request!$N$129</definedName>
    <definedName name="Dest6" localSheetId="8">[4]Request!$N$130</definedName>
    <definedName name="Dest7" localSheetId="8">[4]Request!$N$131</definedName>
    <definedName name="Dest8" localSheetId="8">[4]Request!$N$132</definedName>
    <definedName name="Dest9" localSheetId="8">[4]Request!$N$133</definedName>
    <definedName name="Division" localSheetId="8">[7]control!$O$27:$O$28</definedName>
    <definedName name="DOT" localSheetId="8">[7]control!$L$27:$L$29</definedName>
    <definedName name="dox" localSheetId="8">#REF!</definedName>
    <definedName name="dsfd" localSheetId="8">#REF!</definedName>
    <definedName name="EndMonth" localSheetId="8">[4]TempVariables!$H$3</definedName>
    <definedName name="ExDocDisc" localSheetId="8">[6]Discounts!$D$15:$Q$15,[6]Discounts!$S$15:$T$15</definedName>
    <definedName name="ExNDocDisc" localSheetId="8">[6]Discounts!$D$16:$Q$16,[6]Discounts!$S$16:$T$16,[6]Discounts!$D$22:$M$22,[6]Discounts!$O$22:$P$22,[6]Discounts!$T$22:$T$22</definedName>
    <definedName name="Expt638" localSheetId="8">#REF!</definedName>
    <definedName name="ExptPrepaid" localSheetId="8">'[10]Expt Disc prepaid'!#REF!</definedName>
    <definedName name="FDX" localSheetId="8">[4]Request!$A$50</definedName>
    <definedName name="FDX_Shpmts" localSheetId="8">[4]Request!$P$52</definedName>
    <definedName name="FXShpQ" localSheetId="8">[4]Request!$L$52</definedName>
    <definedName name="GroundWB" localSheetId="8">'[11]Customer Info'!$Y$20:$AB$26</definedName>
    <definedName name="GrpExcl_ll" localSheetId="8">[4]TempVariables!$D$2</definedName>
    <definedName name="GrpExcl_ul" localSheetId="8">[4]TempVariables!$E$2</definedName>
    <definedName name="GrpIncl_ll" localSheetId="8">[4]TempVariables!$B$2</definedName>
    <definedName name="GrpIncl_ul" localSheetId="8">[4]TempVariables!$C$2</definedName>
    <definedName name="Header" localSheetId="8">'[9]Expt Disc prepaid'!#REF!</definedName>
    <definedName name="home" localSheetId="8">[4]Request!$B$17</definedName>
    <definedName name="ImDocDisc" localSheetId="8">[6]Discounts!$D$29,[6]Discounts!$F$29:$Q$29,[6]Discounts!$T$29</definedName>
    <definedName name="IMListRates" localSheetId="8">#REF!</definedName>
    <definedName name="ImNDocDisc" localSheetId="8">[6]Discounts!$D$30:$D$30,[6]Discounts!$F$30:$Q$30,[6]Discounts!$T$30:$T$30,[6]Discounts!$D$36:$D$36,[6]Discounts!$F$36:$M$36,[6]Discounts!$O$36:$P$36,[6]Discounts!$T$36:$T$36</definedName>
    <definedName name="Import" localSheetId="8">[4]Request!$Q$33</definedName>
    <definedName name="Import_Pricing" localSheetId="8">#REF!</definedName>
    <definedName name="Impt_Inbnd" localSheetId="8">[4]Request!$L$33</definedName>
    <definedName name="ImptCheck" localSheetId="8">[4]Request!$Q$19</definedName>
    <definedName name="Inbound" localSheetId="8">[4]Request!$P$33</definedName>
    <definedName name="Inbound_Pricing" localSheetId="8">#REF!</definedName>
    <definedName name="Incremental_Only" localSheetId="8">[4]Request!$Q$32</definedName>
    <definedName name="IZ" localSheetId="8">#REF!</definedName>
    <definedName name="Kg_Apprv_Dt" localSheetId="8">#REF!</definedName>
    <definedName name="Kg_APPS_Chk" localSheetId="8">'[4]Shipments - kg'!$A$1138</definedName>
    <definedName name="Kg_AWPS_Chk" localSheetId="8">'[4]Shipments - kg'!$A$1117</definedName>
    <definedName name="Kg_Cntry_Disct" localSheetId="8">'[4]Discounts - kg'!$AB$108</definedName>
    <definedName name="kg_Disc_Edit_Check" localSheetId="8">#REF!</definedName>
    <definedName name="Kg_Discts" localSheetId="8">'[4]Discounts - kg'!$A$16:$IV$98</definedName>
    <definedName name="Kg_Dsc_Cntry" localSheetId="8">'[4]Discounts - kg'!$A$1:$IV$15</definedName>
    <definedName name="Kg_Dsc_IE_Cur_Disct" localSheetId="8">'[4]Discounts - kg'!$A$68:$IV$75</definedName>
    <definedName name="Kg_Dsc_IE_Hdr" localSheetId="8">'[4]Discounts - kg'!$A$60:$IV$62</definedName>
    <definedName name="Kg_Dsc_IE_Min_Hdr" localSheetId="8">'[4]Discounts - kg'!$A$63:$IV$64</definedName>
    <definedName name="Kg_Dsc_IE_Min_IE" localSheetId="8">'[4]Discounts - kg'!$A$65:$IV$65</definedName>
    <definedName name="Kg_Dsc_IE_Min_IEF" localSheetId="8">'[4]Discounts - kg'!$A$66:$IV$67</definedName>
    <definedName name="Kg_Dsc_IE_Pct_Disct" localSheetId="8">'[4]Discounts - kg'!$A$76:$IV$92</definedName>
    <definedName name="Kg_Dsc_IEF_Pct_Disct" localSheetId="8">'[4]Discounts - kg'!$A$93:$IV$99</definedName>
    <definedName name="Kg_Dsc_IP_Cur_Disct" localSheetId="8">'[4]Discounts - kg'!$A$25:$IV$31</definedName>
    <definedName name="Kg_Dsc_IP_Hdr" localSheetId="8">'[4]Discounts - kg'!$A$16:$IV$17</definedName>
    <definedName name="Kg_Dsc_IP_Min_Hdr" localSheetId="8">'[4]Discounts - kg'!$A$18:$IV$19</definedName>
    <definedName name="Kg_Dsc_IP_Min_IP" localSheetId="8">'[4]Discounts - kg'!$A$20:$IV$22</definedName>
    <definedName name="Kg_Dsc_IP_Min_IPF" localSheetId="8">'[4]Discounts - kg'!$A$23:$IV$24</definedName>
    <definedName name="Kg_Dsc_IP_Pct_Disct" localSheetId="8">'[4]Discounts - kg'!$A$32:$IV$50</definedName>
    <definedName name="Kg_Dsc_IPF_Pct_Disct" localSheetId="8">'[4]Discounts - kg'!$A$51:$IV$59</definedName>
    <definedName name="Kg_Dsc_Origin_Cntry" localSheetId="8">'[4]Discounts - kg'!$B$7:$AA$7</definedName>
    <definedName name="Kg_Incr_Shp_IE" localSheetId="8">'[4]Shipments - kg'!$A$162</definedName>
    <definedName name="Kg_Incr_Shp_IEF" localSheetId="8">'[4]Shipments - kg'!$A$163</definedName>
    <definedName name="Kg_Incr_Shp_IP" localSheetId="8">'[4]Shipments - kg'!$A$160</definedName>
    <definedName name="Kg_Incr_Shp_IPF" localSheetId="8">'[4]Shipments - kg'!$A$161</definedName>
    <definedName name="Kg_Rng_Cur_Disct_IE" localSheetId="8">'[4]Discounts - kg'!$B$72:$AA$74</definedName>
    <definedName name="Kg_Rng_Cur_Disct_IP" localSheetId="8">'[4]Discounts - kg'!$B$26:$AA$30</definedName>
    <definedName name="Kg_Rng_Disct_IE" localSheetId="8">'[4]Discounts - kg'!$B$78:$AA$84</definedName>
    <definedName name="Kg_Rng_Disct_IEF" localSheetId="8">'[4]Discounts - kg'!$B$94:$AA$98</definedName>
    <definedName name="Kg_Rng_Disct_IEHW" localSheetId="8">'[4]Discounts - kg'!$B$87:$AA$91</definedName>
    <definedName name="Kg_Rng_Disct_IP" localSheetId="8">'[4]Discounts - kg'!$B$34:$AA$42</definedName>
    <definedName name="Kg_Rng_Disct_IPF" localSheetId="8">'[4]Discounts - kg'!$B$52:$AA$56</definedName>
    <definedName name="Kg_Rng_Disct_IPHW" localSheetId="8">'[4]Discounts - kg'!$B$45:$AA$49</definedName>
    <definedName name="Kg_Rng_Disct_Min_IE" localSheetId="8">'[4]Discounts - kg'!$B$65:$AA$66</definedName>
    <definedName name="Kg_Rng_Disct_Min_IP" localSheetId="8">'[4]Discounts - kg'!$B$20:$AA$23</definedName>
    <definedName name="Kg_Rng_Shpmts_APPS_IE" localSheetId="8">'[4]Shipments - kg'!$C$119:$AB$129</definedName>
    <definedName name="Kg_Rng_Shpmts_APPS_IEF" localSheetId="8">'[4]Shipments - kg'!$C$131:$AB$135</definedName>
    <definedName name="Kg_Rng_Shpmts_APPS_IP" localSheetId="8">'[4]Shipments - kg'!$C$53:$AB$63</definedName>
    <definedName name="Kg_Rng_Shpmts_APPS_IPF" localSheetId="8">'[4]Shipments - kg'!$C$65:$AB$69</definedName>
    <definedName name="Kg_Rng_Shpmts_AWPS_IE" localSheetId="8">'[4]Shipments - kg'!$C$99:$AB$109</definedName>
    <definedName name="Kg_Rng_Shpmts_AWPS_IEF" localSheetId="8">'[4]Shipments - kg'!$C$111:$AB$115</definedName>
    <definedName name="Kg_Rng_Shpmts_AWPS_IP" localSheetId="8">'[4]Shipments - kg'!$C$34:$AB$44</definedName>
    <definedName name="Kg_Rng_Shpmts_AWPS_IPF" localSheetId="8">'[4]Shipments - kg'!$C$46:$AB$50</definedName>
    <definedName name="Kg_Rng_Shpmts_Incr_IE" localSheetId="8">'[4]Shipments - kg'!$C$75:$AB$86</definedName>
    <definedName name="Kg_Rng_Shpmts_Incr_IEF" localSheetId="8">'[4]Shipments - kg'!$C$88:$AB$92</definedName>
    <definedName name="Kg_Rng_Shpmts_Incr_IP" localSheetId="8">'[4]Shipments - kg'!$C$10:$AB$23</definedName>
    <definedName name="Kg_Rng_Shpmts_Incr_IPF" localSheetId="8">'[4]Shipments - kg'!$C$25:$AB$29</definedName>
    <definedName name="Kg_Shp_Cntry" localSheetId="8">'[4]Shipments - kg'!$A$1:$IV$8</definedName>
    <definedName name="Kg_Shp_IE_APPS" localSheetId="8">'[4]Shipments - kg'!$A$117:$IV$129</definedName>
    <definedName name="Kg_Shp_IE_AWPS" localSheetId="8">'[4]Shipments - kg'!$A$97:$IV$109</definedName>
    <definedName name="Kg_Shp_IE_Incr" localSheetId="8">'[4]Shipments - kg'!$A$72:$IV$86</definedName>
    <definedName name="Kg_Shp_IE_Tot" localSheetId="8">'[4]Shipments - kg'!$A$93:$IV$96</definedName>
    <definedName name="Kg_Shp_IEF_APPS" localSheetId="8">'[4]Shipments - kg'!$A$130:$IV$136</definedName>
    <definedName name="Kg_Shp_IEF_APPS_Hdr" localSheetId="8">'[4]Shipments - kg'!$A$117:$IV$118</definedName>
    <definedName name="Kg_Shp_IEF_AWPS" localSheetId="8">'[4]Shipments - kg'!$A$110:$IV$116</definedName>
    <definedName name="Kg_Shp_IEF_AWPS_Hdr" localSheetId="8">'[4]Shipments - kg'!$A$97:$IV$98</definedName>
    <definedName name="Kg_Shp_IEF_Incr" localSheetId="8">'[4]Shipments - kg'!$A$87:$IV$92</definedName>
    <definedName name="Kg_Shp_IEF_Incr_Hdr" localSheetId="8">'[4]Shipments - kg'!$A$72:$IV$73</definedName>
    <definedName name="Kg_Shp_IP_APPS" localSheetId="8">'[4]Shipments - kg'!$A$51:$IV$63</definedName>
    <definedName name="Kg_Shp_IP_AWPS" localSheetId="8">'[4]Shipments - kg'!$A$33:$IV$44</definedName>
    <definedName name="Kg_Shp_IP_Incr" localSheetId="8">'[4]Shipments - kg'!$A$9:$IV$23</definedName>
    <definedName name="Kg_Shp_IP_Tot" localSheetId="8">'[4]Shipments - kg'!$A$30:$IV$32</definedName>
    <definedName name="Kg_Shp_IPF_APPS" localSheetId="8">'[4]Shipments - kg'!$A$64:$IV$71</definedName>
    <definedName name="Kg_Shp_IPF_APPS_Hdr" localSheetId="8">'[4]Shipments - kg'!$A$51:$IV$52</definedName>
    <definedName name="Kg_Shp_IPF_AWPS" localSheetId="8">'[4]Shipments - kg'!$A$45:$IV$50</definedName>
    <definedName name="Kg_Shp_IPF_AWPS_Hdr" localSheetId="8">'[4]Shipments - kg'!$A$33:$IV$33</definedName>
    <definedName name="Kg_Shp_IPF_Incr" localSheetId="8">'[4]Shipments - kg'!$A$24:$IV$29</definedName>
    <definedName name="Kg_Shp_IPF_Incr_Hdr" localSheetId="8">'[4]Shipments - kg'!$A$9:$IV$9</definedName>
    <definedName name="Kg_Shp_Origin_Cntry" localSheetId="8">'[4]Shipments - kg'!$C$6:$AB$6</definedName>
    <definedName name="Kg_Shpmt_Cntry" localSheetId="8">'[4]Shipments - kg'!$AD$140</definedName>
    <definedName name="Kg_Shpmt_Disct" localSheetId="8">'[4]Discounts - kg'!$A$200</definedName>
    <definedName name="Kg_Shpmts" localSheetId="8">'[4]Shipments - kg'!$A$9:$IV$135</definedName>
    <definedName name="Kg_Shpmts_AWPS_Reset" localSheetId="8">'[4]Shipments - kg'!$A$500</definedName>
    <definedName name="Kg_Shpmts_AWPS_Reset1" localSheetId="8">'[4]Shipments - kg'!$A$501</definedName>
    <definedName name="Kilograms" localSheetId="8">[4]Request!$P$25</definedName>
    <definedName name="Lb_Apprv_Dt" localSheetId="8">'[4]Approved Discts-lb'!$F$3</definedName>
    <definedName name="Lb_APPS_Chk" localSheetId="8">'[4]Shipments - lb'!$A$1138</definedName>
    <definedName name="Lb_AWPS_Chk" localSheetId="8">'[4]Shipments - lb'!$A$1117</definedName>
    <definedName name="Lb_Cntry_Disct" localSheetId="8">'[4]Discounts - lb'!$AB$108</definedName>
    <definedName name="lb_Disc_Edit_Check" localSheetId="8">'[4]Approved Discts-lb'!$AF$259</definedName>
    <definedName name="Lb_Discts" localSheetId="8">'[4]Discounts - lb'!$A$16:$IV$98</definedName>
    <definedName name="Lb_Dsc_Cntry" localSheetId="8">'[4]Discounts - lb'!$A$1:$IV$15</definedName>
    <definedName name="Lb_Dsc_IE_Cur_Disct" localSheetId="8">'[4]Discounts - lb'!$A$68:$IV$75</definedName>
    <definedName name="Lb_Dsc_IE_Hdr" localSheetId="8">'[4]Discounts - lb'!$A$60:$IV$62</definedName>
    <definedName name="Lb_Dsc_IE_Min_Hdr" localSheetId="8">'[4]Discounts - lb'!$A$63:$IV$64</definedName>
    <definedName name="Lb_Dsc_IE_Min_IE" localSheetId="8">'[4]Discounts - lb'!$A$65:$IV$65</definedName>
    <definedName name="Lb_Dsc_IE_Min_IEF" localSheetId="8">'[4]Discounts - lb'!$A$66:$IV$67</definedName>
    <definedName name="Lb_Dsc_IE_Pct_Disct" localSheetId="8">'[4]Discounts - lb'!$A$76:$IV$92</definedName>
    <definedName name="Lb_Dsc_IEF_Pct_Disct" localSheetId="8">'[4]Discounts - lb'!$A$93:$IV$99</definedName>
    <definedName name="Lb_Dsc_IEF8" localSheetId="8">'[4]Discounts - lb'!$A$94:$IV$94</definedName>
    <definedName name="Lb_Dsc_IP_Cur_Disct" localSheetId="8">'[4]Discounts - lb'!$A$25:$IV$31</definedName>
    <definedName name="Lb_Dsc_IP_Hdr" localSheetId="8">'[4]Discounts - lb'!$A$16:$IV$17</definedName>
    <definedName name="Lb_Dsc_IP_Min_Hdr" localSheetId="8">'[4]Discounts - lb'!$A$18:$IV$19</definedName>
    <definedName name="Lb_Dsc_IP_Min_IP" localSheetId="8">'[4]Discounts - lb'!$A$20:$IV$22</definedName>
    <definedName name="Lb_Dsc_IP_Min_IPF" localSheetId="8">'[4]Discounts - lb'!$A$23:$IV$24</definedName>
    <definedName name="Lb_Dsc_IP_Pct_Disct" localSheetId="8">'[4]Discounts - lb'!$A$32:$IV$50</definedName>
    <definedName name="Lb_Dsc_IPF_Pct_Disct" localSheetId="8">'[4]Discounts - lb'!$A$51:$IV$59</definedName>
    <definedName name="Lb_Dsc_IPF8" localSheetId="8">'[4]Discounts - lb'!$A$52:$IV$52</definedName>
    <definedName name="Lb_Dsc_Origin_Cntry" localSheetId="8">'[4]Discounts - lb'!$B$7:$AA$7</definedName>
    <definedName name="Lb_Incr_Shp_IE" localSheetId="8">'[4]Shipments - lb'!$A$162</definedName>
    <definedName name="Lb_Incr_Shp_IEF" localSheetId="8">'[4]Shipments - lb'!$A$163</definedName>
    <definedName name="Lb_Incr_Shp_IP" localSheetId="8">'[4]Shipments - lb'!$A$160</definedName>
    <definedName name="Lb_Incr_Shp_IPF" localSheetId="8">'[4]Shipments - lb'!$A$161</definedName>
    <definedName name="Lb_Rng_Cur_Disct_IE" localSheetId="8">'[4]Discounts - lb'!$B$72:$AA$74</definedName>
    <definedName name="Lb_Rng_Cur_Disct_IP" localSheetId="8">'[4]Discounts - lb'!$B$26:$AA$30</definedName>
    <definedName name="Lb_Rng_Disct_IE" localSheetId="8">'[4]Discounts - lb'!$B$78:$AA$84</definedName>
    <definedName name="Lb_Rng_Disct_IEF" localSheetId="8">'[4]Discounts - lb'!$B$94:$AA$98</definedName>
    <definedName name="Lb_Rng_Disct_IEHW" localSheetId="8">'[4]Discounts - lb'!$B$87:$AA$91</definedName>
    <definedName name="Lb_Rng_Disct_IP" localSheetId="8">'[4]Discounts - lb'!$B$34:$AA$42</definedName>
    <definedName name="Lb_Rng_Disct_IPF" localSheetId="8">'[4]Discounts - lb'!$B$52:$AA$56</definedName>
    <definedName name="Lb_Rng_Disct_IPHW" localSheetId="8">'[4]Discounts - lb'!$B$45:$AA$49</definedName>
    <definedName name="Lb_Rng_Disct_Min_IE" localSheetId="8">'[4]Discounts - lb'!$B$65:$AA$66</definedName>
    <definedName name="Lb_Rng_Disct_Min_IP" localSheetId="8">'[4]Discounts - lb'!$B$20:$AA$23</definedName>
    <definedName name="Lb_Rng_Shpmts_APPS_IE" localSheetId="8">'[4]Shipments - lb'!$C$119:$AB$129</definedName>
    <definedName name="Lb_Rng_Shpmts_APPS_IEF" localSheetId="8">'[4]Shipments - lb'!$C$131:$AB$135</definedName>
    <definedName name="Lb_Rng_Shpmts_APPS_IP" localSheetId="8">'[4]Shipments - lb'!$C$53:$AB$63</definedName>
    <definedName name="Lb_Rng_Shpmts_APPS_IPF" localSheetId="8">'[4]Shipments - lb'!$C$65:$AB$69</definedName>
    <definedName name="Lb_Rng_Shpmts_AWPS_IE" localSheetId="8">'[4]Shipments - lb'!$C$99:$AB$109</definedName>
    <definedName name="Lb_Rng_Shpmts_AWPS_IEF" localSheetId="8">'[4]Shipments - lb'!$C$111:$AB$115</definedName>
    <definedName name="Lb_Rng_Shpmts_AWPS_IP" localSheetId="8">'[4]Shipments - lb'!$C$34:$AB$44</definedName>
    <definedName name="Lb_Rng_Shpmts_AWPS_IPF" localSheetId="8">'[4]Shipments - lb'!$C$46:$AB$50</definedName>
    <definedName name="Lb_Rng_Shpmts_Incr_IE" localSheetId="8">'[4]Shipments - lb'!$C$75:$AB$86</definedName>
    <definedName name="Lb_Rng_Shpmts_Incr_IEF" localSheetId="8">'[4]Shipments - lb'!$C$88:$AB$92</definedName>
    <definedName name="Lb_Rng_Shpmts_Incr_IP" localSheetId="8">'[4]Shipments - lb'!$C$10:$AB$23</definedName>
    <definedName name="Lb_Rng_Shpmts_Incr_IPF" localSheetId="8">'[4]Shipments - lb'!$C$25:$AB$29</definedName>
    <definedName name="Lb_Shp_Cntry" localSheetId="8">'[4]Shipments - lb'!$A$1:$IV$8</definedName>
    <definedName name="Lb_Shp_IE_APPS" localSheetId="8">'[4]Shipments - lb'!$A$117:$IV$129</definedName>
    <definedName name="Lb_Shp_IE_AWPS" localSheetId="8">'[4]Shipments - lb'!$A$97:$IV$109</definedName>
    <definedName name="Lb_Shp_IE_Incr" localSheetId="8">'[4]Shipments - lb'!$A$72:$IV$86</definedName>
    <definedName name="Lb_Shp_IE_Tot" localSheetId="8">'[4]Shipments - lb'!$A$93:$IV$96</definedName>
    <definedName name="Lb_Shp_IEF_APPS" localSheetId="8">'[4]Shipments - lb'!$A$130:$IV$136</definedName>
    <definedName name="Lb_Shp_IEF_APPS_Hdr" localSheetId="8">'[4]Shipments - lb'!$A$117:$IV$118</definedName>
    <definedName name="Lb_Shp_IEF_AWPS" localSheetId="8">'[4]Shipments - lb'!$A$110:$IV$116</definedName>
    <definedName name="Lb_Shp_IEF_AWPS_Hdr" localSheetId="8">'[4]Shipments - lb'!$A$97:$IV$98</definedName>
    <definedName name="Lb_Shp_IEF_Incr" localSheetId="8">'[4]Shipments - lb'!$A$87:$IV$92</definedName>
    <definedName name="Lb_Shp_IEF_Incr_Hdr" localSheetId="8">'[4]Shipments - lb'!$A$72:$IV$73</definedName>
    <definedName name="Lb_Shp_IEF8_APPS" localSheetId="8">'[4]Shipments - lb'!$A$131:$IV$131</definedName>
    <definedName name="Lb_Shp_IEF8_AWPS" localSheetId="8">'[4]Shipments - lb'!$A$111:$IV$111</definedName>
    <definedName name="Lb_Shp_IEF8_Incr" localSheetId="8">'[4]Shipments - lb'!$A$88:$IV$88</definedName>
    <definedName name="Lb_Shp_IP_APPS" localSheetId="8">'[4]Shipments - lb'!$A$51:$IV$63</definedName>
    <definedName name="Lb_Shp_IP_AWPS" localSheetId="8">'[4]Shipments - lb'!$A$33:$IV$44</definedName>
    <definedName name="Lb_Shp_IP_Incr" localSheetId="8">'[4]Shipments - lb'!$A$9:$IV$23</definedName>
    <definedName name="Lb_Shp_IP_Tot" localSheetId="8">'[4]Shipments - lb'!$A$30:$IV$32</definedName>
    <definedName name="Lb_Shp_IPF_APPS" localSheetId="8">'[4]Shipments - lb'!$A$64:$IV$71</definedName>
    <definedName name="Lb_Shp_IPF_APPS_Hdr" localSheetId="8">'[4]Shipments - lb'!$A$51:$IV$52</definedName>
    <definedName name="Lb_Shp_IPF_AWPS" localSheetId="8">'[4]Shipments - lb'!$A$45:$IV$50</definedName>
    <definedName name="Lb_Shp_IPF_AWPS_Hdr" localSheetId="8">'[4]Shipments - lb'!$A$33:$IV$33</definedName>
    <definedName name="Lb_Shp_IPF_Incr" localSheetId="8">'[4]Shipments - lb'!$A$24:$IV$29</definedName>
    <definedName name="Lb_Shp_IPF_Incr_Hdr" localSheetId="8">'[4]Shipments - lb'!$A$9:$IV$9</definedName>
    <definedName name="Lb_Shp_IPF8_APPS" localSheetId="8">'[4]Shipments - lb'!$A$65:$IV$65</definedName>
    <definedName name="Lb_Shp_IPF8_AWPS" localSheetId="8">'[4]Shipments - lb'!$A$46:$IV$46</definedName>
    <definedName name="Lb_Shp_IPF8_Incr" localSheetId="8">'[4]Shipments - lb'!$A$25:$IV$25</definedName>
    <definedName name="Lb_Shp_Origin_Cntry" localSheetId="8">'[4]Shipments - lb'!$C$6:$AB$6</definedName>
    <definedName name="Lb_Shpmt_Cntry" localSheetId="8">'[4]Shipments - lb'!$AD$140</definedName>
    <definedName name="Lb_Shpmt_Disct" localSheetId="8">'[4]Discounts - lb'!$A$200</definedName>
    <definedName name="Lb_Shpmts" localSheetId="8">'[4]Shipments - lb'!$A$9:$IV$135</definedName>
    <definedName name="Lb_Shpmts_AWPS_Reset" localSheetId="8">'[4]Shipments - lb'!$A$500</definedName>
    <definedName name="Lb_Shpmts_AWPS_Reset1" localSheetId="8">'[4]Shipments - lb'!$A$501</definedName>
    <definedName name="LocalAccts" localSheetId="8">[4]TempVariables!$F$2</definedName>
    <definedName name="Locations" localSheetId="8">[4]Request!$C$124</definedName>
    <definedName name="LOOKUP" localSheetId="8">#REF!</definedName>
    <definedName name="Major_Origin_Cities" localSheetId="8">[4]Request!$E$124</definedName>
    <definedName name="MBG" localSheetId="8">[4]Request!$G$42</definedName>
    <definedName name="MBG_NotReq" localSheetId="8">[4]Request!$P$44</definedName>
    <definedName name="MBG_Option" localSheetId="8">[4]Request!$M$44</definedName>
    <definedName name="MBG_Req" localSheetId="8">[4]Request!$Q$44</definedName>
    <definedName name="MINTABLE" localSheetId="8">[11]SURCHARGES!$H$9:$U$15</definedName>
    <definedName name="ModelDate" localSheetId="8">[4]Request!$K$1</definedName>
    <definedName name="NatlAccts" localSheetId="8">[4]TempVariables!$A$2</definedName>
    <definedName name="NDAAll" localSheetId="8">'[11]Customer Info'!$V$9</definedName>
    <definedName name="Old_Payor_No" localSheetId="8">[4]Request!$E$56</definedName>
    <definedName name="Old_Shipper_No" localSheetId="8">[4]Request!$E$54</definedName>
    <definedName name="Op_Months" localSheetId="8">'[4]Shipments - current'!$B$1</definedName>
    <definedName name="Op_Scenario" localSheetId="8">[4]Request!$P$74</definedName>
    <definedName name="OpQ" localSheetId="8">[4]Request!$L$74</definedName>
    <definedName name="OptionType" localSheetId="8">[7]control!$F$27:$F$29</definedName>
    <definedName name="Orig_Region_1" localSheetId="8">[4]Request!$A$125</definedName>
    <definedName name="Orig_Region_10" localSheetId="8">[4]Request!$A$134</definedName>
    <definedName name="Orig_Region_11" localSheetId="8">[4]Request!$A$135</definedName>
    <definedName name="Orig_Region_12" localSheetId="8">[4]Request!$A$136</definedName>
    <definedName name="Orig_Region_13" localSheetId="8">[4]Request!$A$137</definedName>
    <definedName name="Orig_Region_14" localSheetId="8">[4]Request!$A$138</definedName>
    <definedName name="Orig_Region_15" localSheetId="8">[4]Request!$A$139</definedName>
    <definedName name="Orig_Region_16" localSheetId="8">[4]Request!$A$140</definedName>
    <definedName name="Orig_Region_17" localSheetId="8">[4]Request!$A$141</definedName>
    <definedName name="Orig_Region_18" localSheetId="8">[4]Request!$A$142</definedName>
    <definedName name="Orig_Region_19" localSheetId="8">[4]Request!$A$143</definedName>
    <definedName name="Orig_Region_2" localSheetId="8">[4]Request!$A$126</definedName>
    <definedName name="Orig_Region_20" localSheetId="8">[4]Request!$A$144</definedName>
    <definedName name="Orig_Region_21" localSheetId="8">[4]Request!$A$145</definedName>
    <definedName name="Orig_Region_22" localSheetId="8">[4]Request!$A$146</definedName>
    <definedName name="Orig_Region_23" localSheetId="8">[4]Request!$A$147</definedName>
    <definedName name="Orig_Region_24" localSheetId="8">[4]Request!$A$148</definedName>
    <definedName name="Orig_Region_25" localSheetId="8">[4]Request!$A$149</definedName>
    <definedName name="Orig_Region_26" localSheetId="8">[4]Request!$A$150</definedName>
    <definedName name="Orig_Region_3" localSheetId="8">[4]Request!$A$127</definedName>
    <definedName name="Orig_Region_4" localSheetId="8">[4]Request!$A$128</definedName>
    <definedName name="Orig_Region_5" localSheetId="8">[4]Request!$A$129</definedName>
    <definedName name="Orig_Region_6" localSheetId="8">[4]Request!$A$130</definedName>
    <definedName name="Orig_Region_7" localSheetId="8">[4]Request!$A$131</definedName>
    <definedName name="Orig_Region_8" localSheetId="8">[4]Request!$A$132</definedName>
    <definedName name="Orig_Region_9" localSheetId="8">[4]Request!$A$133</definedName>
    <definedName name="Orig1" localSheetId="8">[4]Request!$L$125</definedName>
    <definedName name="Orig10" localSheetId="8">[4]Request!$L$134</definedName>
    <definedName name="Orig11" localSheetId="8">[4]Request!$L$135</definedName>
    <definedName name="Orig12" localSheetId="8">[4]Request!$L$136</definedName>
    <definedName name="Orig13" localSheetId="8">[4]Request!$L$137</definedName>
    <definedName name="Orig14" localSheetId="8">[4]Request!$L$138</definedName>
    <definedName name="Orig15" localSheetId="8">[4]Request!$L$139</definedName>
    <definedName name="Orig16" localSheetId="8">[4]Request!$L$140</definedName>
    <definedName name="Orig17" localSheetId="8">[4]Request!$L$141</definedName>
    <definedName name="Orig18" localSheetId="8">[4]Request!$L$142</definedName>
    <definedName name="Orig19" localSheetId="8">[4]Request!$L$143</definedName>
    <definedName name="Orig2" localSheetId="8">[4]Request!$L$126</definedName>
    <definedName name="Orig20" localSheetId="8">[4]Request!$L$144</definedName>
    <definedName name="Orig21" localSheetId="8">[4]Request!$L$145</definedName>
    <definedName name="Orig22" localSheetId="8">[4]Request!$L$146</definedName>
    <definedName name="Orig23" localSheetId="8">[4]Request!$L$147</definedName>
    <definedName name="Orig24" localSheetId="8">[4]Request!$L$148</definedName>
    <definedName name="Orig25" localSheetId="8">[4]Request!$L$149</definedName>
    <definedName name="Orig26" localSheetId="8">[4]Request!$L$150</definedName>
    <definedName name="Orig3" localSheetId="8">[4]Request!$L$127</definedName>
    <definedName name="Orig4" localSheetId="8">[4]Request!$L$128</definedName>
    <definedName name="Orig5" localSheetId="8">[4]Request!$L$129</definedName>
    <definedName name="Orig6" localSheetId="8">[4]Request!$L$130</definedName>
    <definedName name="Orig7" localSheetId="8">[4]Request!$L$131</definedName>
    <definedName name="Orig8" localSheetId="8">[4]Request!$L$132</definedName>
    <definedName name="Orig9" localSheetId="8">[4]Request!$L$133</definedName>
    <definedName name="Origin" localSheetId="8">[4]Request!$B$124</definedName>
    <definedName name="Origin_Countries" localSheetId="8">[4]Request!$L$125:$L$150</definedName>
    <definedName name="Origin_Country_Code" localSheetId="8">[4]Countries!$G$4:$H$224</definedName>
    <definedName name="Origin_Country_Name_Code" localSheetId="8">[4]Countries!$B$4:$C$224</definedName>
    <definedName name="Origin_Scenario" localSheetId="8">[4]Request!$E$76</definedName>
    <definedName name="parcels" localSheetId="8">#REF!</definedName>
    <definedName name="Password" localSheetId="8">[4]TempVariables!$O$3</definedName>
    <definedName name="Payor_Acct1" localSheetId="8">[4]Request!$I$23</definedName>
    <definedName name="Payor_Acct2" localSheetId="8">[4]Request!$I$25</definedName>
    <definedName name="Payor_Acct3" localSheetId="8">[4]Request!$I$27</definedName>
    <definedName name="Payor_Country" localSheetId="8">[4]Request!$M$19</definedName>
    <definedName name="Payor_Table" localSheetId="8">[4]Countries!$HI$4:$HR$101</definedName>
    <definedName name="PayorRgn" localSheetId="8">[4]Request!$P$15</definedName>
    <definedName name="PNH" localSheetId="8">#REF!</definedName>
    <definedName name="Pricing_Requested" localSheetId="8">[4]Request!$A$33</definedName>
    <definedName name="Product" localSheetId="8">[7]control!$N$27:$N$38</definedName>
    <definedName name="Provinces_Cities" localSheetId="8">[4]Request!$E$125:$E$150</definedName>
    <definedName name="Range1" localSheetId="8">#REF!</definedName>
    <definedName name="Region" localSheetId="8">[4]Request!$O$16</definedName>
    <definedName name="Region_Rev" localSheetId="8">[4]Request!$E$112:$E$116</definedName>
    <definedName name="RO" localSheetId="8">#REF!</definedName>
    <definedName name="road" localSheetId="8">#REF!</definedName>
    <definedName name="RTH" localSheetId="8">#REF!</definedName>
    <definedName name="Sales_AE" localSheetId="8">[4]Request!$B$21</definedName>
    <definedName name="Sales_Manager" localSheetId="8">[4]Request!$B$19</definedName>
    <definedName name="SDAALL" localSheetId="8">'[11]Customer Info'!$V$15</definedName>
    <definedName name="Service_IE" localSheetId="8">[4]Request!$R$46</definedName>
    <definedName name="Service_IE_IEF" localSheetId="8">[4]Request!$R$47</definedName>
    <definedName name="Service_IEF" localSheetId="8">[4]Request!$S$46</definedName>
    <definedName name="Service_IP" localSheetId="8">[4]Request!$P$46</definedName>
    <definedName name="Service_IP_IPF" localSheetId="8">[4]Request!$P$47</definedName>
    <definedName name="Service_IPF" localSheetId="8">[4]Request!$Q$46</definedName>
    <definedName name="Service_Type" localSheetId="8">[4]Request!$L$48</definedName>
    <definedName name="Services_Requested" localSheetId="8">[4]Request!$A$42</definedName>
    <definedName name="Ship_Locations" localSheetId="8">[4]Request!$M$125:$M$150</definedName>
    <definedName name="Ship_Tender" localSheetId="8">[4]Request!$E$68</definedName>
    <definedName name="Show9DigitAccts" localSheetId="8">[4]TempVariables!$J$3</definedName>
    <definedName name="SlsChan" localSheetId="8">[7]control!$B$27:$B$28</definedName>
    <definedName name="Spec_Op" localSheetId="8">[4]Request!$A$72</definedName>
    <definedName name="StartMonth" localSheetId="8">[4]TempVariables!$G$3</definedName>
    <definedName name="Strategy" localSheetId="8">[4]Request!$A$108</definedName>
    <definedName name="SurchargeType" localSheetId="8">[7]control!$I$27:$I$32</definedName>
    <definedName name="TABLE" localSheetId="8">#REF!</definedName>
    <definedName name="TempVariables" localSheetId="8">[4]TempVariables!$A$1</definedName>
    <definedName name="Tier" localSheetId="8">'[12]Portfolio Discount'!#REF!</definedName>
    <definedName name="Tot_Annual_Rev" localSheetId="8">[4]Request!$E$117</definedName>
    <definedName name="USAcctsOnly" localSheetId="8">[4]TempVariables!$I$3</definedName>
    <definedName name="UserID" localSheetId="8">[4]TempVariables!$N$3</definedName>
    <definedName name="Value_2K" localSheetId="8">[4]Request!$E$88</definedName>
    <definedName name="values" localSheetId="8">[4]Request!$L$16:$O$150</definedName>
    <definedName name="WtMetric" localSheetId="8">[4]Request!$B$25</definedName>
    <definedName name="YN" localSheetId="8">[7]control!$P$27:$P$28</definedName>
    <definedName name="zone" localSheetId="8">#REF!</definedName>
    <definedName name="ZonedOut" localSheetId="8">[7]rates_input!$R$5:$Z$8</definedName>
    <definedName name="ZonedOut1" localSheetId="8">[7]rates_input!$I$6:$Z$8</definedName>
    <definedName name="ZonedOut2" localSheetId="8">[7]rates_input!$I$7:$Z$8</definedName>
    <definedName name="ZONELU" localSheetId="8">[11]SURCHARGES!$B$9:$D$59</definedName>
    <definedName name="Zones" localSheetId="8">#REF!,#REF!,#REF!,#REF!</definedName>
    <definedName name="Zones_New" localSheetId="8">[7]zones_input!$B$1:$G$65536</definedName>
    <definedName name="_Fill" localSheetId="9" hidden="1">[2]Express!#REF!</definedName>
    <definedName name="_Key1" localSheetId="9" hidden="1">#REF!</definedName>
    <definedName name="_Loc1" localSheetId="9">[3]Request!$M$125</definedName>
    <definedName name="_Loc10" localSheetId="9">[4]Request!$M$134</definedName>
    <definedName name="_Loc11" localSheetId="9">[4]Request!$M$135</definedName>
    <definedName name="_Loc12" localSheetId="9">[4]Request!$M$136</definedName>
    <definedName name="_Loc13" localSheetId="9">[4]Request!$M$137</definedName>
    <definedName name="_Loc14" localSheetId="9">[4]Request!$M$138</definedName>
    <definedName name="_Loc15" localSheetId="9">[4]Request!$M$139</definedName>
    <definedName name="_Loc16" localSheetId="9">[4]Request!$M$140</definedName>
    <definedName name="_Loc17" localSheetId="9">[4]Request!$M$141</definedName>
    <definedName name="_Loc18" localSheetId="9">[4]Request!$M$142</definedName>
    <definedName name="_Loc19" localSheetId="9">[4]Request!$M$143</definedName>
    <definedName name="_Loc2" localSheetId="9">[4]Request!$M$126</definedName>
    <definedName name="_Loc20" localSheetId="9">[4]Request!$M$144</definedName>
    <definedName name="_Loc21" localSheetId="9">[4]Request!$M$145</definedName>
    <definedName name="_Loc22" localSheetId="9">[4]Request!$M$146</definedName>
    <definedName name="_Loc23" localSheetId="9">[4]Request!$M$147</definedName>
    <definedName name="_Loc24" localSheetId="9">[4]Request!$M$148</definedName>
    <definedName name="_Loc25" localSheetId="9">[4]Request!$M$149</definedName>
    <definedName name="_Loc26" localSheetId="9">[4]Request!$M$150</definedName>
    <definedName name="_Loc3" localSheetId="9">[4]Request!$M$127</definedName>
    <definedName name="_Loc4" localSheetId="9">[4]Request!$M$128</definedName>
    <definedName name="_Loc5" localSheetId="9">[4]Request!$M$129</definedName>
    <definedName name="_Loc6" localSheetId="9">[4]Request!$M$130</definedName>
    <definedName name="_Loc7" localSheetId="9">[4]Request!$M$131</definedName>
    <definedName name="_Loc8" localSheetId="9">[4]Request!$M$132</definedName>
    <definedName name="_Loc9" localSheetId="9">[4]Request!$M$133</definedName>
    <definedName name="_Sort" localSheetId="9" hidden="1">[1]Express!#REF!</definedName>
    <definedName name="a" localSheetId="9" hidden="1">[1]Express!#REF!</definedName>
    <definedName name="Account" localSheetId="9">[4]Request!$B$17</definedName>
    <definedName name="Acct_number" localSheetId="9">[5]Summary!$E$2</definedName>
    <definedName name="AFD" localSheetId="9">#REF!</definedName>
    <definedName name="Agent" localSheetId="9">[4]Request!$A$60</definedName>
    <definedName name="Agent_Comm" localSheetId="9">[4]Request!$E$64</definedName>
    <definedName name="Agent_Delivery" localSheetId="9">[4]Request!$O$62</definedName>
    <definedName name="Agent_Involved" localSheetId="9">[4]Request!$P$62</definedName>
    <definedName name="Agent_Pickup" localSheetId="9">[4]Request!$N$62</definedName>
    <definedName name="Agent_Services" localSheetId="9">[4]Request!$E$66</definedName>
    <definedName name="AgentQ" localSheetId="9">[4]Request!$L$62</definedName>
    <definedName name="AllDiscountArea" localSheetId="9">[6]Discounts!$D$15:$Q$16,[6]Discounts!$S$15:$T$16,[6]Discounts!$D$22:$M$22,[6]Discounts!$O$22:$P$22,[6]Discounts!$T$22:$T$22,[6]Discounts!$D$29:$D$30,[6]Discounts!$F$29:$Q$30,[6]Discounts!$T$29:$T$30,[6]Discounts!$D$36:$D$36,[6]Discounts!$F$36:$M$36,[6]Discounts!$O$36:$P$36,[6]Discounts!$T$36:$T$36</definedName>
    <definedName name="Alph_countries" localSheetId="9">[7]zones_input!$A$2:$A$214</definedName>
    <definedName name="anakg" localSheetId="9">'[4]Shipments - kg current'!$D$1</definedName>
    <definedName name="analb" localSheetId="9">'[4]Shipments - lb current'!$D$1</definedName>
    <definedName name="ApDsctKgADNR" localSheetId="9">#REF!</definedName>
    <definedName name="ApDsctKgComm" localSheetId="9">#REF!</definedName>
    <definedName name="ApDsctKgH1" localSheetId="9">#REF!</definedName>
    <definedName name="ApDsctKgH2" localSheetId="9">#REF!</definedName>
    <definedName name="ApDsctKgIEAppCurDisct" localSheetId="9">#REF!</definedName>
    <definedName name="ApDsctKgIEAppMin" localSheetId="9">#REF!</definedName>
    <definedName name="ApDsctKgIEReqCurDisct" localSheetId="9">#REF!</definedName>
    <definedName name="ApDsctKgIEReqMin" localSheetId="9">#REF!</definedName>
    <definedName name="ApDsctKgIERestore" localSheetId="9">#REF!</definedName>
    <definedName name="ApDsctKgIPAppCurDisct" localSheetId="9">#REF!</definedName>
    <definedName name="ApDsctKgIPAppMin" localSheetId="9">#REF!</definedName>
    <definedName name="ApDsctKgIPReqCurDisct" localSheetId="9">#REF!</definedName>
    <definedName name="ApDsctKgIPReqMin" localSheetId="9">#REF!</definedName>
    <definedName name="ApDsctKgIPRestore" localSheetId="9">#REF!</definedName>
    <definedName name="ApDsctKgLR" localSheetId="9">#REF!</definedName>
    <definedName name="ApDsctKgLR1" localSheetId="9">#REF!</definedName>
    <definedName name="ApDsctKgQ1" localSheetId="9">#REF!</definedName>
    <definedName name="ApDsctKgQ10" localSheetId="9">#REF!</definedName>
    <definedName name="ApDsctKgQ2" localSheetId="9">#REF!</definedName>
    <definedName name="ApDsctKgQ3" localSheetId="9">#REF!</definedName>
    <definedName name="ApDsctKgQ4" localSheetId="9">#REF!</definedName>
    <definedName name="ApDsctKgQ5" localSheetId="9">#REF!</definedName>
    <definedName name="ApDsctKgQ6" localSheetId="9">#REF!</definedName>
    <definedName name="ApDsctKgQ7" localSheetId="9">#REF!</definedName>
    <definedName name="ApDsctKgQ8" localSheetId="9">#REF!</definedName>
    <definedName name="ApDsctKgQ9" localSheetId="9">#REF!</definedName>
    <definedName name="ApDsctKgRMIE" localSheetId="9">#REF!</definedName>
    <definedName name="ApDsctKgRMIP" localSheetId="9">#REF!</definedName>
    <definedName name="ApDsctKgSIE" localSheetId="9">#REF!</definedName>
    <definedName name="ApDsctKgSIP" localSheetId="9">#REF!</definedName>
    <definedName name="ApDsctLbADNR" localSheetId="9">'[4]Approved Discts-lb'!$F$7:$AE$7</definedName>
    <definedName name="ApDsctLbComm" localSheetId="9">'[4]Approved Discts-lb'!$F$159</definedName>
    <definedName name="ApDsctLbH1" localSheetId="9">'[4]Approved Discts-lb'!$F$3:$H$4</definedName>
    <definedName name="ApDsctLbH2" localSheetId="9">'[4]Approved Discts-lb'!$Z$3:$Z$4</definedName>
    <definedName name="ApDsctLbIEAppCurDisct" localSheetId="9">'[4]Approved Discts-lb'!$A$111:$AE$114</definedName>
    <definedName name="ApDsctLbIEAppMin" localSheetId="9">'[4]Approved Discts-lb'!$A$108:$AE$110</definedName>
    <definedName name="ApDsctLbIEReqCurDisct" localSheetId="9">'[4]Approved Discts-lb'!$A$85:$AE$88</definedName>
    <definedName name="ApDsctLbIEReqMin" localSheetId="9">'[4]Approved Discts-lb'!$B$82:$AE$84</definedName>
    <definedName name="ApDsctLbIERestore" localSheetId="9">'[4]Approved Discts-lb'!$F$364:$AE$387</definedName>
    <definedName name="ApDsctLbIPAppCurDisct" localSheetId="9">'[4]Approved Discts-lb'!$A$50:$AE$55</definedName>
    <definedName name="ApDsctLbIPAppMin" localSheetId="9">'[4]Approved Discts-lb'!$A$45:$AE$49</definedName>
    <definedName name="ApDsctLbIPReqCurDisct" localSheetId="9">'[4]Approved Discts-lb'!$A$18:$AE$23</definedName>
    <definedName name="ApDsctLbIPReqMin" localSheetId="9">'[4]Approved Discts-lb'!$A$13:$AE$17</definedName>
    <definedName name="ApDsctLbIPRestore" localSheetId="9">'[4]Approved Discts-lb'!$F$326:$AE$355</definedName>
    <definedName name="ApDsctLbLR" localSheetId="9">'[4]Approved Discts-lb'!$F$11:$AE$11</definedName>
    <definedName name="ApDsctLbLR1" localSheetId="9">'[4]Approved Discts-lb'!$F$81:$AE$81</definedName>
    <definedName name="ApDsctLbQ1" localSheetId="9">'[4]Approved Discts-lb'!$AG$134</definedName>
    <definedName name="ApDsctLbQ10" localSheetId="9">'[4]Approved Discts-lb'!$AG$154</definedName>
    <definedName name="ApDsctLbQ2" localSheetId="9">'[4]Approved Discts-lb'!$AG$136</definedName>
    <definedName name="ApDsctLbQ3" localSheetId="9">'[4]Approved Discts-lb'!$AG$138</definedName>
    <definedName name="ApDsctLbQ4" localSheetId="9">'[4]Approved Discts-lb'!$AG$141</definedName>
    <definedName name="ApDsctLbQ5" localSheetId="9">'[4]Approved Discts-lb'!$AG$143</definedName>
    <definedName name="ApDsctLbQ6" localSheetId="9">'[4]Approved Discts-lb'!$AG$145</definedName>
    <definedName name="ApDsctLbQ7" localSheetId="9">'[4]Approved Discts-lb'!$AG$147</definedName>
    <definedName name="ApDsctLbQ8" localSheetId="9">'[4]Approved Discts-lb'!$AG$149</definedName>
    <definedName name="ApDsctLbQ9" localSheetId="9">'[4]Approved Discts-lb'!$AG$151</definedName>
    <definedName name="ApDsctLbRMIE" localSheetId="9">'[4]Approved Discts-lb'!$F$109:$AE$132</definedName>
    <definedName name="ApDsctLbRMIP" localSheetId="9">'[4]Approved Discts-lb'!$F$46:$AE$75</definedName>
    <definedName name="ApDsctLbSIE" localSheetId="9">'[4]Approved Discts-lb'!$F$83:$AE$106</definedName>
    <definedName name="ApDsctLbSIP" localSheetId="9">'[4]Approved Discts-lb'!$F$14:$AE$43</definedName>
    <definedName name="Approval" localSheetId="9">[4]Request!$P$16</definedName>
    <definedName name="Bill_3P" localSheetId="9">[4]Request!$M$29</definedName>
    <definedName name="Bill_Consignee" localSheetId="9">[4]Request!$L$29</definedName>
    <definedName name="Billing_Option" localSheetId="9">[4]Request!$A$29</definedName>
    <definedName name="Business_Type" localSheetId="9">[4]Request!$G$31</definedName>
    <definedName name="BWE" localSheetId="9">[4]TempVariables!$K$3</definedName>
    <definedName name="Chk_Origin_Cntry" localSheetId="9">[4]Request!$L$151</definedName>
    <definedName name="Chk_Provinces_Cities" localSheetId="9">[4]Request!$S$151</definedName>
    <definedName name="Chk_Ship_Loc" localSheetId="9">[4]Request!$R$151</definedName>
    <definedName name="Clearance_Reqd" localSheetId="9">[4]Request!$A$82</definedName>
    <definedName name="Commodity1" localSheetId="9">[4]Request!$I$48</definedName>
    <definedName name="Commodity2" localSheetId="9">[4]Request!$I$49</definedName>
    <definedName name="Competitor" localSheetId="9">[4]Request!$I$54</definedName>
    <definedName name="CONTDE" localSheetId="9">#REF!</definedName>
    <definedName name="CONTFD" localSheetId="9">#REF!</definedName>
    <definedName name="CONTFE" localSheetId="9">#REF!</definedName>
    <definedName name="CONTPD" localSheetId="9">#REF!</definedName>
    <definedName name="CONTPE" localSheetId="9">#REF!</definedName>
    <definedName name="countries" localSheetId="9">[7]zones_input!$A$2:$C$202</definedName>
    <definedName name="country_selection" localSheetId="9">[7]control!$S$4:$S$5</definedName>
    <definedName name="CSource" localSheetId="9">[7]control!$D$27:$D$29</definedName>
    <definedName name="Cur_Disct" localSheetId="9">[4]Request!$P$19</definedName>
    <definedName name="Curr_and_Incr" localSheetId="9">[4]Request!$R$32</definedName>
    <definedName name="Curr_Incr" localSheetId="9">[4]Request!$M$32</definedName>
    <definedName name="Current" localSheetId="9">'[4]Shipments - current'!$E$4:$Z$65536</definedName>
    <definedName name="Current_Only" localSheetId="9">[4]Request!$P$32</definedName>
    <definedName name="CurrentDetail" localSheetId="9">'[4]Shipments - current'!$A$3</definedName>
    <definedName name="CurrentDetailEnd" localSheetId="9">'[4]Shipments - current'!$AH$3</definedName>
    <definedName name="Cust_Clear" localSheetId="9">[4]Request!$P$84</definedName>
    <definedName name="CustClearQ" localSheetId="9">[4]Request!$L$84</definedName>
    <definedName name="Customer" localSheetId="9">[8]Summary!$B$1</definedName>
    <definedName name="Date1" localSheetId="9">[4]Request!$P$17</definedName>
    <definedName name="Date2" localSheetId="9">[4]Request!$Q$17</definedName>
    <definedName name="Declared_Value" localSheetId="9">[4]Request!$E$89</definedName>
    <definedName name="Dest_Countries" localSheetId="9">[4]Request!$N$125:$N$150</definedName>
    <definedName name="Dest_Country_Copy" localSheetId="9">[4]Request!$R$19</definedName>
    <definedName name="Dest_Scenario" localSheetId="9">[4]Request!$E$78</definedName>
    <definedName name="Dest1" localSheetId="9">[4]Request!$N$125</definedName>
    <definedName name="Dest10" localSheetId="9">[4]Request!$N$134</definedName>
    <definedName name="Dest11" localSheetId="9">[4]Request!$N$135</definedName>
    <definedName name="Dest12" localSheetId="9">[4]Request!$N$136</definedName>
    <definedName name="Dest13" localSheetId="9">[4]Request!$N$137</definedName>
    <definedName name="Dest14" localSheetId="9">[4]Request!$N$138</definedName>
    <definedName name="Dest15" localSheetId="9">[4]Request!$N$139</definedName>
    <definedName name="Dest16" localSheetId="9">[4]Request!$N$140</definedName>
    <definedName name="Dest17" localSheetId="9">[4]Request!$N$141</definedName>
    <definedName name="Dest18" localSheetId="9">[4]Request!$N$142</definedName>
    <definedName name="Dest19" localSheetId="9">[4]Request!$N$143</definedName>
    <definedName name="Dest2" localSheetId="9">[4]Request!$N$126</definedName>
    <definedName name="Dest20" localSheetId="9">[4]Request!$N$144</definedName>
    <definedName name="Dest21" localSheetId="9">[4]Request!$N$145</definedName>
    <definedName name="Dest22" localSheetId="9">[4]Request!$N$146</definedName>
    <definedName name="Dest23" localSheetId="9">[4]Request!$N$147</definedName>
    <definedName name="Dest24" localSheetId="9">[4]Request!$N$148</definedName>
    <definedName name="Dest25" localSheetId="9">[4]Request!$N$149</definedName>
    <definedName name="Dest26" localSheetId="9">[4]Request!$N$150</definedName>
    <definedName name="Dest3" localSheetId="9">[4]Request!$N$127</definedName>
    <definedName name="Dest4" localSheetId="9">[4]Request!$N$128</definedName>
    <definedName name="Dest5" localSheetId="9">[4]Request!$N$129</definedName>
    <definedName name="Dest6" localSheetId="9">[4]Request!$N$130</definedName>
    <definedName name="Dest7" localSheetId="9">[4]Request!$N$131</definedName>
    <definedName name="Dest8" localSheetId="9">[4]Request!$N$132</definedName>
    <definedName name="Dest9" localSheetId="9">[4]Request!$N$133</definedName>
    <definedName name="Division" localSheetId="9">[7]control!$O$27:$O$28</definedName>
    <definedName name="DOT" localSheetId="9">[7]control!$L$27:$L$29</definedName>
    <definedName name="dox" localSheetId="9">#REF!</definedName>
    <definedName name="dsfd" localSheetId="9">#REF!</definedName>
    <definedName name="EndMonth" localSheetId="9">[4]TempVariables!$H$3</definedName>
    <definedName name="ExDocDisc" localSheetId="9">[6]Discounts!$D$15:$Q$15,[6]Discounts!$S$15:$T$15</definedName>
    <definedName name="ExNDocDisc" localSheetId="9">[6]Discounts!$D$16:$Q$16,[6]Discounts!$S$16:$T$16,[6]Discounts!$D$22:$M$22,[6]Discounts!$O$22:$P$22,[6]Discounts!$T$22:$T$22</definedName>
    <definedName name="Expt638" localSheetId="9">#REF!</definedName>
    <definedName name="ExptPrepaid" localSheetId="9">'[10]Expt Disc prepaid'!#REF!</definedName>
    <definedName name="FDX" localSheetId="9">[4]Request!$A$50</definedName>
    <definedName name="FDX_Shpmts" localSheetId="9">[4]Request!$P$52</definedName>
    <definedName name="FXShpQ" localSheetId="9">[4]Request!$L$52</definedName>
    <definedName name="GroundWB" localSheetId="9">'[11]Customer Info'!$Y$20:$AB$26</definedName>
    <definedName name="GrpExcl_ll" localSheetId="9">[4]TempVariables!$D$2</definedName>
    <definedName name="GrpExcl_ul" localSheetId="9">[4]TempVariables!$E$2</definedName>
    <definedName name="GrpIncl_ll" localSheetId="9">[4]TempVariables!$B$2</definedName>
    <definedName name="GrpIncl_ul" localSheetId="9">[4]TempVariables!$C$2</definedName>
    <definedName name="Header" localSheetId="9">'[9]Expt Disc prepaid'!#REF!</definedName>
    <definedName name="home" localSheetId="9">[4]Request!$B$17</definedName>
    <definedName name="ImDocDisc" localSheetId="9">[6]Discounts!$D$29,[6]Discounts!$F$29:$Q$29,[6]Discounts!$T$29</definedName>
    <definedName name="IMListRates" localSheetId="9">#REF!</definedName>
    <definedName name="ImNDocDisc" localSheetId="9">[6]Discounts!$D$30:$D$30,[6]Discounts!$F$30:$Q$30,[6]Discounts!$T$30:$T$30,[6]Discounts!$D$36:$D$36,[6]Discounts!$F$36:$M$36,[6]Discounts!$O$36:$P$36,[6]Discounts!$T$36:$T$36</definedName>
    <definedName name="Import" localSheetId="9">[4]Request!$Q$33</definedName>
    <definedName name="Import_Pricing" localSheetId="9">#REF!</definedName>
    <definedName name="Impt_Inbnd" localSheetId="9">[4]Request!$L$33</definedName>
    <definedName name="ImptCheck" localSheetId="9">[4]Request!$Q$19</definedName>
    <definedName name="Inbound" localSheetId="9">[4]Request!$P$33</definedName>
    <definedName name="Inbound_Pricing" localSheetId="9">#REF!</definedName>
    <definedName name="Incremental_Only" localSheetId="9">[4]Request!$Q$32</definedName>
    <definedName name="IZ" localSheetId="9">#REF!</definedName>
    <definedName name="Kg_Apprv_Dt" localSheetId="9">#REF!</definedName>
    <definedName name="Kg_APPS_Chk" localSheetId="9">'[4]Shipments - kg'!$A$1138</definedName>
    <definedName name="Kg_AWPS_Chk" localSheetId="9">'[4]Shipments - kg'!$A$1117</definedName>
    <definedName name="Kg_Cntry_Disct" localSheetId="9">'[4]Discounts - kg'!$AB$108</definedName>
    <definedName name="kg_Disc_Edit_Check" localSheetId="9">#REF!</definedName>
    <definedName name="Kg_Discts" localSheetId="9">'[4]Discounts - kg'!$A$16:$IV$98</definedName>
    <definedName name="Kg_Dsc_Cntry" localSheetId="9">'[4]Discounts - kg'!$A$1:$IV$15</definedName>
    <definedName name="Kg_Dsc_IE_Cur_Disct" localSheetId="9">'[4]Discounts - kg'!$A$68:$IV$75</definedName>
    <definedName name="Kg_Dsc_IE_Hdr" localSheetId="9">'[4]Discounts - kg'!$A$60:$IV$62</definedName>
    <definedName name="Kg_Dsc_IE_Min_Hdr" localSheetId="9">'[4]Discounts - kg'!$A$63:$IV$64</definedName>
    <definedName name="Kg_Dsc_IE_Min_IE" localSheetId="9">'[4]Discounts - kg'!$A$65:$IV$65</definedName>
    <definedName name="Kg_Dsc_IE_Min_IEF" localSheetId="9">'[4]Discounts - kg'!$A$66:$IV$67</definedName>
    <definedName name="Kg_Dsc_IE_Pct_Disct" localSheetId="9">'[4]Discounts - kg'!$A$76:$IV$92</definedName>
    <definedName name="Kg_Dsc_IEF_Pct_Disct" localSheetId="9">'[4]Discounts - kg'!$A$93:$IV$99</definedName>
    <definedName name="Kg_Dsc_IP_Cur_Disct" localSheetId="9">'[4]Discounts - kg'!$A$25:$IV$31</definedName>
    <definedName name="Kg_Dsc_IP_Hdr" localSheetId="9">'[4]Discounts - kg'!$A$16:$IV$17</definedName>
    <definedName name="Kg_Dsc_IP_Min_Hdr" localSheetId="9">'[4]Discounts - kg'!$A$18:$IV$19</definedName>
    <definedName name="Kg_Dsc_IP_Min_IP" localSheetId="9">'[4]Discounts - kg'!$A$20:$IV$22</definedName>
    <definedName name="Kg_Dsc_IP_Min_IPF" localSheetId="9">'[4]Discounts - kg'!$A$23:$IV$24</definedName>
    <definedName name="Kg_Dsc_IP_Pct_Disct" localSheetId="9">'[4]Discounts - kg'!$A$32:$IV$50</definedName>
    <definedName name="Kg_Dsc_IPF_Pct_Disct" localSheetId="9">'[4]Discounts - kg'!$A$51:$IV$59</definedName>
    <definedName name="Kg_Dsc_Origin_Cntry" localSheetId="9">'[4]Discounts - kg'!$B$7:$AA$7</definedName>
    <definedName name="Kg_Incr_Shp_IE" localSheetId="9">'[4]Shipments - kg'!$A$162</definedName>
    <definedName name="Kg_Incr_Shp_IEF" localSheetId="9">'[4]Shipments - kg'!$A$163</definedName>
    <definedName name="Kg_Incr_Shp_IP" localSheetId="9">'[4]Shipments - kg'!$A$160</definedName>
    <definedName name="Kg_Incr_Shp_IPF" localSheetId="9">'[4]Shipments - kg'!$A$161</definedName>
    <definedName name="Kg_Rng_Cur_Disct_IE" localSheetId="9">'[4]Discounts - kg'!$B$72:$AA$74</definedName>
    <definedName name="Kg_Rng_Cur_Disct_IP" localSheetId="9">'[4]Discounts - kg'!$B$26:$AA$30</definedName>
    <definedName name="Kg_Rng_Disct_IE" localSheetId="9">'[4]Discounts - kg'!$B$78:$AA$84</definedName>
    <definedName name="Kg_Rng_Disct_IEF" localSheetId="9">'[4]Discounts - kg'!$B$94:$AA$98</definedName>
    <definedName name="Kg_Rng_Disct_IEHW" localSheetId="9">'[4]Discounts - kg'!$B$87:$AA$91</definedName>
    <definedName name="Kg_Rng_Disct_IP" localSheetId="9">'[4]Discounts - kg'!$B$34:$AA$42</definedName>
    <definedName name="Kg_Rng_Disct_IPF" localSheetId="9">'[4]Discounts - kg'!$B$52:$AA$56</definedName>
    <definedName name="Kg_Rng_Disct_IPHW" localSheetId="9">'[4]Discounts - kg'!$B$45:$AA$49</definedName>
    <definedName name="Kg_Rng_Disct_Min_IE" localSheetId="9">'[4]Discounts - kg'!$B$65:$AA$66</definedName>
    <definedName name="Kg_Rng_Disct_Min_IP" localSheetId="9">'[4]Discounts - kg'!$B$20:$AA$23</definedName>
    <definedName name="Kg_Rng_Shpmts_APPS_IE" localSheetId="9">'[4]Shipments - kg'!$C$119:$AB$129</definedName>
    <definedName name="Kg_Rng_Shpmts_APPS_IEF" localSheetId="9">'[4]Shipments - kg'!$C$131:$AB$135</definedName>
    <definedName name="Kg_Rng_Shpmts_APPS_IP" localSheetId="9">'[4]Shipments - kg'!$C$53:$AB$63</definedName>
    <definedName name="Kg_Rng_Shpmts_APPS_IPF" localSheetId="9">'[4]Shipments - kg'!$C$65:$AB$69</definedName>
    <definedName name="Kg_Rng_Shpmts_AWPS_IE" localSheetId="9">'[4]Shipments - kg'!$C$99:$AB$109</definedName>
    <definedName name="Kg_Rng_Shpmts_AWPS_IEF" localSheetId="9">'[4]Shipments - kg'!$C$111:$AB$115</definedName>
    <definedName name="Kg_Rng_Shpmts_AWPS_IP" localSheetId="9">'[4]Shipments - kg'!$C$34:$AB$44</definedName>
    <definedName name="Kg_Rng_Shpmts_AWPS_IPF" localSheetId="9">'[4]Shipments - kg'!$C$46:$AB$50</definedName>
    <definedName name="Kg_Rng_Shpmts_Incr_IE" localSheetId="9">'[4]Shipments - kg'!$C$75:$AB$86</definedName>
    <definedName name="Kg_Rng_Shpmts_Incr_IEF" localSheetId="9">'[4]Shipments - kg'!$C$88:$AB$92</definedName>
    <definedName name="Kg_Rng_Shpmts_Incr_IP" localSheetId="9">'[4]Shipments - kg'!$C$10:$AB$23</definedName>
    <definedName name="Kg_Rng_Shpmts_Incr_IPF" localSheetId="9">'[4]Shipments - kg'!$C$25:$AB$29</definedName>
    <definedName name="Kg_Shp_Cntry" localSheetId="9">'[4]Shipments - kg'!$A$1:$IV$8</definedName>
    <definedName name="Kg_Shp_IE_APPS" localSheetId="9">'[4]Shipments - kg'!$A$117:$IV$129</definedName>
    <definedName name="Kg_Shp_IE_AWPS" localSheetId="9">'[4]Shipments - kg'!$A$97:$IV$109</definedName>
    <definedName name="Kg_Shp_IE_Incr" localSheetId="9">'[4]Shipments - kg'!$A$72:$IV$86</definedName>
    <definedName name="Kg_Shp_IE_Tot" localSheetId="9">'[4]Shipments - kg'!$A$93:$IV$96</definedName>
    <definedName name="Kg_Shp_IEF_APPS" localSheetId="9">'[4]Shipments - kg'!$A$130:$IV$136</definedName>
    <definedName name="Kg_Shp_IEF_APPS_Hdr" localSheetId="9">'[4]Shipments - kg'!$A$117:$IV$118</definedName>
    <definedName name="Kg_Shp_IEF_AWPS" localSheetId="9">'[4]Shipments - kg'!$A$110:$IV$116</definedName>
    <definedName name="Kg_Shp_IEF_AWPS_Hdr" localSheetId="9">'[4]Shipments - kg'!$A$97:$IV$98</definedName>
    <definedName name="Kg_Shp_IEF_Incr" localSheetId="9">'[4]Shipments - kg'!$A$87:$IV$92</definedName>
    <definedName name="Kg_Shp_IEF_Incr_Hdr" localSheetId="9">'[4]Shipments - kg'!$A$72:$IV$73</definedName>
    <definedName name="Kg_Shp_IP_APPS" localSheetId="9">'[4]Shipments - kg'!$A$51:$IV$63</definedName>
    <definedName name="Kg_Shp_IP_AWPS" localSheetId="9">'[4]Shipments - kg'!$A$33:$IV$44</definedName>
    <definedName name="Kg_Shp_IP_Incr" localSheetId="9">'[4]Shipments - kg'!$A$9:$IV$23</definedName>
    <definedName name="Kg_Shp_IP_Tot" localSheetId="9">'[4]Shipments - kg'!$A$30:$IV$32</definedName>
    <definedName name="Kg_Shp_IPF_APPS" localSheetId="9">'[4]Shipments - kg'!$A$64:$IV$71</definedName>
    <definedName name="Kg_Shp_IPF_APPS_Hdr" localSheetId="9">'[4]Shipments - kg'!$A$51:$IV$52</definedName>
    <definedName name="Kg_Shp_IPF_AWPS" localSheetId="9">'[4]Shipments - kg'!$A$45:$IV$50</definedName>
    <definedName name="Kg_Shp_IPF_AWPS_Hdr" localSheetId="9">'[4]Shipments - kg'!$A$33:$IV$33</definedName>
    <definedName name="Kg_Shp_IPF_Incr" localSheetId="9">'[4]Shipments - kg'!$A$24:$IV$29</definedName>
    <definedName name="Kg_Shp_IPF_Incr_Hdr" localSheetId="9">'[4]Shipments - kg'!$A$9:$IV$9</definedName>
    <definedName name="Kg_Shp_Origin_Cntry" localSheetId="9">'[4]Shipments - kg'!$C$6:$AB$6</definedName>
    <definedName name="Kg_Shpmt_Cntry" localSheetId="9">'[4]Shipments - kg'!$AD$140</definedName>
    <definedName name="Kg_Shpmt_Disct" localSheetId="9">'[4]Discounts - kg'!$A$200</definedName>
    <definedName name="Kg_Shpmts" localSheetId="9">'[4]Shipments - kg'!$A$9:$IV$135</definedName>
    <definedName name="Kg_Shpmts_AWPS_Reset" localSheetId="9">'[4]Shipments - kg'!$A$500</definedName>
    <definedName name="Kg_Shpmts_AWPS_Reset1" localSheetId="9">'[4]Shipments - kg'!$A$501</definedName>
    <definedName name="Kilograms" localSheetId="9">[4]Request!$P$25</definedName>
    <definedName name="Lb_Apprv_Dt" localSheetId="9">'[4]Approved Discts-lb'!$F$3</definedName>
    <definedName name="Lb_APPS_Chk" localSheetId="9">'[4]Shipments - lb'!$A$1138</definedName>
    <definedName name="Lb_AWPS_Chk" localSheetId="9">'[4]Shipments - lb'!$A$1117</definedName>
    <definedName name="Lb_Cntry_Disct" localSheetId="9">'[4]Discounts - lb'!$AB$108</definedName>
    <definedName name="lb_Disc_Edit_Check" localSheetId="9">'[4]Approved Discts-lb'!$AF$259</definedName>
    <definedName name="Lb_Discts" localSheetId="9">'[4]Discounts - lb'!$A$16:$IV$98</definedName>
    <definedName name="Lb_Dsc_Cntry" localSheetId="9">'[4]Discounts - lb'!$A$1:$IV$15</definedName>
    <definedName name="Lb_Dsc_IE_Cur_Disct" localSheetId="9">'[4]Discounts - lb'!$A$68:$IV$75</definedName>
    <definedName name="Lb_Dsc_IE_Hdr" localSheetId="9">'[4]Discounts - lb'!$A$60:$IV$62</definedName>
    <definedName name="Lb_Dsc_IE_Min_Hdr" localSheetId="9">'[4]Discounts - lb'!$A$63:$IV$64</definedName>
    <definedName name="Lb_Dsc_IE_Min_IE" localSheetId="9">'[4]Discounts - lb'!$A$65:$IV$65</definedName>
    <definedName name="Lb_Dsc_IE_Min_IEF" localSheetId="9">'[4]Discounts - lb'!$A$66:$IV$67</definedName>
    <definedName name="Lb_Dsc_IE_Pct_Disct" localSheetId="9">'[4]Discounts - lb'!$A$76:$IV$92</definedName>
    <definedName name="Lb_Dsc_IEF_Pct_Disct" localSheetId="9">'[4]Discounts - lb'!$A$93:$IV$99</definedName>
    <definedName name="Lb_Dsc_IEF8" localSheetId="9">'[4]Discounts - lb'!$A$94:$IV$94</definedName>
    <definedName name="Lb_Dsc_IP_Cur_Disct" localSheetId="9">'[4]Discounts - lb'!$A$25:$IV$31</definedName>
    <definedName name="Lb_Dsc_IP_Hdr" localSheetId="9">'[4]Discounts - lb'!$A$16:$IV$17</definedName>
    <definedName name="Lb_Dsc_IP_Min_Hdr" localSheetId="9">'[4]Discounts - lb'!$A$18:$IV$19</definedName>
    <definedName name="Lb_Dsc_IP_Min_IP" localSheetId="9">'[4]Discounts - lb'!$A$20:$IV$22</definedName>
    <definedName name="Lb_Dsc_IP_Min_IPF" localSheetId="9">'[4]Discounts - lb'!$A$23:$IV$24</definedName>
    <definedName name="Lb_Dsc_IP_Pct_Disct" localSheetId="9">'[4]Discounts - lb'!$A$32:$IV$50</definedName>
    <definedName name="Lb_Dsc_IPF_Pct_Disct" localSheetId="9">'[4]Discounts - lb'!$A$51:$IV$59</definedName>
    <definedName name="Lb_Dsc_IPF8" localSheetId="9">'[4]Discounts - lb'!$A$52:$IV$52</definedName>
    <definedName name="Lb_Dsc_Origin_Cntry" localSheetId="9">'[4]Discounts - lb'!$B$7:$AA$7</definedName>
    <definedName name="Lb_Incr_Shp_IE" localSheetId="9">'[4]Shipments - lb'!$A$162</definedName>
    <definedName name="Lb_Incr_Shp_IEF" localSheetId="9">'[4]Shipments - lb'!$A$163</definedName>
    <definedName name="Lb_Incr_Shp_IP" localSheetId="9">'[4]Shipments - lb'!$A$160</definedName>
    <definedName name="Lb_Incr_Shp_IPF" localSheetId="9">'[4]Shipments - lb'!$A$161</definedName>
    <definedName name="Lb_Rng_Cur_Disct_IE" localSheetId="9">'[4]Discounts - lb'!$B$72:$AA$74</definedName>
    <definedName name="Lb_Rng_Cur_Disct_IP" localSheetId="9">'[4]Discounts - lb'!$B$26:$AA$30</definedName>
    <definedName name="Lb_Rng_Disct_IE" localSheetId="9">'[4]Discounts - lb'!$B$78:$AA$84</definedName>
    <definedName name="Lb_Rng_Disct_IEF" localSheetId="9">'[4]Discounts - lb'!$B$94:$AA$98</definedName>
    <definedName name="Lb_Rng_Disct_IEHW" localSheetId="9">'[4]Discounts - lb'!$B$87:$AA$91</definedName>
    <definedName name="Lb_Rng_Disct_IP" localSheetId="9">'[4]Discounts - lb'!$B$34:$AA$42</definedName>
    <definedName name="Lb_Rng_Disct_IPF" localSheetId="9">'[4]Discounts - lb'!$B$52:$AA$56</definedName>
    <definedName name="Lb_Rng_Disct_IPHW" localSheetId="9">'[4]Discounts - lb'!$B$45:$AA$49</definedName>
    <definedName name="Lb_Rng_Disct_Min_IE" localSheetId="9">'[4]Discounts - lb'!$B$65:$AA$66</definedName>
    <definedName name="Lb_Rng_Disct_Min_IP" localSheetId="9">'[4]Discounts - lb'!$B$20:$AA$23</definedName>
    <definedName name="Lb_Rng_Shpmts_APPS_IE" localSheetId="9">'[4]Shipments - lb'!$C$119:$AB$129</definedName>
    <definedName name="Lb_Rng_Shpmts_APPS_IEF" localSheetId="9">'[4]Shipments - lb'!$C$131:$AB$135</definedName>
    <definedName name="Lb_Rng_Shpmts_APPS_IP" localSheetId="9">'[4]Shipments - lb'!$C$53:$AB$63</definedName>
    <definedName name="Lb_Rng_Shpmts_APPS_IPF" localSheetId="9">'[4]Shipments - lb'!$C$65:$AB$69</definedName>
    <definedName name="Lb_Rng_Shpmts_AWPS_IE" localSheetId="9">'[4]Shipments - lb'!$C$99:$AB$109</definedName>
    <definedName name="Lb_Rng_Shpmts_AWPS_IEF" localSheetId="9">'[4]Shipments - lb'!$C$111:$AB$115</definedName>
    <definedName name="Lb_Rng_Shpmts_AWPS_IP" localSheetId="9">'[4]Shipments - lb'!$C$34:$AB$44</definedName>
    <definedName name="Lb_Rng_Shpmts_AWPS_IPF" localSheetId="9">'[4]Shipments - lb'!$C$46:$AB$50</definedName>
    <definedName name="Lb_Rng_Shpmts_Incr_IE" localSheetId="9">'[4]Shipments - lb'!$C$75:$AB$86</definedName>
    <definedName name="Lb_Rng_Shpmts_Incr_IEF" localSheetId="9">'[4]Shipments - lb'!$C$88:$AB$92</definedName>
    <definedName name="Lb_Rng_Shpmts_Incr_IP" localSheetId="9">'[4]Shipments - lb'!$C$10:$AB$23</definedName>
    <definedName name="Lb_Rng_Shpmts_Incr_IPF" localSheetId="9">'[4]Shipments - lb'!$C$25:$AB$29</definedName>
    <definedName name="Lb_Shp_Cntry" localSheetId="9">'[4]Shipments - lb'!$A$1:$IV$8</definedName>
    <definedName name="Lb_Shp_IE_APPS" localSheetId="9">'[4]Shipments - lb'!$A$117:$IV$129</definedName>
    <definedName name="Lb_Shp_IE_AWPS" localSheetId="9">'[4]Shipments - lb'!$A$97:$IV$109</definedName>
    <definedName name="Lb_Shp_IE_Incr" localSheetId="9">'[4]Shipments - lb'!$A$72:$IV$86</definedName>
    <definedName name="Lb_Shp_IE_Tot" localSheetId="9">'[4]Shipments - lb'!$A$93:$IV$96</definedName>
    <definedName name="Lb_Shp_IEF_APPS" localSheetId="9">'[4]Shipments - lb'!$A$130:$IV$136</definedName>
    <definedName name="Lb_Shp_IEF_APPS_Hdr" localSheetId="9">'[4]Shipments - lb'!$A$117:$IV$118</definedName>
    <definedName name="Lb_Shp_IEF_AWPS" localSheetId="9">'[4]Shipments - lb'!$A$110:$IV$116</definedName>
    <definedName name="Lb_Shp_IEF_AWPS_Hdr" localSheetId="9">'[4]Shipments - lb'!$A$97:$IV$98</definedName>
    <definedName name="Lb_Shp_IEF_Incr" localSheetId="9">'[4]Shipments - lb'!$A$87:$IV$92</definedName>
    <definedName name="Lb_Shp_IEF_Incr_Hdr" localSheetId="9">'[4]Shipments - lb'!$A$72:$IV$73</definedName>
    <definedName name="Lb_Shp_IEF8_APPS" localSheetId="9">'[4]Shipments - lb'!$A$131:$IV$131</definedName>
    <definedName name="Lb_Shp_IEF8_AWPS" localSheetId="9">'[4]Shipments - lb'!$A$111:$IV$111</definedName>
    <definedName name="Lb_Shp_IEF8_Incr" localSheetId="9">'[4]Shipments - lb'!$A$88:$IV$88</definedName>
    <definedName name="Lb_Shp_IP_APPS" localSheetId="9">'[4]Shipments - lb'!$A$51:$IV$63</definedName>
    <definedName name="Lb_Shp_IP_AWPS" localSheetId="9">'[4]Shipments - lb'!$A$33:$IV$44</definedName>
    <definedName name="Lb_Shp_IP_Incr" localSheetId="9">'[4]Shipments - lb'!$A$9:$IV$23</definedName>
    <definedName name="Lb_Shp_IP_Tot" localSheetId="9">'[4]Shipments - lb'!$A$30:$IV$32</definedName>
    <definedName name="Lb_Shp_IPF_APPS" localSheetId="9">'[4]Shipments - lb'!$A$64:$IV$71</definedName>
    <definedName name="Lb_Shp_IPF_APPS_Hdr" localSheetId="9">'[4]Shipments - lb'!$A$51:$IV$52</definedName>
    <definedName name="Lb_Shp_IPF_AWPS" localSheetId="9">'[4]Shipments - lb'!$A$45:$IV$50</definedName>
    <definedName name="Lb_Shp_IPF_AWPS_Hdr" localSheetId="9">'[4]Shipments - lb'!$A$33:$IV$33</definedName>
    <definedName name="Lb_Shp_IPF_Incr" localSheetId="9">'[4]Shipments - lb'!$A$24:$IV$29</definedName>
    <definedName name="Lb_Shp_IPF_Incr_Hdr" localSheetId="9">'[4]Shipments - lb'!$A$9:$IV$9</definedName>
    <definedName name="Lb_Shp_IPF8_APPS" localSheetId="9">'[4]Shipments - lb'!$A$65:$IV$65</definedName>
    <definedName name="Lb_Shp_IPF8_AWPS" localSheetId="9">'[4]Shipments - lb'!$A$46:$IV$46</definedName>
    <definedName name="Lb_Shp_IPF8_Incr" localSheetId="9">'[4]Shipments - lb'!$A$25:$IV$25</definedName>
    <definedName name="Lb_Shp_Origin_Cntry" localSheetId="9">'[4]Shipments - lb'!$C$6:$AB$6</definedName>
    <definedName name="Lb_Shpmt_Cntry" localSheetId="9">'[4]Shipments - lb'!$AD$140</definedName>
    <definedName name="Lb_Shpmt_Disct" localSheetId="9">'[4]Discounts - lb'!$A$200</definedName>
    <definedName name="Lb_Shpmts" localSheetId="9">'[4]Shipments - lb'!$A$9:$IV$135</definedName>
    <definedName name="Lb_Shpmts_AWPS_Reset" localSheetId="9">'[4]Shipments - lb'!$A$500</definedName>
    <definedName name="Lb_Shpmts_AWPS_Reset1" localSheetId="9">'[4]Shipments - lb'!$A$501</definedName>
    <definedName name="LocalAccts" localSheetId="9">[4]TempVariables!$F$2</definedName>
    <definedName name="Locations" localSheetId="9">[4]Request!$C$124</definedName>
    <definedName name="LOOKUP" localSheetId="9">#REF!</definedName>
    <definedName name="Major_Origin_Cities" localSheetId="9">[4]Request!$E$124</definedName>
    <definedName name="MBG" localSheetId="9">[4]Request!$G$42</definedName>
    <definedName name="MBG_NotReq" localSheetId="9">[4]Request!$P$44</definedName>
    <definedName name="MBG_Option" localSheetId="9">[4]Request!$M$44</definedName>
    <definedName name="MBG_Req" localSheetId="9">[4]Request!$Q$44</definedName>
    <definedName name="MINTABLE" localSheetId="9">[11]SURCHARGES!$H$9:$U$15</definedName>
    <definedName name="ModelDate" localSheetId="9">[4]Request!$K$1</definedName>
    <definedName name="NatlAccts" localSheetId="9">[4]TempVariables!$A$2</definedName>
    <definedName name="NDAAll" localSheetId="9">'[11]Customer Info'!$V$9</definedName>
    <definedName name="Old_Payor_No" localSheetId="9">[4]Request!$E$56</definedName>
    <definedName name="Old_Shipper_No" localSheetId="9">[4]Request!$E$54</definedName>
    <definedName name="Op_Months" localSheetId="9">'[4]Shipments - current'!$B$1</definedName>
    <definedName name="Op_Scenario" localSheetId="9">[4]Request!$P$74</definedName>
    <definedName name="OpQ" localSheetId="9">[4]Request!$L$74</definedName>
    <definedName name="OptionType" localSheetId="9">[7]control!$F$27:$F$29</definedName>
    <definedName name="Orig_Region_1" localSheetId="9">[4]Request!$A$125</definedName>
    <definedName name="Orig_Region_10" localSheetId="9">[4]Request!$A$134</definedName>
    <definedName name="Orig_Region_11" localSheetId="9">[4]Request!$A$135</definedName>
    <definedName name="Orig_Region_12" localSheetId="9">[4]Request!$A$136</definedName>
    <definedName name="Orig_Region_13" localSheetId="9">[4]Request!$A$137</definedName>
    <definedName name="Orig_Region_14" localSheetId="9">[4]Request!$A$138</definedName>
    <definedName name="Orig_Region_15" localSheetId="9">[4]Request!$A$139</definedName>
    <definedName name="Orig_Region_16" localSheetId="9">[4]Request!$A$140</definedName>
    <definedName name="Orig_Region_17" localSheetId="9">[4]Request!$A$141</definedName>
    <definedName name="Orig_Region_18" localSheetId="9">[4]Request!$A$142</definedName>
    <definedName name="Orig_Region_19" localSheetId="9">[4]Request!$A$143</definedName>
    <definedName name="Orig_Region_2" localSheetId="9">[4]Request!$A$126</definedName>
    <definedName name="Orig_Region_20" localSheetId="9">[4]Request!$A$144</definedName>
    <definedName name="Orig_Region_21" localSheetId="9">[4]Request!$A$145</definedName>
    <definedName name="Orig_Region_22" localSheetId="9">[4]Request!$A$146</definedName>
    <definedName name="Orig_Region_23" localSheetId="9">[4]Request!$A$147</definedName>
    <definedName name="Orig_Region_24" localSheetId="9">[4]Request!$A$148</definedName>
    <definedName name="Orig_Region_25" localSheetId="9">[4]Request!$A$149</definedName>
    <definedName name="Orig_Region_26" localSheetId="9">[4]Request!$A$150</definedName>
    <definedName name="Orig_Region_3" localSheetId="9">[4]Request!$A$127</definedName>
    <definedName name="Orig_Region_4" localSheetId="9">[4]Request!$A$128</definedName>
    <definedName name="Orig_Region_5" localSheetId="9">[4]Request!$A$129</definedName>
    <definedName name="Orig_Region_6" localSheetId="9">[4]Request!$A$130</definedName>
    <definedName name="Orig_Region_7" localSheetId="9">[4]Request!$A$131</definedName>
    <definedName name="Orig_Region_8" localSheetId="9">[4]Request!$A$132</definedName>
    <definedName name="Orig_Region_9" localSheetId="9">[4]Request!$A$133</definedName>
    <definedName name="Orig1" localSheetId="9">[4]Request!$L$125</definedName>
    <definedName name="Orig10" localSheetId="9">[4]Request!$L$134</definedName>
    <definedName name="Orig11" localSheetId="9">[4]Request!$L$135</definedName>
    <definedName name="Orig12" localSheetId="9">[4]Request!$L$136</definedName>
    <definedName name="Orig13" localSheetId="9">[4]Request!$L$137</definedName>
    <definedName name="Orig14" localSheetId="9">[4]Request!$L$138</definedName>
    <definedName name="Orig15" localSheetId="9">[4]Request!$L$139</definedName>
    <definedName name="Orig16" localSheetId="9">[4]Request!$L$140</definedName>
    <definedName name="Orig17" localSheetId="9">[4]Request!$L$141</definedName>
    <definedName name="Orig18" localSheetId="9">[4]Request!$L$142</definedName>
    <definedName name="Orig19" localSheetId="9">[4]Request!$L$143</definedName>
    <definedName name="Orig2" localSheetId="9">[4]Request!$L$126</definedName>
    <definedName name="Orig20" localSheetId="9">[4]Request!$L$144</definedName>
    <definedName name="Orig21" localSheetId="9">[4]Request!$L$145</definedName>
    <definedName name="Orig22" localSheetId="9">[4]Request!$L$146</definedName>
    <definedName name="Orig23" localSheetId="9">[4]Request!$L$147</definedName>
    <definedName name="Orig24" localSheetId="9">[4]Request!$L$148</definedName>
    <definedName name="Orig25" localSheetId="9">[4]Request!$L$149</definedName>
    <definedName name="Orig26" localSheetId="9">[4]Request!$L$150</definedName>
    <definedName name="Orig3" localSheetId="9">[4]Request!$L$127</definedName>
    <definedName name="Orig4" localSheetId="9">[4]Request!$L$128</definedName>
    <definedName name="Orig5" localSheetId="9">[4]Request!$L$129</definedName>
    <definedName name="Orig6" localSheetId="9">[4]Request!$L$130</definedName>
    <definedName name="Orig7" localSheetId="9">[4]Request!$L$131</definedName>
    <definedName name="Orig8" localSheetId="9">[4]Request!$L$132</definedName>
    <definedName name="Orig9" localSheetId="9">[4]Request!$L$133</definedName>
    <definedName name="Origin" localSheetId="9">[4]Request!$B$124</definedName>
    <definedName name="Origin_Countries" localSheetId="9">[4]Request!$L$125:$L$150</definedName>
    <definedName name="Origin_Country_Code" localSheetId="9">[4]Countries!$G$4:$H$224</definedName>
    <definedName name="Origin_Country_Name_Code" localSheetId="9">[4]Countries!$B$4:$C$224</definedName>
    <definedName name="Origin_Scenario" localSheetId="9">[4]Request!$E$76</definedName>
    <definedName name="parcels" localSheetId="9">#REF!</definedName>
    <definedName name="Password" localSheetId="9">[4]TempVariables!$O$3</definedName>
    <definedName name="Payor_Acct1" localSheetId="9">[4]Request!$I$23</definedName>
    <definedName name="Payor_Acct2" localSheetId="9">[4]Request!$I$25</definedName>
    <definedName name="Payor_Acct3" localSheetId="9">[4]Request!$I$27</definedName>
    <definedName name="Payor_Country" localSheetId="9">[4]Request!$M$19</definedName>
    <definedName name="Payor_Table" localSheetId="9">[4]Countries!$HI$4:$HR$101</definedName>
    <definedName name="PayorRgn" localSheetId="9">[4]Request!$P$15</definedName>
    <definedName name="PNH" localSheetId="9">#REF!</definedName>
    <definedName name="Pricing_Requested" localSheetId="9">[4]Request!$A$33</definedName>
    <definedName name="Product" localSheetId="9">[7]control!$N$27:$N$38</definedName>
    <definedName name="Provinces_Cities" localSheetId="9">[4]Request!$E$125:$E$150</definedName>
    <definedName name="Range1" localSheetId="9">#REF!</definedName>
    <definedName name="Region" localSheetId="9">[4]Request!$O$16</definedName>
    <definedName name="Region_Rev" localSheetId="9">[4]Request!$E$112:$E$116</definedName>
    <definedName name="RO" localSheetId="9">#REF!</definedName>
    <definedName name="road" localSheetId="9">#REF!</definedName>
    <definedName name="RTH" localSheetId="9">#REF!</definedName>
    <definedName name="Sales_AE" localSheetId="9">[4]Request!$B$21</definedName>
    <definedName name="Sales_Manager" localSheetId="9">[4]Request!$B$19</definedName>
    <definedName name="SDAALL" localSheetId="9">'[11]Customer Info'!$V$15</definedName>
    <definedName name="Service_IE" localSheetId="9">[4]Request!$R$46</definedName>
    <definedName name="Service_IE_IEF" localSheetId="9">[4]Request!$R$47</definedName>
    <definedName name="Service_IEF" localSheetId="9">[4]Request!$S$46</definedName>
    <definedName name="Service_IP" localSheetId="9">[4]Request!$P$46</definedName>
    <definedName name="Service_IP_IPF" localSheetId="9">[4]Request!$P$47</definedName>
    <definedName name="Service_IPF" localSheetId="9">[4]Request!$Q$46</definedName>
    <definedName name="Service_Type" localSheetId="9">[4]Request!$L$48</definedName>
    <definedName name="Services_Requested" localSheetId="9">[4]Request!$A$42</definedName>
    <definedName name="Ship_Locations" localSheetId="9">[4]Request!$M$125:$M$150</definedName>
    <definedName name="Ship_Tender" localSheetId="9">[4]Request!$E$68</definedName>
    <definedName name="Show9DigitAccts" localSheetId="9">[4]TempVariables!$J$3</definedName>
    <definedName name="SlsChan" localSheetId="9">[7]control!$B$27:$B$28</definedName>
    <definedName name="Spec_Op" localSheetId="9">[4]Request!$A$72</definedName>
    <definedName name="StartMonth" localSheetId="9">[4]TempVariables!$G$3</definedName>
    <definedName name="Strategy" localSheetId="9">[4]Request!$A$108</definedName>
    <definedName name="SurchargeType" localSheetId="9">[7]control!$I$27:$I$32</definedName>
    <definedName name="TABLE" localSheetId="9">#REF!</definedName>
    <definedName name="TempVariables" localSheetId="9">[4]TempVariables!$A$1</definedName>
    <definedName name="Tier" localSheetId="9">'[12]Portfolio Discount'!#REF!</definedName>
    <definedName name="Tot_Annual_Rev" localSheetId="9">[4]Request!$E$117</definedName>
    <definedName name="USAcctsOnly" localSheetId="9">[4]TempVariables!$I$3</definedName>
    <definedName name="UserID" localSheetId="9">[4]TempVariables!$N$3</definedName>
    <definedName name="Value_2K" localSheetId="9">[4]Request!$E$88</definedName>
    <definedName name="values" localSheetId="9">[4]Request!$L$16:$O$150</definedName>
    <definedName name="WtMetric" localSheetId="9">[4]Request!$B$25</definedName>
    <definedName name="YN" localSheetId="9">[7]control!$P$27:$P$28</definedName>
    <definedName name="zone" localSheetId="9">#REF!</definedName>
    <definedName name="ZonedOut" localSheetId="9">[7]rates_input!$R$5:$Z$8</definedName>
    <definedName name="ZonedOut1" localSheetId="9">[7]rates_input!$I$6:$Z$8</definedName>
    <definedName name="ZonedOut2" localSheetId="9">[7]rates_input!$I$7:$Z$8</definedName>
    <definedName name="ZONELU" localSheetId="9">[11]SURCHARGES!$B$9:$D$59</definedName>
    <definedName name="Zones" localSheetId="9">#REF!,#REF!,#REF!,#REF!</definedName>
    <definedName name="Zones_New" localSheetId="9">[7]zones_input!$B$1:$G$65536</definedName>
    <definedName name="_Fill" localSheetId="10" hidden="1">[2]Express!#REF!</definedName>
    <definedName name="_Key1" localSheetId="10" hidden="1">#REF!</definedName>
    <definedName name="_Loc1" localSheetId="10">[3]Request!$M$125</definedName>
    <definedName name="_Loc10" localSheetId="10">[4]Request!$M$134</definedName>
    <definedName name="_Loc11" localSheetId="10">[4]Request!$M$135</definedName>
    <definedName name="_Loc12" localSheetId="10">[4]Request!$M$136</definedName>
    <definedName name="_Loc13" localSheetId="10">[4]Request!$M$137</definedName>
    <definedName name="_Loc14" localSheetId="10">[4]Request!$M$138</definedName>
    <definedName name="_Loc15" localSheetId="10">[4]Request!$M$139</definedName>
    <definedName name="_Loc16" localSheetId="10">[4]Request!$M$140</definedName>
    <definedName name="_Loc17" localSheetId="10">[4]Request!$M$141</definedName>
    <definedName name="_Loc18" localSheetId="10">[4]Request!$M$142</definedName>
    <definedName name="_Loc19" localSheetId="10">[4]Request!$M$143</definedName>
    <definedName name="_Loc2" localSheetId="10">[4]Request!$M$126</definedName>
    <definedName name="_Loc20" localSheetId="10">[4]Request!$M$144</definedName>
    <definedName name="_Loc21" localSheetId="10">[4]Request!$M$145</definedName>
    <definedName name="_Loc22" localSheetId="10">[4]Request!$M$146</definedName>
    <definedName name="_Loc23" localSheetId="10">[4]Request!$M$147</definedName>
    <definedName name="_Loc24" localSheetId="10">[4]Request!$M$148</definedName>
    <definedName name="_Loc25" localSheetId="10">[4]Request!$M$149</definedName>
    <definedName name="_Loc26" localSheetId="10">[4]Request!$M$150</definedName>
    <definedName name="_Loc3" localSheetId="10">[4]Request!$M$127</definedName>
    <definedName name="_Loc4" localSheetId="10">[4]Request!$M$128</definedName>
    <definedName name="_Loc5" localSheetId="10">[4]Request!$M$129</definedName>
    <definedName name="_Loc6" localSheetId="10">[4]Request!$M$130</definedName>
    <definedName name="_Loc7" localSheetId="10">[4]Request!$M$131</definedName>
    <definedName name="_Loc8" localSheetId="10">[4]Request!$M$132</definedName>
    <definedName name="_Loc9" localSheetId="10">[4]Request!$M$133</definedName>
    <definedName name="_Sort" localSheetId="10" hidden="1">[1]Express!#REF!</definedName>
    <definedName name="a" localSheetId="10" hidden="1">[1]Express!#REF!</definedName>
    <definedName name="Account" localSheetId="10">[4]Request!$B$17</definedName>
    <definedName name="Acct_number" localSheetId="10">[5]Summary!$E$2</definedName>
    <definedName name="AFD" localSheetId="10">#REF!</definedName>
    <definedName name="Agent" localSheetId="10">[4]Request!$A$60</definedName>
    <definedName name="Agent_Comm" localSheetId="10">[4]Request!$E$64</definedName>
    <definedName name="Agent_Delivery" localSheetId="10">[4]Request!$O$62</definedName>
    <definedName name="Agent_Involved" localSheetId="10">[4]Request!$P$62</definedName>
    <definedName name="Agent_Pickup" localSheetId="10">[4]Request!$N$62</definedName>
    <definedName name="Agent_Services" localSheetId="10">[4]Request!$E$66</definedName>
    <definedName name="AgentQ" localSheetId="10">[4]Request!$L$62</definedName>
    <definedName name="AllDiscountArea" localSheetId="10">[6]Discounts!$D$15:$Q$16,[6]Discounts!$S$15:$T$16,[6]Discounts!$D$22:$M$22,[6]Discounts!$O$22:$P$22,[6]Discounts!$T$22:$T$22,[6]Discounts!$D$29:$D$30,[6]Discounts!$F$29:$Q$30,[6]Discounts!$T$29:$T$30,[6]Discounts!$D$36:$D$36,[6]Discounts!$F$36:$M$36,[6]Discounts!$O$36:$P$36,[6]Discounts!$T$36:$T$36</definedName>
    <definedName name="Alph_countries" localSheetId="10">[7]zones_input!$A$2:$A$214</definedName>
    <definedName name="anakg" localSheetId="10">'[4]Shipments - kg current'!$D$1</definedName>
    <definedName name="analb" localSheetId="10">'[4]Shipments - lb current'!$D$1</definedName>
    <definedName name="ApDsctKgADNR" localSheetId="10">#REF!</definedName>
    <definedName name="ApDsctKgComm" localSheetId="10">#REF!</definedName>
    <definedName name="ApDsctKgH1" localSheetId="10">#REF!</definedName>
    <definedName name="ApDsctKgH2" localSheetId="10">#REF!</definedName>
    <definedName name="ApDsctKgIEAppCurDisct" localSheetId="10">#REF!</definedName>
    <definedName name="ApDsctKgIEAppMin" localSheetId="10">#REF!</definedName>
    <definedName name="ApDsctKgIEReqCurDisct" localSheetId="10">#REF!</definedName>
    <definedName name="ApDsctKgIEReqMin" localSheetId="10">#REF!</definedName>
    <definedName name="ApDsctKgIERestore" localSheetId="10">#REF!</definedName>
    <definedName name="ApDsctKgIPAppCurDisct" localSheetId="10">#REF!</definedName>
    <definedName name="ApDsctKgIPAppMin" localSheetId="10">#REF!</definedName>
    <definedName name="ApDsctKgIPReqCurDisct" localSheetId="10">#REF!</definedName>
    <definedName name="ApDsctKgIPReqMin" localSheetId="10">#REF!</definedName>
    <definedName name="ApDsctKgIPRestore" localSheetId="10">#REF!</definedName>
    <definedName name="ApDsctKgLR" localSheetId="10">#REF!</definedName>
    <definedName name="ApDsctKgLR1" localSheetId="10">#REF!</definedName>
    <definedName name="ApDsctKgQ1" localSheetId="10">#REF!</definedName>
    <definedName name="ApDsctKgQ10" localSheetId="10">#REF!</definedName>
    <definedName name="ApDsctKgQ2" localSheetId="10">#REF!</definedName>
    <definedName name="ApDsctKgQ3" localSheetId="10">#REF!</definedName>
    <definedName name="ApDsctKgQ4" localSheetId="10">#REF!</definedName>
    <definedName name="ApDsctKgQ5" localSheetId="10">#REF!</definedName>
    <definedName name="ApDsctKgQ6" localSheetId="10">#REF!</definedName>
    <definedName name="ApDsctKgQ7" localSheetId="10">#REF!</definedName>
    <definedName name="ApDsctKgQ8" localSheetId="10">#REF!</definedName>
    <definedName name="ApDsctKgQ9" localSheetId="10">#REF!</definedName>
    <definedName name="ApDsctKgRMIE" localSheetId="10">#REF!</definedName>
    <definedName name="ApDsctKgRMIP" localSheetId="10">#REF!</definedName>
    <definedName name="ApDsctKgSIE" localSheetId="10">#REF!</definedName>
    <definedName name="ApDsctKgSIP" localSheetId="10">#REF!</definedName>
    <definedName name="ApDsctLbADNR" localSheetId="10">'[4]Approved Discts-lb'!$F$7:$AE$7</definedName>
    <definedName name="ApDsctLbComm" localSheetId="10">'[4]Approved Discts-lb'!$F$159</definedName>
    <definedName name="ApDsctLbH1" localSheetId="10">'[4]Approved Discts-lb'!$F$3:$H$4</definedName>
    <definedName name="ApDsctLbH2" localSheetId="10">'[4]Approved Discts-lb'!$Z$3:$Z$4</definedName>
    <definedName name="ApDsctLbIEAppCurDisct" localSheetId="10">'[4]Approved Discts-lb'!$A$111:$AE$114</definedName>
    <definedName name="ApDsctLbIEAppMin" localSheetId="10">'[4]Approved Discts-lb'!$A$108:$AE$110</definedName>
    <definedName name="ApDsctLbIEReqCurDisct" localSheetId="10">'[4]Approved Discts-lb'!$A$85:$AE$88</definedName>
    <definedName name="ApDsctLbIEReqMin" localSheetId="10">'[4]Approved Discts-lb'!$B$82:$AE$84</definedName>
    <definedName name="ApDsctLbIERestore" localSheetId="10">'[4]Approved Discts-lb'!$F$364:$AE$387</definedName>
    <definedName name="ApDsctLbIPAppCurDisct" localSheetId="10">'[4]Approved Discts-lb'!$A$50:$AE$55</definedName>
    <definedName name="ApDsctLbIPAppMin" localSheetId="10">'[4]Approved Discts-lb'!$A$45:$AE$49</definedName>
    <definedName name="ApDsctLbIPReqCurDisct" localSheetId="10">'[4]Approved Discts-lb'!$A$18:$AE$23</definedName>
    <definedName name="ApDsctLbIPReqMin" localSheetId="10">'[4]Approved Discts-lb'!$A$13:$AE$17</definedName>
    <definedName name="ApDsctLbIPRestore" localSheetId="10">'[4]Approved Discts-lb'!$F$326:$AE$355</definedName>
    <definedName name="ApDsctLbLR" localSheetId="10">'[4]Approved Discts-lb'!$F$11:$AE$11</definedName>
    <definedName name="ApDsctLbLR1" localSheetId="10">'[4]Approved Discts-lb'!$F$81:$AE$81</definedName>
    <definedName name="ApDsctLbQ1" localSheetId="10">'[4]Approved Discts-lb'!$AG$134</definedName>
    <definedName name="ApDsctLbQ10" localSheetId="10">'[4]Approved Discts-lb'!$AG$154</definedName>
    <definedName name="ApDsctLbQ2" localSheetId="10">'[4]Approved Discts-lb'!$AG$136</definedName>
    <definedName name="ApDsctLbQ3" localSheetId="10">'[4]Approved Discts-lb'!$AG$138</definedName>
    <definedName name="ApDsctLbQ4" localSheetId="10">'[4]Approved Discts-lb'!$AG$141</definedName>
    <definedName name="ApDsctLbQ5" localSheetId="10">'[4]Approved Discts-lb'!$AG$143</definedName>
    <definedName name="ApDsctLbQ6" localSheetId="10">'[4]Approved Discts-lb'!$AG$145</definedName>
    <definedName name="ApDsctLbQ7" localSheetId="10">'[4]Approved Discts-lb'!$AG$147</definedName>
    <definedName name="ApDsctLbQ8" localSheetId="10">'[4]Approved Discts-lb'!$AG$149</definedName>
    <definedName name="ApDsctLbQ9" localSheetId="10">'[4]Approved Discts-lb'!$AG$151</definedName>
    <definedName name="ApDsctLbRMIE" localSheetId="10">'[4]Approved Discts-lb'!$F$109:$AE$132</definedName>
    <definedName name="ApDsctLbRMIP" localSheetId="10">'[4]Approved Discts-lb'!$F$46:$AE$75</definedName>
    <definedName name="ApDsctLbSIE" localSheetId="10">'[4]Approved Discts-lb'!$F$83:$AE$106</definedName>
    <definedName name="ApDsctLbSIP" localSheetId="10">'[4]Approved Discts-lb'!$F$14:$AE$43</definedName>
    <definedName name="Approval" localSheetId="10">[4]Request!$P$16</definedName>
    <definedName name="Bill_3P" localSheetId="10">[4]Request!$M$29</definedName>
    <definedName name="Bill_Consignee" localSheetId="10">[4]Request!$L$29</definedName>
    <definedName name="Billing_Option" localSheetId="10">[4]Request!$A$29</definedName>
    <definedName name="Business_Type" localSheetId="10">[4]Request!$G$31</definedName>
    <definedName name="BWE" localSheetId="10">[4]TempVariables!$K$3</definedName>
    <definedName name="Chk_Origin_Cntry" localSheetId="10">[4]Request!$L$151</definedName>
    <definedName name="Chk_Provinces_Cities" localSheetId="10">[4]Request!$S$151</definedName>
    <definedName name="Chk_Ship_Loc" localSheetId="10">[4]Request!$R$151</definedName>
    <definedName name="Clearance_Reqd" localSheetId="10">[4]Request!$A$82</definedName>
    <definedName name="Commodity1" localSheetId="10">[4]Request!$I$48</definedName>
    <definedName name="Commodity2" localSheetId="10">[4]Request!$I$49</definedName>
    <definedName name="Competitor" localSheetId="10">[4]Request!$I$54</definedName>
    <definedName name="CONTDE" localSheetId="10">#REF!</definedName>
    <definedName name="CONTFD" localSheetId="10">#REF!</definedName>
    <definedName name="CONTFE" localSheetId="10">#REF!</definedName>
    <definedName name="CONTPD" localSheetId="10">#REF!</definedName>
    <definedName name="CONTPE" localSheetId="10">#REF!</definedName>
    <definedName name="countries" localSheetId="10">[7]zones_input!$A$2:$C$202</definedName>
    <definedName name="country_selection" localSheetId="10">[7]control!$S$4:$S$5</definedName>
    <definedName name="CSource" localSheetId="10">[7]control!$D$27:$D$29</definedName>
    <definedName name="Cur_Disct" localSheetId="10">[4]Request!$P$19</definedName>
    <definedName name="Curr_and_Incr" localSheetId="10">[4]Request!$R$32</definedName>
    <definedName name="Curr_Incr" localSheetId="10">[4]Request!$M$32</definedName>
    <definedName name="Current" localSheetId="10">'[4]Shipments - current'!$E$4:$Z$65536</definedName>
    <definedName name="Current_Only" localSheetId="10">[4]Request!$P$32</definedName>
    <definedName name="CurrentDetail" localSheetId="10">'[4]Shipments - current'!$A$3</definedName>
    <definedName name="CurrentDetailEnd" localSheetId="10">'[4]Shipments - current'!$AH$3</definedName>
    <definedName name="Cust_Clear" localSheetId="10">[4]Request!$P$84</definedName>
    <definedName name="CustClearQ" localSheetId="10">[4]Request!$L$84</definedName>
    <definedName name="Customer" localSheetId="10">[8]Summary!$B$1</definedName>
    <definedName name="Date1" localSheetId="10">[4]Request!$P$17</definedName>
    <definedName name="Date2" localSheetId="10">[4]Request!$Q$17</definedName>
    <definedName name="Declared_Value" localSheetId="10">[4]Request!$E$89</definedName>
    <definedName name="Dest_Countries" localSheetId="10">[4]Request!$N$125:$N$150</definedName>
    <definedName name="Dest_Country_Copy" localSheetId="10">[4]Request!$R$19</definedName>
    <definedName name="Dest_Scenario" localSheetId="10">[4]Request!$E$78</definedName>
    <definedName name="Dest1" localSheetId="10">[4]Request!$N$125</definedName>
    <definedName name="Dest10" localSheetId="10">[4]Request!$N$134</definedName>
    <definedName name="Dest11" localSheetId="10">[4]Request!$N$135</definedName>
    <definedName name="Dest12" localSheetId="10">[4]Request!$N$136</definedName>
    <definedName name="Dest13" localSheetId="10">[4]Request!$N$137</definedName>
    <definedName name="Dest14" localSheetId="10">[4]Request!$N$138</definedName>
    <definedName name="Dest15" localSheetId="10">[4]Request!$N$139</definedName>
    <definedName name="Dest16" localSheetId="10">[4]Request!$N$140</definedName>
    <definedName name="Dest17" localSheetId="10">[4]Request!$N$141</definedName>
    <definedName name="Dest18" localSheetId="10">[4]Request!$N$142</definedName>
    <definedName name="Dest19" localSheetId="10">[4]Request!$N$143</definedName>
    <definedName name="Dest2" localSheetId="10">[4]Request!$N$126</definedName>
    <definedName name="Dest20" localSheetId="10">[4]Request!$N$144</definedName>
    <definedName name="Dest21" localSheetId="10">[4]Request!$N$145</definedName>
    <definedName name="Dest22" localSheetId="10">[4]Request!$N$146</definedName>
    <definedName name="Dest23" localSheetId="10">[4]Request!$N$147</definedName>
    <definedName name="Dest24" localSheetId="10">[4]Request!$N$148</definedName>
    <definedName name="Dest25" localSheetId="10">[4]Request!$N$149</definedName>
    <definedName name="Dest26" localSheetId="10">[4]Request!$N$150</definedName>
    <definedName name="Dest3" localSheetId="10">[4]Request!$N$127</definedName>
    <definedName name="Dest4" localSheetId="10">[4]Request!$N$128</definedName>
    <definedName name="Dest5" localSheetId="10">[4]Request!$N$129</definedName>
    <definedName name="Dest6" localSheetId="10">[4]Request!$N$130</definedName>
    <definedName name="Dest7" localSheetId="10">[4]Request!$N$131</definedName>
    <definedName name="Dest8" localSheetId="10">[4]Request!$N$132</definedName>
    <definedName name="Dest9" localSheetId="10">[4]Request!$N$133</definedName>
    <definedName name="Division" localSheetId="10">[7]control!$O$27:$O$28</definedName>
    <definedName name="DOT" localSheetId="10">[7]control!$L$27:$L$29</definedName>
    <definedName name="dox" localSheetId="10">#REF!</definedName>
    <definedName name="dsfd" localSheetId="10">#REF!</definedName>
    <definedName name="EndMonth" localSheetId="10">[4]TempVariables!$H$3</definedName>
    <definedName name="ExDocDisc" localSheetId="10">[6]Discounts!$D$15:$Q$15,[6]Discounts!$S$15:$T$15</definedName>
    <definedName name="ExNDocDisc" localSheetId="10">[6]Discounts!$D$16:$Q$16,[6]Discounts!$S$16:$T$16,[6]Discounts!$D$22:$M$22,[6]Discounts!$O$22:$P$22,[6]Discounts!$T$22:$T$22</definedName>
    <definedName name="Expt638" localSheetId="10">#REF!</definedName>
    <definedName name="ExptPrepaid" localSheetId="10">'[10]Expt Disc prepaid'!#REF!</definedName>
    <definedName name="FDX" localSheetId="10">[4]Request!$A$50</definedName>
    <definedName name="FDX_Shpmts" localSheetId="10">[4]Request!$P$52</definedName>
    <definedName name="FXShpQ" localSheetId="10">[4]Request!$L$52</definedName>
    <definedName name="GroundWB" localSheetId="10">'[11]Customer Info'!$Y$20:$AB$26</definedName>
    <definedName name="GrpExcl_ll" localSheetId="10">[4]TempVariables!$D$2</definedName>
    <definedName name="GrpExcl_ul" localSheetId="10">[4]TempVariables!$E$2</definedName>
    <definedName name="GrpIncl_ll" localSheetId="10">[4]TempVariables!$B$2</definedName>
    <definedName name="GrpIncl_ul" localSheetId="10">[4]TempVariables!$C$2</definedName>
    <definedName name="Header" localSheetId="10">'[9]Expt Disc prepaid'!#REF!</definedName>
    <definedName name="home" localSheetId="10">[4]Request!$B$17</definedName>
    <definedName name="ImDocDisc" localSheetId="10">[6]Discounts!$D$29,[6]Discounts!$F$29:$Q$29,[6]Discounts!$T$29</definedName>
    <definedName name="IMListRates" localSheetId="10">#REF!</definedName>
    <definedName name="ImNDocDisc" localSheetId="10">[6]Discounts!$D$30:$D$30,[6]Discounts!$F$30:$Q$30,[6]Discounts!$T$30:$T$30,[6]Discounts!$D$36:$D$36,[6]Discounts!$F$36:$M$36,[6]Discounts!$O$36:$P$36,[6]Discounts!$T$36:$T$36</definedName>
    <definedName name="Import" localSheetId="10">[4]Request!$Q$33</definedName>
    <definedName name="Import_Pricing" localSheetId="10">#REF!</definedName>
    <definedName name="Impt_Inbnd" localSheetId="10">[4]Request!$L$33</definedName>
    <definedName name="ImptCheck" localSheetId="10">[4]Request!$Q$19</definedName>
    <definedName name="Inbound" localSheetId="10">[4]Request!$P$33</definedName>
    <definedName name="Inbound_Pricing" localSheetId="10">#REF!</definedName>
    <definedName name="Incremental_Only" localSheetId="10">[4]Request!$Q$32</definedName>
    <definedName name="IZ" localSheetId="10">#REF!</definedName>
    <definedName name="Kg_Apprv_Dt" localSheetId="10">#REF!</definedName>
    <definedName name="Kg_APPS_Chk" localSheetId="10">'[4]Shipments - kg'!$A$1138</definedName>
    <definedName name="Kg_AWPS_Chk" localSheetId="10">'[4]Shipments - kg'!$A$1117</definedName>
    <definedName name="Kg_Cntry_Disct" localSheetId="10">'[4]Discounts - kg'!$AB$108</definedName>
    <definedName name="kg_Disc_Edit_Check" localSheetId="10">#REF!</definedName>
    <definedName name="Kg_Discts" localSheetId="10">'[4]Discounts - kg'!$A$16:$IV$98</definedName>
    <definedName name="Kg_Dsc_Cntry" localSheetId="10">'[4]Discounts - kg'!$A$1:$IV$15</definedName>
    <definedName name="Kg_Dsc_IE_Cur_Disct" localSheetId="10">'[4]Discounts - kg'!$A$68:$IV$75</definedName>
    <definedName name="Kg_Dsc_IE_Hdr" localSheetId="10">'[4]Discounts - kg'!$A$60:$IV$62</definedName>
    <definedName name="Kg_Dsc_IE_Min_Hdr" localSheetId="10">'[4]Discounts - kg'!$A$63:$IV$64</definedName>
    <definedName name="Kg_Dsc_IE_Min_IE" localSheetId="10">'[4]Discounts - kg'!$A$65:$IV$65</definedName>
    <definedName name="Kg_Dsc_IE_Min_IEF" localSheetId="10">'[4]Discounts - kg'!$A$66:$IV$67</definedName>
    <definedName name="Kg_Dsc_IE_Pct_Disct" localSheetId="10">'[4]Discounts - kg'!$A$76:$IV$92</definedName>
    <definedName name="Kg_Dsc_IEF_Pct_Disct" localSheetId="10">'[4]Discounts - kg'!$A$93:$IV$99</definedName>
    <definedName name="Kg_Dsc_IP_Cur_Disct" localSheetId="10">'[4]Discounts - kg'!$A$25:$IV$31</definedName>
    <definedName name="Kg_Dsc_IP_Hdr" localSheetId="10">'[4]Discounts - kg'!$A$16:$IV$17</definedName>
    <definedName name="Kg_Dsc_IP_Min_Hdr" localSheetId="10">'[4]Discounts - kg'!$A$18:$IV$19</definedName>
    <definedName name="Kg_Dsc_IP_Min_IP" localSheetId="10">'[4]Discounts - kg'!$A$20:$IV$22</definedName>
    <definedName name="Kg_Dsc_IP_Min_IPF" localSheetId="10">'[4]Discounts - kg'!$A$23:$IV$24</definedName>
    <definedName name="Kg_Dsc_IP_Pct_Disct" localSheetId="10">'[4]Discounts - kg'!$A$32:$IV$50</definedName>
    <definedName name="Kg_Dsc_IPF_Pct_Disct" localSheetId="10">'[4]Discounts - kg'!$A$51:$IV$59</definedName>
    <definedName name="Kg_Dsc_Origin_Cntry" localSheetId="10">'[4]Discounts - kg'!$B$7:$AA$7</definedName>
    <definedName name="Kg_Incr_Shp_IE" localSheetId="10">'[4]Shipments - kg'!$A$162</definedName>
    <definedName name="Kg_Incr_Shp_IEF" localSheetId="10">'[4]Shipments - kg'!$A$163</definedName>
    <definedName name="Kg_Incr_Shp_IP" localSheetId="10">'[4]Shipments - kg'!$A$160</definedName>
    <definedName name="Kg_Incr_Shp_IPF" localSheetId="10">'[4]Shipments - kg'!$A$161</definedName>
    <definedName name="Kg_Rng_Cur_Disct_IE" localSheetId="10">'[4]Discounts - kg'!$B$72:$AA$74</definedName>
    <definedName name="Kg_Rng_Cur_Disct_IP" localSheetId="10">'[4]Discounts - kg'!$B$26:$AA$30</definedName>
    <definedName name="Kg_Rng_Disct_IE" localSheetId="10">'[4]Discounts - kg'!$B$78:$AA$84</definedName>
    <definedName name="Kg_Rng_Disct_IEF" localSheetId="10">'[4]Discounts - kg'!$B$94:$AA$98</definedName>
    <definedName name="Kg_Rng_Disct_IEHW" localSheetId="10">'[4]Discounts - kg'!$B$87:$AA$91</definedName>
    <definedName name="Kg_Rng_Disct_IP" localSheetId="10">'[4]Discounts - kg'!$B$34:$AA$42</definedName>
    <definedName name="Kg_Rng_Disct_IPF" localSheetId="10">'[4]Discounts - kg'!$B$52:$AA$56</definedName>
    <definedName name="Kg_Rng_Disct_IPHW" localSheetId="10">'[4]Discounts - kg'!$B$45:$AA$49</definedName>
    <definedName name="Kg_Rng_Disct_Min_IE" localSheetId="10">'[4]Discounts - kg'!$B$65:$AA$66</definedName>
    <definedName name="Kg_Rng_Disct_Min_IP" localSheetId="10">'[4]Discounts - kg'!$B$20:$AA$23</definedName>
    <definedName name="Kg_Rng_Shpmts_APPS_IE" localSheetId="10">'[4]Shipments - kg'!$C$119:$AB$129</definedName>
    <definedName name="Kg_Rng_Shpmts_APPS_IEF" localSheetId="10">'[4]Shipments - kg'!$C$131:$AB$135</definedName>
    <definedName name="Kg_Rng_Shpmts_APPS_IP" localSheetId="10">'[4]Shipments - kg'!$C$53:$AB$63</definedName>
    <definedName name="Kg_Rng_Shpmts_APPS_IPF" localSheetId="10">'[4]Shipments - kg'!$C$65:$AB$69</definedName>
    <definedName name="Kg_Rng_Shpmts_AWPS_IE" localSheetId="10">'[4]Shipments - kg'!$C$99:$AB$109</definedName>
    <definedName name="Kg_Rng_Shpmts_AWPS_IEF" localSheetId="10">'[4]Shipments - kg'!$C$111:$AB$115</definedName>
    <definedName name="Kg_Rng_Shpmts_AWPS_IP" localSheetId="10">'[4]Shipments - kg'!$C$34:$AB$44</definedName>
    <definedName name="Kg_Rng_Shpmts_AWPS_IPF" localSheetId="10">'[4]Shipments - kg'!$C$46:$AB$50</definedName>
    <definedName name="Kg_Rng_Shpmts_Incr_IE" localSheetId="10">'[4]Shipments - kg'!$C$75:$AB$86</definedName>
    <definedName name="Kg_Rng_Shpmts_Incr_IEF" localSheetId="10">'[4]Shipments - kg'!$C$88:$AB$92</definedName>
    <definedName name="Kg_Rng_Shpmts_Incr_IP" localSheetId="10">'[4]Shipments - kg'!$C$10:$AB$23</definedName>
    <definedName name="Kg_Rng_Shpmts_Incr_IPF" localSheetId="10">'[4]Shipments - kg'!$C$25:$AB$29</definedName>
    <definedName name="Kg_Shp_Cntry" localSheetId="10">'[4]Shipments - kg'!$A$1:$IV$8</definedName>
    <definedName name="Kg_Shp_IE_APPS" localSheetId="10">'[4]Shipments - kg'!$A$117:$IV$129</definedName>
    <definedName name="Kg_Shp_IE_AWPS" localSheetId="10">'[4]Shipments - kg'!$A$97:$IV$109</definedName>
    <definedName name="Kg_Shp_IE_Incr" localSheetId="10">'[4]Shipments - kg'!$A$72:$IV$86</definedName>
    <definedName name="Kg_Shp_IE_Tot" localSheetId="10">'[4]Shipments - kg'!$A$93:$IV$96</definedName>
    <definedName name="Kg_Shp_IEF_APPS" localSheetId="10">'[4]Shipments - kg'!$A$130:$IV$136</definedName>
    <definedName name="Kg_Shp_IEF_APPS_Hdr" localSheetId="10">'[4]Shipments - kg'!$A$117:$IV$118</definedName>
    <definedName name="Kg_Shp_IEF_AWPS" localSheetId="10">'[4]Shipments - kg'!$A$110:$IV$116</definedName>
    <definedName name="Kg_Shp_IEF_AWPS_Hdr" localSheetId="10">'[4]Shipments - kg'!$A$97:$IV$98</definedName>
    <definedName name="Kg_Shp_IEF_Incr" localSheetId="10">'[4]Shipments - kg'!$A$87:$IV$92</definedName>
    <definedName name="Kg_Shp_IEF_Incr_Hdr" localSheetId="10">'[4]Shipments - kg'!$A$72:$IV$73</definedName>
    <definedName name="Kg_Shp_IP_APPS" localSheetId="10">'[4]Shipments - kg'!$A$51:$IV$63</definedName>
    <definedName name="Kg_Shp_IP_AWPS" localSheetId="10">'[4]Shipments - kg'!$A$33:$IV$44</definedName>
    <definedName name="Kg_Shp_IP_Incr" localSheetId="10">'[4]Shipments - kg'!$A$9:$IV$23</definedName>
    <definedName name="Kg_Shp_IP_Tot" localSheetId="10">'[4]Shipments - kg'!$A$30:$IV$32</definedName>
    <definedName name="Kg_Shp_IPF_APPS" localSheetId="10">'[4]Shipments - kg'!$A$64:$IV$71</definedName>
    <definedName name="Kg_Shp_IPF_APPS_Hdr" localSheetId="10">'[4]Shipments - kg'!$A$51:$IV$52</definedName>
    <definedName name="Kg_Shp_IPF_AWPS" localSheetId="10">'[4]Shipments - kg'!$A$45:$IV$50</definedName>
    <definedName name="Kg_Shp_IPF_AWPS_Hdr" localSheetId="10">'[4]Shipments - kg'!$A$33:$IV$33</definedName>
    <definedName name="Kg_Shp_IPF_Incr" localSheetId="10">'[4]Shipments - kg'!$A$24:$IV$29</definedName>
    <definedName name="Kg_Shp_IPF_Incr_Hdr" localSheetId="10">'[4]Shipments - kg'!$A$9:$IV$9</definedName>
    <definedName name="Kg_Shp_Origin_Cntry" localSheetId="10">'[4]Shipments - kg'!$C$6:$AB$6</definedName>
    <definedName name="Kg_Shpmt_Cntry" localSheetId="10">'[4]Shipments - kg'!$AD$140</definedName>
    <definedName name="Kg_Shpmt_Disct" localSheetId="10">'[4]Discounts - kg'!$A$200</definedName>
    <definedName name="Kg_Shpmts" localSheetId="10">'[4]Shipments - kg'!$A$9:$IV$135</definedName>
    <definedName name="Kg_Shpmts_AWPS_Reset" localSheetId="10">'[4]Shipments - kg'!$A$500</definedName>
    <definedName name="Kg_Shpmts_AWPS_Reset1" localSheetId="10">'[4]Shipments - kg'!$A$501</definedName>
    <definedName name="Kilograms" localSheetId="10">[4]Request!$P$25</definedName>
    <definedName name="Lb_Apprv_Dt" localSheetId="10">'[4]Approved Discts-lb'!$F$3</definedName>
    <definedName name="Lb_APPS_Chk" localSheetId="10">'[4]Shipments - lb'!$A$1138</definedName>
    <definedName name="Lb_AWPS_Chk" localSheetId="10">'[4]Shipments - lb'!$A$1117</definedName>
    <definedName name="Lb_Cntry_Disct" localSheetId="10">'[4]Discounts - lb'!$AB$108</definedName>
    <definedName name="lb_Disc_Edit_Check" localSheetId="10">'[4]Approved Discts-lb'!$AF$259</definedName>
    <definedName name="Lb_Discts" localSheetId="10">'[4]Discounts - lb'!$A$16:$IV$98</definedName>
    <definedName name="Lb_Dsc_Cntry" localSheetId="10">'[4]Discounts - lb'!$A$1:$IV$15</definedName>
    <definedName name="Lb_Dsc_IE_Cur_Disct" localSheetId="10">'[4]Discounts - lb'!$A$68:$IV$75</definedName>
    <definedName name="Lb_Dsc_IE_Hdr" localSheetId="10">'[4]Discounts - lb'!$A$60:$IV$62</definedName>
    <definedName name="Lb_Dsc_IE_Min_Hdr" localSheetId="10">'[4]Discounts - lb'!$A$63:$IV$64</definedName>
    <definedName name="Lb_Dsc_IE_Min_IE" localSheetId="10">'[4]Discounts - lb'!$A$65:$IV$65</definedName>
    <definedName name="Lb_Dsc_IE_Min_IEF" localSheetId="10">'[4]Discounts - lb'!$A$66:$IV$67</definedName>
    <definedName name="Lb_Dsc_IE_Pct_Disct" localSheetId="10">'[4]Discounts - lb'!$A$76:$IV$92</definedName>
    <definedName name="Lb_Dsc_IEF_Pct_Disct" localSheetId="10">'[4]Discounts - lb'!$A$93:$IV$99</definedName>
    <definedName name="Lb_Dsc_IEF8" localSheetId="10">'[4]Discounts - lb'!$A$94:$IV$94</definedName>
    <definedName name="Lb_Dsc_IP_Cur_Disct" localSheetId="10">'[4]Discounts - lb'!$A$25:$IV$31</definedName>
    <definedName name="Lb_Dsc_IP_Hdr" localSheetId="10">'[4]Discounts - lb'!$A$16:$IV$17</definedName>
    <definedName name="Lb_Dsc_IP_Min_Hdr" localSheetId="10">'[4]Discounts - lb'!$A$18:$IV$19</definedName>
    <definedName name="Lb_Dsc_IP_Min_IP" localSheetId="10">'[4]Discounts - lb'!$A$20:$IV$22</definedName>
    <definedName name="Lb_Dsc_IP_Min_IPF" localSheetId="10">'[4]Discounts - lb'!$A$23:$IV$24</definedName>
    <definedName name="Lb_Dsc_IP_Pct_Disct" localSheetId="10">'[4]Discounts - lb'!$A$32:$IV$50</definedName>
    <definedName name="Lb_Dsc_IPF_Pct_Disct" localSheetId="10">'[4]Discounts - lb'!$A$51:$IV$59</definedName>
    <definedName name="Lb_Dsc_IPF8" localSheetId="10">'[4]Discounts - lb'!$A$52:$IV$52</definedName>
    <definedName name="Lb_Dsc_Origin_Cntry" localSheetId="10">'[4]Discounts - lb'!$B$7:$AA$7</definedName>
    <definedName name="Lb_Incr_Shp_IE" localSheetId="10">'[4]Shipments - lb'!$A$162</definedName>
    <definedName name="Lb_Incr_Shp_IEF" localSheetId="10">'[4]Shipments - lb'!$A$163</definedName>
    <definedName name="Lb_Incr_Shp_IP" localSheetId="10">'[4]Shipments - lb'!$A$160</definedName>
    <definedName name="Lb_Incr_Shp_IPF" localSheetId="10">'[4]Shipments - lb'!$A$161</definedName>
    <definedName name="Lb_Rng_Cur_Disct_IE" localSheetId="10">'[4]Discounts - lb'!$B$72:$AA$74</definedName>
    <definedName name="Lb_Rng_Cur_Disct_IP" localSheetId="10">'[4]Discounts - lb'!$B$26:$AA$30</definedName>
    <definedName name="Lb_Rng_Disct_IE" localSheetId="10">'[4]Discounts - lb'!$B$78:$AA$84</definedName>
    <definedName name="Lb_Rng_Disct_IEF" localSheetId="10">'[4]Discounts - lb'!$B$94:$AA$98</definedName>
    <definedName name="Lb_Rng_Disct_IEHW" localSheetId="10">'[4]Discounts - lb'!$B$87:$AA$91</definedName>
    <definedName name="Lb_Rng_Disct_IP" localSheetId="10">'[4]Discounts - lb'!$B$34:$AA$42</definedName>
    <definedName name="Lb_Rng_Disct_IPF" localSheetId="10">'[4]Discounts - lb'!$B$52:$AA$56</definedName>
    <definedName name="Lb_Rng_Disct_IPHW" localSheetId="10">'[4]Discounts - lb'!$B$45:$AA$49</definedName>
    <definedName name="Lb_Rng_Disct_Min_IE" localSheetId="10">'[4]Discounts - lb'!$B$65:$AA$66</definedName>
    <definedName name="Lb_Rng_Disct_Min_IP" localSheetId="10">'[4]Discounts - lb'!$B$20:$AA$23</definedName>
    <definedName name="Lb_Rng_Shpmts_APPS_IE" localSheetId="10">'[4]Shipments - lb'!$C$119:$AB$129</definedName>
    <definedName name="Lb_Rng_Shpmts_APPS_IEF" localSheetId="10">'[4]Shipments - lb'!$C$131:$AB$135</definedName>
    <definedName name="Lb_Rng_Shpmts_APPS_IP" localSheetId="10">'[4]Shipments - lb'!$C$53:$AB$63</definedName>
    <definedName name="Lb_Rng_Shpmts_APPS_IPF" localSheetId="10">'[4]Shipments - lb'!$C$65:$AB$69</definedName>
    <definedName name="Lb_Rng_Shpmts_AWPS_IE" localSheetId="10">'[4]Shipments - lb'!$C$99:$AB$109</definedName>
    <definedName name="Lb_Rng_Shpmts_AWPS_IEF" localSheetId="10">'[4]Shipments - lb'!$C$111:$AB$115</definedName>
    <definedName name="Lb_Rng_Shpmts_AWPS_IP" localSheetId="10">'[4]Shipments - lb'!$C$34:$AB$44</definedName>
    <definedName name="Lb_Rng_Shpmts_AWPS_IPF" localSheetId="10">'[4]Shipments - lb'!$C$46:$AB$50</definedName>
    <definedName name="Lb_Rng_Shpmts_Incr_IE" localSheetId="10">'[4]Shipments - lb'!$C$75:$AB$86</definedName>
    <definedName name="Lb_Rng_Shpmts_Incr_IEF" localSheetId="10">'[4]Shipments - lb'!$C$88:$AB$92</definedName>
    <definedName name="Lb_Rng_Shpmts_Incr_IP" localSheetId="10">'[4]Shipments - lb'!$C$10:$AB$23</definedName>
    <definedName name="Lb_Rng_Shpmts_Incr_IPF" localSheetId="10">'[4]Shipments - lb'!$C$25:$AB$29</definedName>
    <definedName name="Lb_Shp_Cntry" localSheetId="10">'[4]Shipments - lb'!$A$1:$IV$8</definedName>
    <definedName name="Lb_Shp_IE_APPS" localSheetId="10">'[4]Shipments - lb'!$A$117:$IV$129</definedName>
    <definedName name="Lb_Shp_IE_AWPS" localSheetId="10">'[4]Shipments - lb'!$A$97:$IV$109</definedName>
    <definedName name="Lb_Shp_IE_Incr" localSheetId="10">'[4]Shipments - lb'!$A$72:$IV$86</definedName>
    <definedName name="Lb_Shp_IE_Tot" localSheetId="10">'[4]Shipments - lb'!$A$93:$IV$96</definedName>
    <definedName name="Lb_Shp_IEF_APPS" localSheetId="10">'[4]Shipments - lb'!$A$130:$IV$136</definedName>
    <definedName name="Lb_Shp_IEF_APPS_Hdr" localSheetId="10">'[4]Shipments - lb'!$A$117:$IV$118</definedName>
    <definedName name="Lb_Shp_IEF_AWPS" localSheetId="10">'[4]Shipments - lb'!$A$110:$IV$116</definedName>
    <definedName name="Lb_Shp_IEF_AWPS_Hdr" localSheetId="10">'[4]Shipments - lb'!$A$97:$IV$98</definedName>
    <definedName name="Lb_Shp_IEF_Incr" localSheetId="10">'[4]Shipments - lb'!$A$87:$IV$92</definedName>
    <definedName name="Lb_Shp_IEF_Incr_Hdr" localSheetId="10">'[4]Shipments - lb'!$A$72:$IV$73</definedName>
    <definedName name="Lb_Shp_IEF8_APPS" localSheetId="10">'[4]Shipments - lb'!$A$131:$IV$131</definedName>
    <definedName name="Lb_Shp_IEF8_AWPS" localSheetId="10">'[4]Shipments - lb'!$A$111:$IV$111</definedName>
    <definedName name="Lb_Shp_IEF8_Incr" localSheetId="10">'[4]Shipments - lb'!$A$88:$IV$88</definedName>
    <definedName name="Lb_Shp_IP_APPS" localSheetId="10">'[4]Shipments - lb'!$A$51:$IV$63</definedName>
    <definedName name="Lb_Shp_IP_AWPS" localSheetId="10">'[4]Shipments - lb'!$A$33:$IV$44</definedName>
    <definedName name="Lb_Shp_IP_Incr" localSheetId="10">'[4]Shipments - lb'!$A$9:$IV$23</definedName>
    <definedName name="Lb_Shp_IP_Tot" localSheetId="10">'[4]Shipments - lb'!$A$30:$IV$32</definedName>
    <definedName name="Lb_Shp_IPF_APPS" localSheetId="10">'[4]Shipments - lb'!$A$64:$IV$71</definedName>
    <definedName name="Lb_Shp_IPF_APPS_Hdr" localSheetId="10">'[4]Shipments - lb'!$A$51:$IV$52</definedName>
    <definedName name="Lb_Shp_IPF_AWPS" localSheetId="10">'[4]Shipments - lb'!$A$45:$IV$50</definedName>
    <definedName name="Lb_Shp_IPF_AWPS_Hdr" localSheetId="10">'[4]Shipments - lb'!$A$33:$IV$33</definedName>
    <definedName name="Lb_Shp_IPF_Incr" localSheetId="10">'[4]Shipments - lb'!$A$24:$IV$29</definedName>
    <definedName name="Lb_Shp_IPF_Incr_Hdr" localSheetId="10">'[4]Shipments - lb'!$A$9:$IV$9</definedName>
    <definedName name="Lb_Shp_IPF8_APPS" localSheetId="10">'[4]Shipments - lb'!$A$65:$IV$65</definedName>
    <definedName name="Lb_Shp_IPF8_AWPS" localSheetId="10">'[4]Shipments - lb'!$A$46:$IV$46</definedName>
    <definedName name="Lb_Shp_IPF8_Incr" localSheetId="10">'[4]Shipments - lb'!$A$25:$IV$25</definedName>
    <definedName name="Lb_Shp_Origin_Cntry" localSheetId="10">'[4]Shipments - lb'!$C$6:$AB$6</definedName>
    <definedName name="Lb_Shpmt_Cntry" localSheetId="10">'[4]Shipments - lb'!$AD$140</definedName>
    <definedName name="Lb_Shpmt_Disct" localSheetId="10">'[4]Discounts - lb'!$A$200</definedName>
    <definedName name="Lb_Shpmts" localSheetId="10">'[4]Shipments - lb'!$A$9:$IV$135</definedName>
    <definedName name="Lb_Shpmts_AWPS_Reset" localSheetId="10">'[4]Shipments - lb'!$A$500</definedName>
    <definedName name="Lb_Shpmts_AWPS_Reset1" localSheetId="10">'[4]Shipments - lb'!$A$501</definedName>
    <definedName name="LocalAccts" localSheetId="10">[4]TempVariables!$F$2</definedName>
    <definedName name="Locations" localSheetId="10">[4]Request!$C$124</definedName>
    <definedName name="LOOKUP" localSheetId="10">#REF!</definedName>
    <definedName name="Major_Origin_Cities" localSheetId="10">[4]Request!$E$124</definedName>
    <definedName name="MBG" localSheetId="10">[4]Request!$G$42</definedName>
    <definedName name="MBG_NotReq" localSheetId="10">[4]Request!$P$44</definedName>
    <definedName name="MBG_Option" localSheetId="10">[4]Request!$M$44</definedName>
    <definedName name="MBG_Req" localSheetId="10">[4]Request!$Q$44</definedName>
    <definedName name="MINTABLE" localSheetId="10">[11]SURCHARGES!$H$9:$U$15</definedName>
    <definedName name="ModelDate" localSheetId="10">[4]Request!$K$1</definedName>
    <definedName name="NatlAccts" localSheetId="10">[4]TempVariables!$A$2</definedName>
    <definedName name="NDAAll" localSheetId="10">'[11]Customer Info'!$V$9</definedName>
    <definedName name="Old_Payor_No" localSheetId="10">[4]Request!$E$56</definedName>
    <definedName name="Old_Shipper_No" localSheetId="10">[4]Request!$E$54</definedName>
    <definedName name="Op_Months" localSheetId="10">'[4]Shipments - current'!$B$1</definedName>
    <definedName name="Op_Scenario" localSheetId="10">[4]Request!$P$74</definedName>
    <definedName name="OpQ" localSheetId="10">[4]Request!$L$74</definedName>
    <definedName name="OptionType" localSheetId="10">[7]control!$F$27:$F$29</definedName>
    <definedName name="Orig_Region_1" localSheetId="10">[4]Request!$A$125</definedName>
    <definedName name="Orig_Region_10" localSheetId="10">[4]Request!$A$134</definedName>
    <definedName name="Orig_Region_11" localSheetId="10">[4]Request!$A$135</definedName>
    <definedName name="Orig_Region_12" localSheetId="10">[4]Request!$A$136</definedName>
    <definedName name="Orig_Region_13" localSheetId="10">[4]Request!$A$137</definedName>
    <definedName name="Orig_Region_14" localSheetId="10">[4]Request!$A$138</definedName>
    <definedName name="Orig_Region_15" localSheetId="10">[4]Request!$A$139</definedName>
    <definedName name="Orig_Region_16" localSheetId="10">[4]Request!$A$140</definedName>
    <definedName name="Orig_Region_17" localSheetId="10">[4]Request!$A$141</definedName>
    <definedName name="Orig_Region_18" localSheetId="10">[4]Request!$A$142</definedName>
    <definedName name="Orig_Region_19" localSheetId="10">[4]Request!$A$143</definedName>
    <definedName name="Orig_Region_2" localSheetId="10">[4]Request!$A$126</definedName>
    <definedName name="Orig_Region_20" localSheetId="10">[4]Request!$A$144</definedName>
    <definedName name="Orig_Region_21" localSheetId="10">[4]Request!$A$145</definedName>
    <definedName name="Orig_Region_22" localSheetId="10">[4]Request!$A$146</definedName>
    <definedName name="Orig_Region_23" localSheetId="10">[4]Request!$A$147</definedName>
    <definedName name="Orig_Region_24" localSheetId="10">[4]Request!$A$148</definedName>
    <definedName name="Orig_Region_25" localSheetId="10">[4]Request!$A$149</definedName>
    <definedName name="Orig_Region_26" localSheetId="10">[4]Request!$A$150</definedName>
    <definedName name="Orig_Region_3" localSheetId="10">[4]Request!$A$127</definedName>
    <definedName name="Orig_Region_4" localSheetId="10">[4]Request!$A$128</definedName>
    <definedName name="Orig_Region_5" localSheetId="10">[4]Request!$A$129</definedName>
    <definedName name="Orig_Region_6" localSheetId="10">[4]Request!$A$130</definedName>
    <definedName name="Orig_Region_7" localSheetId="10">[4]Request!$A$131</definedName>
    <definedName name="Orig_Region_8" localSheetId="10">[4]Request!$A$132</definedName>
    <definedName name="Orig_Region_9" localSheetId="10">[4]Request!$A$133</definedName>
    <definedName name="Orig1" localSheetId="10">[4]Request!$L$125</definedName>
    <definedName name="Orig10" localSheetId="10">[4]Request!$L$134</definedName>
    <definedName name="Orig11" localSheetId="10">[4]Request!$L$135</definedName>
    <definedName name="Orig12" localSheetId="10">[4]Request!$L$136</definedName>
    <definedName name="Orig13" localSheetId="10">[4]Request!$L$137</definedName>
    <definedName name="Orig14" localSheetId="10">[4]Request!$L$138</definedName>
    <definedName name="Orig15" localSheetId="10">[4]Request!$L$139</definedName>
    <definedName name="Orig16" localSheetId="10">[4]Request!$L$140</definedName>
    <definedName name="Orig17" localSheetId="10">[4]Request!$L$141</definedName>
    <definedName name="Orig18" localSheetId="10">[4]Request!$L$142</definedName>
    <definedName name="Orig19" localSheetId="10">[4]Request!$L$143</definedName>
    <definedName name="Orig2" localSheetId="10">[4]Request!$L$126</definedName>
    <definedName name="Orig20" localSheetId="10">[4]Request!$L$144</definedName>
    <definedName name="Orig21" localSheetId="10">[4]Request!$L$145</definedName>
    <definedName name="Orig22" localSheetId="10">[4]Request!$L$146</definedName>
    <definedName name="Orig23" localSheetId="10">[4]Request!$L$147</definedName>
    <definedName name="Orig24" localSheetId="10">[4]Request!$L$148</definedName>
    <definedName name="Orig25" localSheetId="10">[4]Request!$L$149</definedName>
    <definedName name="Orig26" localSheetId="10">[4]Request!$L$150</definedName>
    <definedName name="Orig3" localSheetId="10">[4]Request!$L$127</definedName>
    <definedName name="Orig4" localSheetId="10">[4]Request!$L$128</definedName>
    <definedName name="Orig5" localSheetId="10">[4]Request!$L$129</definedName>
    <definedName name="Orig6" localSheetId="10">[4]Request!$L$130</definedName>
    <definedName name="Orig7" localSheetId="10">[4]Request!$L$131</definedName>
    <definedName name="Orig8" localSheetId="10">[4]Request!$L$132</definedName>
    <definedName name="Orig9" localSheetId="10">[4]Request!$L$133</definedName>
    <definedName name="Origin" localSheetId="10">[4]Request!$B$124</definedName>
    <definedName name="Origin_Countries" localSheetId="10">[4]Request!$L$125:$L$150</definedName>
    <definedName name="Origin_Country_Code" localSheetId="10">[4]Countries!$G$4:$H$224</definedName>
    <definedName name="Origin_Country_Name_Code" localSheetId="10">[4]Countries!$B$4:$C$224</definedName>
    <definedName name="Origin_Scenario" localSheetId="10">[4]Request!$E$76</definedName>
    <definedName name="parcels" localSheetId="10">#REF!</definedName>
    <definedName name="Password" localSheetId="10">[4]TempVariables!$O$3</definedName>
    <definedName name="Payor_Acct1" localSheetId="10">[4]Request!$I$23</definedName>
    <definedName name="Payor_Acct2" localSheetId="10">[4]Request!$I$25</definedName>
    <definedName name="Payor_Acct3" localSheetId="10">[4]Request!$I$27</definedName>
    <definedName name="Payor_Country" localSheetId="10">[4]Request!$M$19</definedName>
    <definedName name="Payor_Table" localSheetId="10">[4]Countries!$HI$4:$HR$101</definedName>
    <definedName name="PayorRgn" localSheetId="10">[4]Request!$P$15</definedName>
    <definedName name="PNH" localSheetId="10">#REF!</definedName>
    <definedName name="Pricing_Requested" localSheetId="10">[4]Request!$A$33</definedName>
    <definedName name="Product" localSheetId="10">[7]control!$N$27:$N$38</definedName>
    <definedName name="Provinces_Cities" localSheetId="10">[4]Request!$E$125:$E$150</definedName>
    <definedName name="Range1" localSheetId="10">#REF!</definedName>
    <definedName name="Region" localSheetId="10">[4]Request!$O$16</definedName>
    <definedName name="Region_Rev" localSheetId="10">[4]Request!$E$112:$E$116</definedName>
    <definedName name="RO" localSheetId="10">#REF!</definedName>
    <definedName name="road" localSheetId="10">#REF!</definedName>
    <definedName name="RTH" localSheetId="10">#REF!</definedName>
    <definedName name="Sales_AE" localSheetId="10">[4]Request!$B$21</definedName>
    <definedName name="Sales_Manager" localSheetId="10">[4]Request!$B$19</definedName>
    <definedName name="SDAALL" localSheetId="10">'[11]Customer Info'!$V$15</definedName>
    <definedName name="Service_IE" localSheetId="10">[4]Request!$R$46</definedName>
    <definedName name="Service_IE_IEF" localSheetId="10">[4]Request!$R$47</definedName>
    <definedName name="Service_IEF" localSheetId="10">[4]Request!$S$46</definedName>
    <definedName name="Service_IP" localSheetId="10">[4]Request!$P$46</definedName>
    <definedName name="Service_IP_IPF" localSheetId="10">[4]Request!$P$47</definedName>
    <definedName name="Service_IPF" localSheetId="10">[4]Request!$Q$46</definedName>
    <definedName name="Service_Type" localSheetId="10">[4]Request!$L$48</definedName>
    <definedName name="Services_Requested" localSheetId="10">[4]Request!$A$42</definedName>
    <definedName name="Ship_Locations" localSheetId="10">[4]Request!$M$125:$M$150</definedName>
    <definedName name="Ship_Tender" localSheetId="10">[4]Request!$E$68</definedName>
    <definedName name="Show9DigitAccts" localSheetId="10">[4]TempVariables!$J$3</definedName>
    <definedName name="SlsChan" localSheetId="10">[7]control!$B$27:$B$28</definedName>
    <definedName name="Spec_Op" localSheetId="10">[4]Request!$A$72</definedName>
    <definedName name="StartMonth" localSheetId="10">[4]TempVariables!$G$3</definedName>
    <definedName name="Strategy" localSheetId="10">[4]Request!$A$108</definedName>
    <definedName name="SurchargeType" localSheetId="10">[7]control!$I$27:$I$32</definedName>
    <definedName name="TABLE" localSheetId="10">#REF!</definedName>
    <definedName name="TempVariables" localSheetId="10">[4]TempVariables!$A$1</definedName>
    <definedName name="Tier" localSheetId="10">'[12]Portfolio Discount'!#REF!</definedName>
    <definedName name="Tot_Annual_Rev" localSheetId="10">[4]Request!$E$117</definedName>
    <definedName name="USAcctsOnly" localSheetId="10">[4]TempVariables!$I$3</definedName>
    <definedName name="UserID" localSheetId="10">[4]TempVariables!$N$3</definedName>
    <definedName name="Value_2K" localSheetId="10">[4]Request!$E$88</definedName>
    <definedName name="values" localSheetId="10">[4]Request!$L$16:$O$150</definedName>
    <definedName name="WtMetric" localSheetId="10">[4]Request!$B$25</definedName>
    <definedName name="YN" localSheetId="10">[7]control!$P$27:$P$28</definedName>
    <definedName name="zone" localSheetId="10">#REF!</definedName>
    <definedName name="ZonedOut" localSheetId="10">[7]rates_input!$R$5:$Z$8</definedName>
    <definedName name="ZonedOut1" localSheetId="10">[7]rates_input!$I$6:$Z$8</definedName>
    <definedName name="ZonedOut2" localSheetId="10">[7]rates_input!$I$7:$Z$8</definedName>
    <definedName name="ZONELU" localSheetId="10">[11]SURCHARGES!$B$9:$D$59</definedName>
    <definedName name="Zones" localSheetId="10">#REF!,#REF!,#REF!,#REF!</definedName>
    <definedName name="Zones_New" localSheetId="10">[7]zones_input!$B$1:$G$65536</definedName>
    <definedName name="_Fill" localSheetId="11" hidden="1">[2]Express!#REF!</definedName>
    <definedName name="_Key1" localSheetId="11" hidden="1">#REF!</definedName>
    <definedName name="_Loc1" localSheetId="11">[3]Request!$M$125</definedName>
    <definedName name="_Loc10" localSheetId="11">[4]Request!$M$134</definedName>
    <definedName name="_Loc11" localSheetId="11">[4]Request!$M$135</definedName>
    <definedName name="_Loc12" localSheetId="11">[4]Request!$M$136</definedName>
    <definedName name="_Loc13" localSheetId="11">[4]Request!$M$137</definedName>
    <definedName name="_Loc14" localSheetId="11">[4]Request!$M$138</definedName>
    <definedName name="_Loc15" localSheetId="11">[4]Request!$M$139</definedName>
    <definedName name="_Loc16" localSheetId="11">[4]Request!$M$140</definedName>
    <definedName name="_Loc17" localSheetId="11">[4]Request!$M$141</definedName>
    <definedName name="_Loc18" localSheetId="11">[4]Request!$M$142</definedName>
    <definedName name="_Loc19" localSheetId="11">[4]Request!$M$143</definedName>
    <definedName name="_Loc2" localSheetId="11">[4]Request!$M$126</definedName>
    <definedName name="_Loc20" localSheetId="11">[4]Request!$M$144</definedName>
    <definedName name="_Loc21" localSheetId="11">[4]Request!$M$145</definedName>
    <definedName name="_Loc22" localSheetId="11">[4]Request!$M$146</definedName>
    <definedName name="_Loc23" localSheetId="11">[4]Request!$M$147</definedName>
    <definedName name="_Loc24" localSheetId="11">[4]Request!$M$148</definedName>
    <definedName name="_Loc25" localSheetId="11">[4]Request!$M$149</definedName>
    <definedName name="_Loc26" localSheetId="11">[4]Request!$M$150</definedName>
    <definedName name="_Loc3" localSheetId="11">[4]Request!$M$127</definedName>
    <definedName name="_Loc4" localSheetId="11">[4]Request!$M$128</definedName>
    <definedName name="_Loc5" localSheetId="11">[4]Request!$M$129</definedName>
    <definedName name="_Loc6" localSheetId="11">[4]Request!$M$130</definedName>
    <definedName name="_Loc7" localSheetId="11">[4]Request!$M$131</definedName>
    <definedName name="_Loc8" localSheetId="11">[4]Request!$M$132</definedName>
    <definedName name="_Loc9" localSheetId="11">[4]Request!$M$133</definedName>
    <definedName name="_Sort" localSheetId="11" hidden="1">[1]Express!#REF!</definedName>
    <definedName name="a" localSheetId="11" hidden="1">[1]Express!#REF!</definedName>
    <definedName name="Account" localSheetId="11">[4]Request!$B$17</definedName>
    <definedName name="Acct_number" localSheetId="11">[5]Summary!$E$2</definedName>
    <definedName name="AFD" localSheetId="11">#REF!</definedName>
    <definedName name="Agent" localSheetId="11">[4]Request!$A$60</definedName>
    <definedName name="Agent_Comm" localSheetId="11">[4]Request!$E$64</definedName>
    <definedName name="Agent_Delivery" localSheetId="11">[4]Request!$O$62</definedName>
    <definedName name="Agent_Involved" localSheetId="11">[4]Request!$P$62</definedName>
    <definedName name="Agent_Pickup" localSheetId="11">[4]Request!$N$62</definedName>
    <definedName name="Agent_Services" localSheetId="11">[4]Request!$E$66</definedName>
    <definedName name="AgentQ" localSheetId="11">[4]Request!$L$62</definedName>
    <definedName name="AllDiscountArea" localSheetId="11">[6]Discounts!$D$15:$Q$16,[6]Discounts!$S$15:$T$16,[6]Discounts!$D$22:$M$22,[6]Discounts!$O$22:$P$22,[6]Discounts!$T$22:$T$22,[6]Discounts!$D$29:$D$30,[6]Discounts!$F$29:$Q$30,[6]Discounts!$T$29:$T$30,[6]Discounts!$D$36:$D$36,[6]Discounts!$F$36:$M$36,[6]Discounts!$O$36:$P$36,[6]Discounts!$T$36:$T$36</definedName>
    <definedName name="Alph_countries" localSheetId="11">[7]zones_input!$A$2:$A$214</definedName>
    <definedName name="anakg" localSheetId="11">'[4]Shipments - kg current'!$D$1</definedName>
    <definedName name="analb" localSheetId="11">'[4]Shipments - lb current'!$D$1</definedName>
    <definedName name="ApDsctKgADNR" localSheetId="11">#REF!</definedName>
    <definedName name="ApDsctKgComm" localSheetId="11">#REF!</definedName>
    <definedName name="ApDsctKgH1" localSheetId="11">#REF!</definedName>
    <definedName name="ApDsctKgH2" localSheetId="11">#REF!</definedName>
    <definedName name="ApDsctKgIEAppCurDisct" localSheetId="11">#REF!</definedName>
    <definedName name="ApDsctKgIEAppMin" localSheetId="11">#REF!</definedName>
    <definedName name="ApDsctKgIEReqCurDisct" localSheetId="11">#REF!</definedName>
    <definedName name="ApDsctKgIEReqMin" localSheetId="11">#REF!</definedName>
    <definedName name="ApDsctKgIERestore" localSheetId="11">#REF!</definedName>
    <definedName name="ApDsctKgIPAppCurDisct" localSheetId="11">#REF!</definedName>
    <definedName name="ApDsctKgIPAppMin" localSheetId="11">#REF!</definedName>
    <definedName name="ApDsctKgIPReqCurDisct" localSheetId="11">#REF!</definedName>
    <definedName name="ApDsctKgIPReqMin" localSheetId="11">#REF!</definedName>
    <definedName name="ApDsctKgIPRestore" localSheetId="11">#REF!</definedName>
    <definedName name="ApDsctKgLR" localSheetId="11">#REF!</definedName>
    <definedName name="ApDsctKgLR1" localSheetId="11">#REF!</definedName>
    <definedName name="ApDsctKgQ1" localSheetId="11">#REF!</definedName>
    <definedName name="ApDsctKgQ10" localSheetId="11">#REF!</definedName>
    <definedName name="ApDsctKgQ2" localSheetId="11">#REF!</definedName>
    <definedName name="ApDsctKgQ3" localSheetId="11">#REF!</definedName>
    <definedName name="ApDsctKgQ4" localSheetId="11">#REF!</definedName>
    <definedName name="ApDsctKgQ5" localSheetId="11">#REF!</definedName>
    <definedName name="ApDsctKgQ6" localSheetId="11">#REF!</definedName>
    <definedName name="ApDsctKgQ7" localSheetId="11">#REF!</definedName>
    <definedName name="ApDsctKgQ8" localSheetId="11">#REF!</definedName>
    <definedName name="ApDsctKgQ9" localSheetId="11">#REF!</definedName>
    <definedName name="ApDsctKgRMIE" localSheetId="11">#REF!</definedName>
    <definedName name="ApDsctKgRMIP" localSheetId="11">#REF!</definedName>
    <definedName name="ApDsctKgSIE" localSheetId="11">#REF!</definedName>
    <definedName name="ApDsctKgSIP" localSheetId="11">#REF!</definedName>
    <definedName name="ApDsctLbADNR" localSheetId="11">'[4]Approved Discts-lb'!$F$7:$AE$7</definedName>
    <definedName name="ApDsctLbComm" localSheetId="11">'[4]Approved Discts-lb'!$F$159</definedName>
    <definedName name="ApDsctLbH1" localSheetId="11">'[4]Approved Discts-lb'!$F$3:$H$4</definedName>
    <definedName name="ApDsctLbH2" localSheetId="11">'[4]Approved Discts-lb'!$Z$3:$Z$4</definedName>
    <definedName name="ApDsctLbIEAppCurDisct" localSheetId="11">'[4]Approved Discts-lb'!$A$111:$AE$114</definedName>
    <definedName name="ApDsctLbIEAppMin" localSheetId="11">'[4]Approved Discts-lb'!$A$108:$AE$110</definedName>
    <definedName name="ApDsctLbIEReqCurDisct" localSheetId="11">'[4]Approved Discts-lb'!$A$85:$AE$88</definedName>
    <definedName name="ApDsctLbIEReqMin" localSheetId="11">'[4]Approved Discts-lb'!$B$82:$AE$84</definedName>
    <definedName name="ApDsctLbIERestore" localSheetId="11">'[4]Approved Discts-lb'!$F$364:$AE$387</definedName>
    <definedName name="ApDsctLbIPAppCurDisct" localSheetId="11">'[4]Approved Discts-lb'!$A$50:$AE$55</definedName>
    <definedName name="ApDsctLbIPAppMin" localSheetId="11">'[4]Approved Discts-lb'!$A$45:$AE$49</definedName>
    <definedName name="ApDsctLbIPReqCurDisct" localSheetId="11">'[4]Approved Discts-lb'!$A$18:$AE$23</definedName>
    <definedName name="ApDsctLbIPReqMin" localSheetId="11">'[4]Approved Discts-lb'!$A$13:$AE$17</definedName>
    <definedName name="ApDsctLbIPRestore" localSheetId="11">'[4]Approved Discts-lb'!$F$326:$AE$355</definedName>
    <definedName name="ApDsctLbLR" localSheetId="11">'[4]Approved Discts-lb'!$F$11:$AE$11</definedName>
    <definedName name="ApDsctLbLR1" localSheetId="11">'[4]Approved Discts-lb'!$F$81:$AE$81</definedName>
    <definedName name="ApDsctLbQ1" localSheetId="11">'[4]Approved Discts-lb'!$AG$134</definedName>
    <definedName name="ApDsctLbQ10" localSheetId="11">'[4]Approved Discts-lb'!$AG$154</definedName>
    <definedName name="ApDsctLbQ2" localSheetId="11">'[4]Approved Discts-lb'!$AG$136</definedName>
    <definedName name="ApDsctLbQ3" localSheetId="11">'[4]Approved Discts-lb'!$AG$138</definedName>
    <definedName name="ApDsctLbQ4" localSheetId="11">'[4]Approved Discts-lb'!$AG$141</definedName>
    <definedName name="ApDsctLbQ5" localSheetId="11">'[4]Approved Discts-lb'!$AG$143</definedName>
    <definedName name="ApDsctLbQ6" localSheetId="11">'[4]Approved Discts-lb'!$AG$145</definedName>
    <definedName name="ApDsctLbQ7" localSheetId="11">'[4]Approved Discts-lb'!$AG$147</definedName>
    <definedName name="ApDsctLbQ8" localSheetId="11">'[4]Approved Discts-lb'!$AG$149</definedName>
    <definedName name="ApDsctLbQ9" localSheetId="11">'[4]Approved Discts-lb'!$AG$151</definedName>
    <definedName name="ApDsctLbRMIE" localSheetId="11">'[4]Approved Discts-lb'!$F$109:$AE$132</definedName>
    <definedName name="ApDsctLbRMIP" localSheetId="11">'[4]Approved Discts-lb'!$F$46:$AE$75</definedName>
    <definedName name="ApDsctLbSIE" localSheetId="11">'[4]Approved Discts-lb'!$F$83:$AE$106</definedName>
    <definedName name="ApDsctLbSIP" localSheetId="11">'[4]Approved Discts-lb'!$F$14:$AE$43</definedName>
    <definedName name="Approval" localSheetId="11">[4]Request!$P$16</definedName>
    <definedName name="Bill_3P" localSheetId="11">[4]Request!$M$29</definedName>
    <definedName name="Bill_Consignee" localSheetId="11">[4]Request!$L$29</definedName>
    <definedName name="Billing_Option" localSheetId="11">[4]Request!$A$29</definedName>
    <definedName name="Business_Type" localSheetId="11">[4]Request!$G$31</definedName>
    <definedName name="BWE" localSheetId="11">[4]TempVariables!$K$3</definedName>
    <definedName name="Chk_Origin_Cntry" localSheetId="11">[4]Request!$L$151</definedName>
    <definedName name="Chk_Provinces_Cities" localSheetId="11">[4]Request!$S$151</definedName>
    <definedName name="Chk_Ship_Loc" localSheetId="11">[4]Request!$R$151</definedName>
    <definedName name="Clearance_Reqd" localSheetId="11">[4]Request!$A$82</definedName>
    <definedName name="Commodity1" localSheetId="11">[4]Request!$I$48</definedName>
    <definedName name="Commodity2" localSheetId="11">[4]Request!$I$49</definedName>
    <definedName name="Competitor" localSheetId="11">[4]Request!$I$54</definedName>
    <definedName name="CONTDE" localSheetId="11">#REF!</definedName>
    <definedName name="CONTFD" localSheetId="11">#REF!</definedName>
    <definedName name="CONTFE" localSheetId="11">#REF!</definedName>
    <definedName name="CONTPD" localSheetId="11">#REF!</definedName>
    <definedName name="CONTPE" localSheetId="11">#REF!</definedName>
    <definedName name="countries" localSheetId="11">[7]zones_input!$A$2:$C$202</definedName>
    <definedName name="country_selection" localSheetId="11">[7]control!$S$4:$S$5</definedName>
    <definedName name="CSource" localSheetId="11">[7]control!$D$27:$D$29</definedName>
    <definedName name="Cur_Disct" localSheetId="11">[4]Request!$P$19</definedName>
    <definedName name="Curr_and_Incr" localSheetId="11">[4]Request!$R$32</definedName>
    <definedName name="Curr_Incr" localSheetId="11">[4]Request!$M$32</definedName>
    <definedName name="Current" localSheetId="11">'[4]Shipments - current'!$E$4:$Z$65536</definedName>
    <definedName name="Current_Only" localSheetId="11">[4]Request!$P$32</definedName>
    <definedName name="CurrentDetail" localSheetId="11">'[4]Shipments - current'!$A$3</definedName>
    <definedName name="CurrentDetailEnd" localSheetId="11">'[4]Shipments - current'!$AH$3</definedName>
    <definedName name="Cust_Clear" localSheetId="11">[4]Request!$P$84</definedName>
    <definedName name="CustClearQ" localSheetId="11">[4]Request!$L$84</definedName>
    <definedName name="Customer" localSheetId="11">[8]Summary!$B$1</definedName>
    <definedName name="Date1" localSheetId="11">[4]Request!$P$17</definedName>
    <definedName name="Date2" localSheetId="11">[4]Request!$Q$17</definedName>
    <definedName name="Declared_Value" localSheetId="11">[4]Request!$E$89</definedName>
    <definedName name="Dest_Countries" localSheetId="11">[4]Request!$N$125:$N$150</definedName>
    <definedName name="Dest_Country_Copy" localSheetId="11">[4]Request!$R$19</definedName>
    <definedName name="Dest_Scenario" localSheetId="11">[4]Request!$E$78</definedName>
    <definedName name="Dest1" localSheetId="11">[4]Request!$N$125</definedName>
    <definedName name="Dest10" localSheetId="11">[4]Request!$N$134</definedName>
    <definedName name="Dest11" localSheetId="11">[4]Request!$N$135</definedName>
    <definedName name="Dest12" localSheetId="11">[4]Request!$N$136</definedName>
    <definedName name="Dest13" localSheetId="11">[4]Request!$N$137</definedName>
    <definedName name="Dest14" localSheetId="11">[4]Request!$N$138</definedName>
    <definedName name="Dest15" localSheetId="11">[4]Request!$N$139</definedName>
    <definedName name="Dest16" localSheetId="11">[4]Request!$N$140</definedName>
    <definedName name="Dest17" localSheetId="11">[4]Request!$N$141</definedName>
    <definedName name="Dest18" localSheetId="11">[4]Request!$N$142</definedName>
    <definedName name="Dest19" localSheetId="11">[4]Request!$N$143</definedName>
    <definedName name="Dest2" localSheetId="11">[4]Request!$N$126</definedName>
    <definedName name="Dest20" localSheetId="11">[4]Request!$N$144</definedName>
    <definedName name="Dest21" localSheetId="11">[4]Request!$N$145</definedName>
    <definedName name="Dest22" localSheetId="11">[4]Request!$N$146</definedName>
    <definedName name="Dest23" localSheetId="11">[4]Request!$N$147</definedName>
    <definedName name="Dest24" localSheetId="11">[4]Request!$N$148</definedName>
    <definedName name="Dest25" localSheetId="11">[4]Request!$N$149</definedName>
    <definedName name="Dest26" localSheetId="11">[4]Request!$N$150</definedName>
    <definedName name="Dest3" localSheetId="11">[4]Request!$N$127</definedName>
    <definedName name="Dest4" localSheetId="11">[4]Request!$N$128</definedName>
    <definedName name="Dest5" localSheetId="11">[4]Request!$N$129</definedName>
    <definedName name="Dest6" localSheetId="11">[4]Request!$N$130</definedName>
    <definedName name="Dest7" localSheetId="11">[4]Request!$N$131</definedName>
    <definedName name="Dest8" localSheetId="11">[4]Request!$N$132</definedName>
    <definedName name="Dest9" localSheetId="11">[4]Request!$N$133</definedName>
    <definedName name="Division" localSheetId="11">[7]control!$O$27:$O$28</definedName>
    <definedName name="DOT" localSheetId="11">[7]control!$L$27:$L$29</definedName>
    <definedName name="dox" localSheetId="11">#REF!</definedName>
    <definedName name="dsfd" localSheetId="11">#REF!</definedName>
    <definedName name="EndMonth" localSheetId="11">[4]TempVariables!$H$3</definedName>
    <definedName name="ExDocDisc" localSheetId="11">[6]Discounts!$D$15:$Q$15,[6]Discounts!$S$15:$T$15</definedName>
    <definedName name="ExNDocDisc" localSheetId="11">[6]Discounts!$D$16:$Q$16,[6]Discounts!$S$16:$T$16,[6]Discounts!$D$22:$M$22,[6]Discounts!$O$22:$P$22,[6]Discounts!$T$22:$T$22</definedName>
    <definedName name="Expt638" localSheetId="11">#REF!</definedName>
    <definedName name="ExptPrepaid" localSheetId="11">'[10]Expt Disc prepaid'!#REF!</definedName>
    <definedName name="FDX" localSheetId="11">[4]Request!$A$50</definedName>
    <definedName name="FDX_Shpmts" localSheetId="11">[4]Request!$P$52</definedName>
    <definedName name="FXShpQ" localSheetId="11">[4]Request!$L$52</definedName>
    <definedName name="GroundWB" localSheetId="11">'[11]Customer Info'!$Y$20:$AB$26</definedName>
    <definedName name="GrpExcl_ll" localSheetId="11">[4]TempVariables!$D$2</definedName>
    <definedName name="GrpExcl_ul" localSheetId="11">[4]TempVariables!$E$2</definedName>
    <definedName name="GrpIncl_ll" localSheetId="11">[4]TempVariables!$B$2</definedName>
    <definedName name="GrpIncl_ul" localSheetId="11">[4]TempVariables!$C$2</definedName>
    <definedName name="Header" localSheetId="11">'[9]Expt Disc prepaid'!#REF!</definedName>
    <definedName name="home" localSheetId="11">[4]Request!$B$17</definedName>
    <definedName name="ImDocDisc" localSheetId="11">[6]Discounts!$D$29,[6]Discounts!$F$29:$Q$29,[6]Discounts!$T$29</definedName>
    <definedName name="IMListRates" localSheetId="11">#REF!</definedName>
    <definedName name="ImNDocDisc" localSheetId="11">[6]Discounts!$D$30:$D$30,[6]Discounts!$F$30:$Q$30,[6]Discounts!$T$30:$T$30,[6]Discounts!$D$36:$D$36,[6]Discounts!$F$36:$M$36,[6]Discounts!$O$36:$P$36,[6]Discounts!$T$36:$T$36</definedName>
    <definedName name="Import" localSheetId="11">[4]Request!$Q$33</definedName>
    <definedName name="Import_Pricing" localSheetId="11">#REF!</definedName>
    <definedName name="Impt_Inbnd" localSheetId="11">[4]Request!$L$33</definedName>
    <definedName name="ImptCheck" localSheetId="11">[4]Request!$Q$19</definedName>
    <definedName name="Inbound" localSheetId="11">[4]Request!$P$33</definedName>
    <definedName name="Inbound_Pricing" localSheetId="11">#REF!</definedName>
    <definedName name="Incremental_Only" localSheetId="11">[4]Request!$Q$32</definedName>
    <definedName name="IZ" localSheetId="11">#REF!</definedName>
    <definedName name="Kg_Apprv_Dt" localSheetId="11">#REF!</definedName>
    <definedName name="Kg_APPS_Chk" localSheetId="11">'[4]Shipments - kg'!$A$1138</definedName>
    <definedName name="Kg_AWPS_Chk" localSheetId="11">'[4]Shipments - kg'!$A$1117</definedName>
    <definedName name="Kg_Cntry_Disct" localSheetId="11">'[4]Discounts - kg'!$AB$108</definedName>
    <definedName name="kg_Disc_Edit_Check" localSheetId="11">#REF!</definedName>
    <definedName name="Kg_Discts" localSheetId="11">'[4]Discounts - kg'!$A$16:$IV$98</definedName>
    <definedName name="Kg_Dsc_Cntry" localSheetId="11">'[4]Discounts - kg'!$A$1:$IV$15</definedName>
    <definedName name="Kg_Dsc_IE_Cur_Disct" localSheetId="11">'[4]Discounts - kg'!$A$68:$IV$75</definedName>
    <definedName name="Kg_Dsc_IE_Hdr" localSheetId="11">'[4]Discounts - kg'!$A$60:$IV$62</definedName>
    <definedName name="Kg_Dsc_IE_Min_Hdr" localSheetId="11">'[4]Discounts - kg'!$A$63:$IV$64</definedName>
    <definedName name="Kg_Dsc_IE_Min_IE" localSheetId="11">'[4]Discounts - kg'!$A$65:$IV$65</definedName>
    <definedName name="Kg_Dsc_IE_Min_IEF" localSheetId="11">'[4]Discounts - kg'!$A$66:$IV$67</definedName>
    <definedName name="Kg_Dsc_IE_Pct_Disct" localSheetId="11">'[4]Discounts - kg'!$A$76:$IV$92</definedName>
    <definedName name="Kg_Dsc_IEF_Pct_Disct" localSheetId="11">'[4]Discounts - kg'!$A$93:$IV$99</definedName>
    <definedName name="Kg_Dsc_IP_Cur_Disct" localSheetId="11">'[4]Discounts - kg'!$A$25:$IV$31</definedName>
    <definedName name="Kg_Dsc_IP_Hdr" localSheetId="11">'[4]Discounts - kg'!$A$16:$IV$17</definedName>
    <definedName name="Kg_Dsc_IP_Min_Hdr" localSheetId="11">'[4]Discounts - kg'!$A$18:$IV$19</definedName>
    <definedName name="Kg_Dsc_IP_Min_IP" localSheetId="11">'[4]Discounts - kg'!$A$20:$IV$22</definedName>
    <definedName name="Kg_Dsc_IP_Min_IPF" localSheetId="11">'[4]Discounts - kg'!$A$23:$IV$24</definedName>
    <definedName name="Kg_Dsc_IP_Pct_Disct" localSheetId="11">'[4]Discounts - kg'!$A$32:$IV$50</definedName>
    <definedName name="Kg_Dsc_IPF_Pct_Disct" localSheetId="11">'[4]Discounts - kg'!$A$51:$IV$59</definedName>
    <definedName name="Kg_Dsc_Origin_Cntry" localSheetId="11">'[4]Discounts - kg'!$B$7:$AA$7</definedName>
    <definedName name="Kg_Incr_Shp_IE" localSheetId="11">'[4]Shipments - kg'!$A$162</definedName>
    <definedName name="Kg_Incr_Shp_IEF" localSheetId="11">'[4]Shipments - kg'!$A$163</definedName>
    <definedName name="Kg_Incr_Shp_IP" localSheetId="11">'[4]Shipments - kg'!$A$160</definedName>
    <definedName name="Kg_Incr_Shp_IPF" localSheetId="11">'[4]Shipments - kg'!$A$161</definedName>
    <definedName name="Kg_Rng_Cur_Disct_IE" localSheetId="11">'[4]Discounts - kg'!$B$72:$AA$74</definedName>
    <definedName name="Kg_Rng_Cur_Disct_IP" localSheetId="11">'[4]Discounts - kg'!$B$26:$AA$30</definedName>
    <definedName name="Kg_Rng_Disct_IE" localSheetId="11">'[4]Discounts - kg'!$B$78:$AA$84</definedName>
    <definedName name="Kg_Rng_Disct_IEF" localSheetId="11">'[4]Discounts - kg'!$B$94:$AA$98</definedName>
    <definedName name="Kg_Rng_Disct_IEHW" localSheetId="11">'[4]Discounts - kg'!$B$87:$AA$91</definedName>
    <definedName name="Kg_Rng_Disct_IP" localSheetId="11">'[4]Discounts - kg'!$B$34:$AA$42</definedName>
    <definedName name="Kg_Rng_Disct_IPF" localSheetId="11">'[4]Discounts - kg'!$B$52:$AA$56</definedName>
    <definedName name="Kg_Rng_Disct_IPHW" localSheetId="11">'[4]Discounts - kg'!$B$45:$AA$49</definedName>
    <definedName name="Kg_Rng_Disct_Min_IE" localSheetId="11">'[4]Discounts - kg'!$B$65:$AA$66</definedName>
    <definedName name="Kg_Rng_Disct_Min_IP" localSheetId="11">'[4]Discounts - kg'!$B$20:$AA$23</definedName>
    <definedName name="Kg_Rng_Shpmts_APPS_IE" localSheetId="11">'[4]Shipments - kg'!$C$119:$AB$129</definedName>
    <definedName name="Kg_Rng_Shpmts_APPS_IEF" localSheetId="11">'[4]Shipments - kg'!$C$131:$AB$135</definedName>
    <definedName name="Kg_Rng_Shpmts_APPS_IP" localSheetId="11">'[4]Shipments - kg'!$C$53:$AB$63</definedName>
    <definedName name="Kg_Rng_Shpmts_APPS_IPF" localSheetId="11">'[4]Shipments - kg'!$C$65:$AB$69</definedName>
    <definedName name="Kg_Rng_Shpmts_AWPS_IE" localSheetId="11">'[4]Shipments - kg'!$C$99:$AB$109</definedName>
    <definedName name="Kg_Rng_Shpmts_AWPS_IEF" localSheetId="11">'[4]Shipments - kg'!$C$111:$AB$115</definedName>
    <definedName name="Kg_Rng_Shpmts_AWPS_IP" localSheetId="11">'[4]Shipments - kg'!$C$34:$AB$44</definedName>
    <definedName name="Kg_Rng_Shpmts_AWPS_IPF" localSheetId="11">'[4]Shipments - kg'!$C$46:$AB$50</definedName>
    <definedName name="Kg_Rng_Shpmts_Incr_IE" localSheetId="11">'[4]Shipments - kg'!$C$75:$AB$86</definedName>
    <definedName name="Kg_Rng_Shpmts_Incr_IEF" localSheetId="11">'[4]Shipments - kg'!$C$88:$AB$92</definedName>
    <definedName name="Kg_Rng_Shpmts_Incr_IP" localSheetId="11">'[4]Shipments - kg'!$C$10:$AB$23</definedName>
    <definedName name="Kg_Rng_Shpmts_Incr_IPF" localSheetId="11">'[4]Shipments - kg'!$C$25:$AB$29</definedName>
    <definedName name="Kg_Shp_Cntry" localSheetId="11">'[4]Shipments - kg'!$A$1:$IV$8</definedName>
    <definedName name="Kg_Shp_IE_APPS" localSheetId="11">'[4]Shipments - kg'!$A$117:$IV$129</definedName>
    <definedName name="Kg_Shp_IE_AWPS" localSheetId="11">'[4]Shipments - kg'!$A$97:$IV$109</definedName>
    <definedName name="Kg_Shp_IE_Incr" localSheetId="11">'[4]Shipments - kg'!$A$72:$IV$86</definedName>
    <definedName name="Kg_Shp_IE_Tot" localSheetId="11">'[4]Shipments - kg'!$A$93:$IV$96</definedName>
    <definedName name="Kg_Shp_IEF_APPS" localSheetId="11">'[4]Shipments - kg'!$A$130:$IV$136</definedName>
    <definedName name="Kg_Shp_IEF_APPS_Hdr" localSheetId="11">'[4]Shipments - kg'!$A$117:$IV$118</definedName>
    <definedName name="Kg_Shp_IEF_AWPS" localSheetId="11">'[4]Shipments - kg'!$A$110:$IV$116</definedName>
    <definedName name="Kg_Shp_IEF_AWPS_Hdr" localSheetId="11">'[4]Shipments - kg'!$A$97:$IV$98</definedName>
    <definedName name="Kg_Shp_IEF_Incr" localSheetId="11">'[4]Shipments - kg'!$A$87:$IV$92</definedName>
    <definedName name="Kg_Shp_IEF_Incr_Hdr" localSheetId="11">'[4]Shipments - kg'!$A$72:$IV$73</definedName>
    <definedName name="Kg_Shp_IP_APPS" localSheetId="11">'[4]Shipments - kg'!$A$51:$IV$63</definedName>
    <definedName name="Kg_Shp_IP_AWPS" localSheetId="11">'[4]Shipments - kg'!$A$33:$IV$44</definedName>
    <definedName name="Kg_Shp_IP_Incr" localSheetId="11">'[4]Shipments - kg'!$A$9:$IV$23</definedName>
    <definedName name="Kg_Shp_IP_Tot" localSheetId="11">'[4]Shipments - kg'!$A$30:$IV$32</definedName>
    <definedName name="Kg_Shp_IPF_APPS" localSheetId="11">'[4]Shipments - kg'!$A$64:$IV$71</definedName>
    <definedName name="Kg_Shp_IPF_APPS_Hdr" localSheetId="11">'[4]Shipments - kg'!$A$51:$IV$52</definedName>
    <definedName name="Kg_Shp_IPF_AWPS" localSheetId="11">'[4]Shipments - kg'!$A$45:$IV$50</definedName>
    <definedName name="Kg_Shp_IPF_AWPS_Hdr" localSheetId="11">'[4]Shipments - kg'!$A$33:$IV$33</definedName>
    <definedName name="Kg_Shp_IPF_Incr" localSheetId="11">'[4]Shipments - kg'!$A$24:$IV$29</definedName>
    <definedName name="Kg_Shp_IPF_Incr_Hdr" localSheetId="11">'[4]Shipments - kg'!$A$9:$IV$9</definedName>
    <definedName name="Kg_Shp_Origin_Cntry" localSheetId="11">'[4]Shipments - kg'!$C$6:$AB$6</definedName>
    <definedName name="Kg_Shpmt_Cntry" localSheetId="11">'[4]Shipments - kg'!$AD$140</definedName>
    <definedName name="Kg_Shpmt_Disct" localSheetId="11">'[4]Discounts - kg'!$A$200</definedName>
    <definedName name="Kg_Shpmts" localSheetId="11">'[4]Shipments - kg'!$A$9:$IV$135</definedName>
    <definedName name="Kg_Shpmts_AWPS_Reset" localSheetId="11">'[4]Shipments - kg'!$A$500</definedName>
    <definedName name="Kg_Shpmts_AWPS_Reset1" localSheetId="11">'[4]Shipments - kg'!$A$501</definedName>
    <definedName name="Kilograms" localSheetId="11">[4]Request!$P$25</definedName>
    <definedName name="Lb_Apprv_Dt" localSheetId="11">'[4]Approved Discts-lb'!$F$3</definedName>
    <definedName name="Lb_APPS_Chk" localSheetId="11">'[4]Shipments - lb'!$A$1138</definedName>
    <definedName name="Lb_AWPS_Chk" localSheetId="11">'[4]Shipments - lb'!$A$1117</definedName>
    <definedName name="Lb_Cntry_Disct" localSheetId="11">'[4]Discounts - lb'!$AB$108</definedName>
    <definedName name="lb_Disc_Edit_Check" localSheetId="11">'[4]Approved Discts-lb'!$AF$259</definedName>
    <definedName name="Lb_Discts" localSheetId="11">'[4]Discounts - lb'!$A$16:$IV$98</definedName>
    <definedName name="Lb_Dsc_Cntry" localSheetId="11">'[4]Discounts - lb'!$A$1:$IV$15</definedName>
    <definedName name="Lb_Dsc_IE_Cur_Disct" localSheetId="11">'[4]Discounts - lb'!$A$68:$IV$75</definedName>
    <definedName name="Lb_Dsc_IE_Hdr" localSheetId="11">'[4]Discounts - lb'!$A$60:$IV$62</definedName>
    <definedName name="Lb_Dsc_IE_Min_Hdr" localSheetId="11">'[4]Discounts - lb'!$A$63:$IV$64</definedName>
    <definedName name="Lb_Dsc_IE_Min_IE" localSheetId="11">'[4]Discounts - lb'!$A$65:$IV$65</definedName>
    <definedName name="Lb_Dsc_IE_Min_IEF" localSheetId="11">'[4]Discounts - lb'!$A$66:$IV$67</definedName>
    <definedName name="Lb_Dsc_IE_Pct_Disct" localSheetId="11">'[4]Discounts - lb'!$A$76:$IV$92</definedName>
    <definedName name="Lb_Dsc_IEF_Pct_Disct" localSheetId="11">'[4]Discounts - lb'!$A$93:$IV$99</definedName>
    <definedName name="Lb_Dsc_IEF8" localSheetId="11">'[4]Discounts - lb'!$A$94:$IV$94</definedName>
    <definedName name="Lb_Dsc_IP_Cur_Disct" localSheetId="11">'[4]Discounts - lb'!$A$25:$IV$31</definedName>
    <definedName name="Lb_Dsc_IP_Hdr" localSheetId="11">'[4]Discounts - lb'!$A$16:$IV$17</definedName>
    <definedName name="Lb_Dsc_IP_Min_Hdr" localSheetId="11">'[4]Discounts - lb'!$A$18:$IV$19</definedName>
    <definedName name="Lb_Dsc_IP_Min_IP" localSheetId="11">'[4]Discounts - lb'!$A$20:$IV$22</definedName>
    <definedName name="Lb_Dsc_IP_Min_IPF" localSheetId="11">'[4]Discounts - lb'!$A$23:$IV$24</definedName>
    <definedName name="Lb_Dsc_IP_Pct_Disct" localSheetId="11">'[4]Discounts - lb'!$A$32:$IV$50</definedName>
    <definedName name="Lb_Dsc_IPF_Pct_Disct" localSheetId="11">'[4]Discounts - lb'!$A$51:$IV$59</definedName>
    <definedName name="Lb_Dsc_IPF8" localSheetId="11">'[4]Discounts - lb'!$A$52:$IV$52</definedName>
    <definedName name="Lb_Dsc_Origin_Cntry" localSheetId="11">'[4]Discounts - lb'!$B$7:$AA$7</definedName>
    <definedName name="Lb_Incr_Shp_IE" localSheetId="11">'[4]Shipments - lb'!$A$162</definedName>
    <definedName name="Lb_Incr_Shp_IEF" localSheetId="11">'[4]Shipments - lb'!$A$163</definedName>
    <definedName name="Lb_Incr_Shp_IP" localSheetId="11">'[4]Shipments - lb'!$A$160</definedName>
    <definedName name="Lb_Incr_Shp_IPF" localSheetId="11">'[4]Shipments - lb'!$A$161</definedName>
    <definedName name="Lb_Rng_Cur_Disct_IE" localSheetId="11">'[4]Discounts - lb'!$B$72:$AA$74</definedName>
    <definedName name="Lb_Rng_Cur_Disct_IP" localSheetId="11">'[4]Discounts - lb'!$B$26:$AA$30</definedName>
    <definedName name="Lb_Rng_Disct_IE" localSheetId="11">'[4]Discounts - lb'!$B$78:$AA$84</definedName>
    <definedName name="Lb_Rng_Disct_IEF" localSheetId="11">'[4]Discounts - lb'!$B$94:$AA$98</definedName>
    <definedName name="Lb_Rng_Disct_IEHW" localSheetId="11">'[4]Discounts - lb'!$B$87:$AA$91</definedName>
    <definedName name="Lb_Rng_Disct_IP" localSheetId="11">'[4]Discounts - lb'!$B$34:$AA$42</definedName>
    <definedName name="Lb_Rng_Disct_IPF" localSheetId="11">'[4]Discounts - lb'!$B$52:$AA$56</definedName>
    <definedName name="Lb_Rng_Disct_IPHW" localSheetId="11">'[4]Discounts - lb'!$B$45:$AA$49</definedName>
    <definedName name="Lb_Rng_Disct_Min_IE" localSheetId="11">'[4]Discounts - lb'!$B$65:$AA$66</definedName>
    <definedName name="Lb_Rng_Disct_Min_IP" localSheetId="11">'[4]Discounts - lb'!$B$20:$AA$23</definedName>
    <definedName name="Lb_Rng_Shpmts_APPS_IE" localSheetId="11">'[4]Shipments - lb'!$C$119:$AB$129</definedName>
    <definedName name="Lb_Rng_Shpmts_APPS_IEF" localSheetId="11">'[4]Shipments - lb'!$C$131:$AB$135</definedName>
    <definedName name="Lb_Rng_Shpmts_APPS_IP" localSheetId="11">'[4]Shipments - lb'!$C$53:$AB$63</definedName>
    <definedName name="Lb_Rng_Shpmts_APPS_IPF" localSheetId="11">'[4]Shipments - lb'!$C$65:$AB$69</definedName>
    <definedName name="Lb_Rng_Shpmts_AWPS_IE" localSheetId="11">'[4]Shipments - lb'!$C$99:$AB$109</definedName>
    <definedName name="Lb_Rng_Shpmts_AWPS_IEF" localSheetId="11">'[4]Shipments - lb'!$C$111:$AB$115</definedName>
    <definedName name="Lb_Rng_Shpmts_AWPS_IP" localSheetId="11">'[4]Shipments - lb'!$C$34:$AB$44</definedName>
    <definedName name="Lb_Rng_Shpmts_AWPS_IPF" localSheetId="11">'[4]Shipments - lb'!$C$46:$AB$50</definedName>
    <definedName name="Lb_Rng_Shpmts_Incr_IE" localSheetId="11">'[4]Shipments - lb'!$C$75:$AB$86</definedName>
    <definedName name="Lb_Rng_Shpmts_Incr_IEF" localSheetId="11">'[4]Shipments - lb'!$C$88:$AB$92</definedName>
    <definedName name="Lb_Rng_Shpmts_Incr_IP" localSheetId="11">'[4]Shipments - lb'!$C$10:$AB$23</definedName>
    <definedName name="Lb_Rng_Shpmts_Incr_IPF" localSheetId="11">'[4]Shipments - lb'!$C$25:$AB$29</definedName>
    <definedName name="Lb_Shp_Cntry" localSheetId="11">'[4]Shipments - lb'!$A$1:$IV$8</definedName>
    <definedName name="Lb_Shp_IE_APPS" localSheetId="11">'[4]Shipments - lb'!$A$117:$IV$129</definedName>
    <definedName name="Lb_Shp_IE_AWPS" localSheetId="11">'[4]Shipments - lb'!$A$97:$IV$109</definedName>
    <definedName name="Lb_Shp_IE_Incr" localSheetId="11">'[4]Shipments - lb'!$A$72:$IV$86</definedName>
    <definedName name="Lb_Shp_IE_Tot" localSheetId="11">'[4]Shipments - lb'!$A$93:$IV$96</definedName>
    <definedName name="Lb_Shp_IEF_APPS" localSheetId="11">'[4]Shipments - lb'!$A$130:$IV$136</definedName>
    <definedName name="Lb_Shp_IEF_APPS_Hdr" localSheetId="11">'[4]Shipments - lb'!$A$117:$IV$118</definedName>
    <definedName name="Lb_Shp_IEF_AWPS" localSheetId="11">'[4]Shipments - lb'!$A$110:$IV$116</definedName>
    <definedName name="Lb_Shp_IEF_AWPS_Hdr" localSheetId="11">'[4]Shipments - lb'!$A$97:$IV$98</definedName>
    <definedName name="Lb_Shp_IEF_Incr" localSheetId="11">'[4]Shipments - lb'!$A$87:$IV$92</definedName>
    <definedName name="Lb_Shp_IEF_Incr_Hdr" localSheetId="11">'[4]Shipments - lb'!$A$72:$IV$73</definedName>
    <definedName name="Lb_Shp_IEF8_APPS" localSheetId="11">'[4]Shipments - lb'!$A$131:$IV$131</definedName>
    <definedName name="Lb_Shp_IEF8_AWPS" localSheetId="11">'[4]Shipments - lb'!$A$111:$IV$111</definedName>
    <definedName name="Lb_Shp_IEF8_Incr" localSheetId="11">'[4]Shipments - lb'!$A$88:$IV$88</definedName>
    <definedName name="Lb_Shp_IP_APPS" localSheetId="11">'[4]Shipments - lb'!$A$51:$IV$63</definedName>
    <definedName name="Lb_Shp_IP_AWPS" localSheetId="11">'[4]Shipments - lb'!$A$33:$IV$44</definedName>
    <definedName name="Lb_Shp_IP_Incr" localSheetId="11">'[4]Shipments - lb'!$A$9:$IV$23</definedName>
    <definedName name="Lb_Shp_IP_Tot" localSheetId="11">'[4]Shipments - lb'!$A$30:$IV$32</definedName>
    <definedName name="Lb_Shp_IPF_APPS" localSheetId="11">'[4]Shipments - lb'!$A$64:$IV$71</definedName>
    <definedName name="Lb_Shp_IPF_APPS_Hdr" localSheetId="11">'[4]Shipments - lb'!$A$51:$IV$52</definedName>
    <definedName name="Lb_Shp_IPF_AWPS" localSheetId="11">'[4]Shipments - lb'!$A$45:$IV$50</definedName>
    <definedName name="Lb_Shp_IPF_AWPS_Hdr" localSheetId="11">'[4]Shipments - lb'!$A$33:$IV$33</definedName>
    <definedName name="Lb_Shp_IPF_Incr" localSheetId="11">'[4]Shipments - lb'!$A$24:$IV$29</definedName>
    <definedName name="Lb_Shp_IPF_Incr_Hdr" localSheetId="11">'[4]Shipments - lb'!$A$9:$IV$9</definedName>
    <definedName name="Lb_Shp_IPF8_APPS" localSheetId="11">'[4]Shipments - lb'!$A$65:$IV$65</definedName>
    <definedName name="Lb_Shp_IPF8_AWPS" localSheetId="11">'[4]Shipments - lb'!$A$46:$IV$46</definedName>
    <definedName name="Lb_Shp_IPF8_Incr" localSheetId="11">'[4]Shipments - lb'!$A$25:$IV$25</definedName>
    <definedName name="Lb_Shp_Origin_Cntry" localSheetId="11">'[4]Shipments - lb'!$C$6:$AB$6</definedName>
    <definedName name="Lb_Shpmt_Cntry" localSheetId="11">'[4]Shipments - lb'!$AD$140</definedName>
    <definedName name="Lb_Shpmt_Disct" localSheetId="11">'[4]Discounts - lb'!$A$200</definedName>
    <definedName name="Lb_Shpmts" localSheetId="11">'[4]Shipments - lb'!$A$9:$IV$135</definedName>
    <definedName name="Lb_Shpmts_AWPS_Reset" localSheetId="11">'[4]Shipments - lb'!$A$500</definedName>
    <definedName name="Lb_Shpmts_AWPS_Reset1" localSheetId="11">'[4]Shipments - lb'!$A$501</definedName>
    <definedName name="LocalAccts" localSheetId="11">[4]TempVariables!$F$2</definedName>
    <definedName name="Locations" localSheetId="11">[4]Request!$C$124</definedName>
    <definedName name="LOOKUP" localSheetId="11">#REF!</definedName>
    <definedName name="Major_Origin_Cities" localSheetId="11">[4]Request!$E$124</definedName>
    <definedName name="MBG" localSheetId="11">[4]Request!$G$42</definedName>
    <definedName name="MBG_NotReq" localSheetId="11">[4]Request!$P$44</definedName>
    <definedName name="MBG_Option" localSheetId="11">[4]Request!$M$44</definedName>
    <definedName name="MBG_Req" localSheetId="11">[4]Request!$Q$44</definedName>
    <definedName name="MINTABLE" localSheetId="11">[11]SURCHARGES!$H$9:$U$15</definedName>
    <definedName name="ModelDate" localSheetId="11">[4]Request!$K$1</definedName>
    <definedName name="NatlAccts" localSheetId="11">[4]TempVariables!$A$2</definedName>
    <definedName name="NDAAll" localSheetId="11">'[11]Customer Info'!$V$9</definedName>
    <definedName name="Old_Payor_No" localSheetId="11">[4]Request!$E$56</definedName>
    <definedName name="Old_Shipper_No" localSheetId="11">[4]Request!$E$54</definedName>
    <definedName name="Op_Months" localSheetId="11">'[4]Shipments - current'!$B$1</definedName>
    <definedName name="Op_Scenario" localSheetId="11">[4]Request!$P$74</definedName>
    <definedName name="OpQ" localSheetId="11">[4]Request!$L$74</definedName>
    <definedName name="OptionType" localSheetId="11">[7]control!$F$27:$F$29</definedName>
    <definedName name="Orig_Region_1" localSheetId="11">[4]Request!$A$125</definedName>
    <definedName name="Orig_Region_10" localSheetId="11">[4]Request!$A$134</definedName>
    <definedName name="Orig_Region_11" localSheetId="11">[4]Request!$A$135</definedName>
    <definedName name="Orig_Region_12" localSheetId="11">[4]Request!$A$136</definedName>
    <definedName name="Orig_Region_13" localSheetId="11">[4]Request!$A$137</definedName>
    <definedName name="Orig_Region_14" localSheetId="11">[4]Request!$A$138</definedName>
    <definedName name="Orig_Region_15" localSheetId="11">[4]Request!$A$139</definedName>
    <definedName name="Orig_Region_16" localSheetId="11">[4]Request!$A$140</definedName>
    <definedName name="Orig_Region_17" localSheetId="11">[4]Request!$A$141</definedName>
    <definedName name="Orig_Region_18" localSheetId="11">[4]Request!$A$142</definedName>
    <definedName name="Orig_Region_19" localSheetId="11">[4]Request!$A$143</definedName>
    <definedName name="Orig_Region_2" localSheetId="11">[4]Request!$A$126</definedName>
    <definedName name="Orig_Region_20" localSheetId="11">[4]Request!$A$144</definedName>
    <definedName name="Orig_Region_21" localSheetId="11">[4]Request!$A$145</definedName>
    <definedName name="Orig_Region_22" localSheetId="11">[4]Request!$A$146</definedName>
    <definedName name="Orig_Region_23" localSheetId="11">[4]Request!$A$147</definedName>
    <definedName name="Orig_Region_24" localSheetId="11">[4]Request!$A$148</definedName>
    <definedName name="Orig_Region_25" localSheetId="11">[4]Request!$A$149</definedName>
    <definedName name="Orig_Region_26" localSheetId="11">[4]Request!$A$150</definedName>
    <definedName name="Orig_Region_3" localSheetId="11">[4]Request!$A$127</definedName>
    <definedName name="Orig_Region_4" localSheetId="11">[4]Request!$A$128</definedName>
    <definedName name="Orig_Region_5" localSheetId="11">[4]Request!$A$129</definedName>
    <definedName name="Orig_Region_6" localSheetId="11">[4]Request!$A$130</definedName>
    <definedName name="Orig_Region_7" localSheetId="11">[4]Request!$A$131</definedName>
    <definedName name="Orig_Region_8" localSheetId="11">[4]Request!$A$132</definedName>
    <definedName name="Orig_Region_9" localSheetId="11">[4]Request!$A$133</definedName>
    <definedName name="Orig1" localSheetId="11">[4]Request!$L$125</definedName>
    <definedName name="Orig10" localSheetId="11">[4]Request!$L$134</definedName>
    <definedName name="Orig11" localSheetId="11">[4]Request!$L$135</definedName>
    <definedName name="Orig12" localSheetId="11">[4]Request!$L$136</definedName>
    <definedName name="Orig13" localSheetId="11">[4]Request!$L$137</definedName>
    <definedName name="Orig14" localSheetId="11">[4]Request!$L$138</definedName>
    <definedName name="Orig15" localSheetId="11">[4]Request!$L$139</definedName>
    <definedName name="Orig16" localSheetId="11">[4]Request!$L$140</definedName>
    <definedName name="Orig17" localSheetId="11">[4]Request!$L$141</definedName>
    <definedName name="Orig18" localSheetId="11">[4]Request!$L$142</definedName>
    <definedName name="Orig19" localSheetId="11">[4]Request!$L$143</definedName>
    <definedName name="Orig2" localSheetId="11">[4]Request!$L$126</definedName>
    <definedName name="Orig20" localSheetId="11">[4]Request!$L$144</definedName>
    <definedName name="Orig21" localSheetId="11">[4]Request!$L$145</definedName>
    <definedName name="Orig22" localSheetId="11">[4]Request!$L$146</definedName>
    <definedName name="Orig23" localSheetId="11">[4]Request!$L$147</definedName>
    <definedName name="Orig24" localSheetId="11">[4]Request!$L$148</definedName>
    <definedName name="Orig25" localSheetId="11">[4]Request!$L$149</definedName>
    <definedName name="Orig26" localSheetId="11">[4]Request!$L$150</definedName>
    <definedName name="Orig3" localSheetId="11">[4]Request!$L$127</definedName>
    <definedName name="Orig4" localSheetId="11">[4]Request!$L$128</definedName>
    <definedName name="Orig5" localSheetId="11">[4]Request!$L$129</definedName>
    <definedName name="Orig6" localSheetId="11">[4]Request!$L$130</definedName>
    <definedName name="Orig7" localSheetId="11">[4]Request!$L$131</definedName>
    <definedName name="Orig8" localSheetId="11">[4]Request!$L$132</definedName>
    <definedName name="Orig9" localSheetId="11">[4]Request!$L$133</definedName>
    <definedName name="Origin" localSheetId="11">[4]Request!$B$124</definedName>
    <definedName name="Origin_Countries" localSheetId="11">[4]Request!$L$125:$L$150</definedName>
    <definedName name="Origin_Country_Code" localSheetId="11">[4]Countries!$G$4:$H$224</definedName>
    <definedName name="Origin_Country_Name_Code" localSheetId="11">[4]Countries!$B$4:$C$224</definedName>
    <definedName name="Origin_Scenario" localSheetId="11">[4]Request!$E$76</definedName>
    <definedName name="parcels" localSheetId="11">#REF!</definedName>
    <definedName name="Password" localSheetId="11">[4]TempVariables!$O$3</definedName>
    <definedName name="Payor_Acct1" localSheetId="11">[4]Request!$I$23</definedName>
    <definedName name="Payor_Acct2" localSheetId="11">[4]Request!$I$25</definedName>
    <definedName name="Payor_Acct3" localSheetId="11">[4]Request!$I$27</definedName>
    <definedName name="Payor_Country" localSheetId="11">[4]Request!$M$19</definedName>
    <definedName name="Payor_Table" localSheetId="11">[4]Countries!$HI$4:$HR$101</definedName>
    <definedName name="PayorRgn" localSheetId="11">[4]Request!$P$15</definedName>
    <definedName name="PNH" localSheetId="11">#REF!</definedName>
    <definedName name="Pricing_Requested" localSheetId="11">[4]Request!$A$33</definedName>
    <definedName name="Product" localSheetId="11">[7]control!$N$27:$N$38</definedName>
    <definedName name="Provinces_Cities" localSheetId="11">[4]Request!$E$125:$E$150</definedName>
    <definedName name="Range1" localSheetId="11">#REF!</definedName>
    <definedName name="Region" localSheetId="11">[4]Request!$O$16</definedName>
    <definedName name="Region_Rev" localSheetId="11">[4]Request!$E$112:$E$116</definedName>
    <definedName name="RO" localSheetId="11">#REF!</definedName>
    <definedName name="road" localSheetId="11">#REF!</definedName>
    <definedName name="RTH" localSheetId="11">#REF!</definedName>
    <definedName name="Sales_AE" localSheetId="11">[4]Request!$B$21</definedName>
    <definedName name="Sales_Manager" localSheetId="11">[4]Request!$B$19</definedName>
    <definedName name="SDAALL" localSheetId="11">'[11]Customer Info'!$V$15</definedName>
    <definedName name="Service_IE" localSheetId="11">[4]Request!$R$46</definedName>
    <definedName name="Service_IE_IEF" localSheetId="11">[4]Request!$R$47</definedName>
    <definedName name="Service_IEF" localSheetId="11">[4]Request!$S$46</definedName>
    <definedName name="Service_IP" localSheetId="11">[4]Request!$P$46</definedName>
    <definedName name="Service_IP_IPF" localSheetId="11">[4]Request!$P$47</definedName>
    <definedName name="Service_IPF" localSheetId="11">[4]Request!$Q$46</definedName>
    <definedName name="Service_Type" localSheetId="11">[4]Request!$L$48</definedName>
    <definedName name="Services_Requested" localSheetId="11">[4]Request!$A$42</definedName>
    <definedName name="Ship_Locations" localSheetId="11">[4]Request!$M$125:$M$150</definedName>
    <definedName name="Ship_Tender" localSheetId="11">[4]Request!$E$68</definedName>
    <definedName name="Show9DigitAccts" localSheetId="11">[4]TempVariables!$J$3</definedName>
    <definedName name="SlsChan" localSheetId="11">[7]control!$B$27:$B$28</definedName>
    <definedName name="Spec_Op" localSheetId="11">[4]Request!$A$72</definedName>
    <definedName name="StartMonth" localSheetId="11">[4]TempVariables!$G$3</definedName>
    <definedName name="Strategy" localSheetId="11">[4]Request!$A$108</definedName>
    <definedName name="SurchargeType" localSheetId="11">[7]control!$I$27:$I$32</definedName>
    <definedName name="TABLE" localSheetId="11">#REF!</definedName>
    <definedName name="TempVariables" localSheetId="11">[4]TempVariables!$A$1</definedName>
    <definedName name="Tier" localSheetId="11">'[12]Portfolio Discount'!#REF!</definedName>
    <definedName name="Tot_Annual_Rev" localSheetId="11">[4]Request!$E$117</definedName>
    <definedName name="USAcctsOnly" localSheetId="11">[4]TempVariables!$I$3</definedName>
    <definedName name="UserID" localSheetId="11">[4]TempVariables!$N$3</definedName>
    <definedName name="Value_2K" localSheetId="11">[4]Request!$E$88</definedName>
    <definedName name="values" localSheetId="11">[4]Request!$L$16:$O$150</definedName>
    <definedName name="WtMetric" localSheetId="11">[4]Request!$B$25</definedName>
    <definedName name="YN" localSheetId="11">[7]control!$P$27:$P$28</definedName>
    <definedName name="zone" localSheetId="11">#REF!</definedName>
    <definedName name="ZonedOut" localSheetId="11">[7]rates_input!$R$5:$Z$8</definedName>
    <definedName name="ZonedOut1" localSheetId="11">[7]rates_input!$I$6:$Z$8</definedName>
    <definedName name="ZonedOut2" localSheetId="11">[7]rates_input!$I$7:$Z$8</definedName>
    <definedName name="ZONELU" localSheetId="11">[11]SURCHARGES!$B$9:$D$59</definedName>
    <definedName name="Zones" localSheetId="11">#REF!,#REF!,#REF!,#REF!</definedName>
    <definedName name="Zones_New" localSheetId="11">[7]zones_input!$B$1:$G$65536</definedName>
    <definedName name="_Fill" localSheetId="12" hidden="1">[2]Express!#REF!</definedName>
    <definedName name="_Key1" localSheetId="12" hidden="1">#REF!</definedName>
    <definedName name="_Loc1" localSheetId="12">[3]Request!$M$125</definedName>
    <definedName name="_Loc10" localSheetId="12">[4]Request!$M$134</definedName>
    <definedName name="_Loc11" localSheetId="12">[4]Request!$M$135</definedName>
    <definedName name="_Loc12" localSheetId="12">[4]Request!$M$136</definedName>
    <definedName name="_Loc13" localSheetId="12">[4]Request!$M$137</definedName>
    <definedName name="_Loc14" localSheetId="12">[4]Request!$M$138</definedName>
    <definedName name="_Loc15" localSheetId="12">[4]Request!$M$139</definedName>
    <definedName name="_Loc16" localSheetId="12">[4]Request!$M$140</definedName>
    <definedName name="_Loc17" localSheetId="12">[4]Request!$M$141</definedName>
    <definedName name="_Loc18" localSheetId="12">[4]Request!$M$142</definedName>
    <definedName name="_Loc19" localSheetId="12">[4]Request!$M$143</definedName>
    <definedName name="_Loc2" localSheetId="12">[4]Request!$M$126</definedName>
    <definedName name="_Loc20" localSheetId="12">[4]Request!$M$144</definedName>
    <definedName name="_Loc21" localSheetId="12">[4]Request!$M$145</definedName>
    <definedName name="_Loc22" localSheetId="12">[4]Request!$M$146</definedName>
    <definedName name="_Loc23" localSheetId="12">[4]Request!$M$147</definedName>
    <definedName name="_Loc24" localSheetId="12">[4]Request!$M$148</definedName>
    <definedName name="_Loc25" localSheetId="12">[4]Request!$M$149</definedName>
    <definedName name="_Loc26" localSheetId="12">[4]Request!$M$150</definedName>
    <definedName name="_Loc3" localSheetId="12">[4]Request!$M$127</definedName>
    <definedName name="_Loc4" localSheetId="12">[4]Request!$M$128</definedName>
    <definedName name="_Loc5" localSheetId="12">[4]Request!$M$129</definedName>
    <definedName name="_Loc6" localSheetId="12">[4]Request!$M$130</definedName>
    <definedName name="_Loc7" localSheetId="12">[4]Request!$M$131</definedName>
    <definedName name="_Loc8" localSheetId="12">[4]Request!$M$132</definedName>
    <definedName name="_Loc9" localSheetId="12">[4]Request!$M$133</definedName>
    <definedName name="_Sort" localSheetId="12" hidden="1">[1]Express!#REF!</definedName>
    <definedName name="a" localSheetId="12" hidden="1">[1]Express!#REF!</definedName>
    <definedName name="Account" localSheetId="12">[4]Request!$B$17</definedName>
    <definedName name="Acct_number" localSheetId="12">[5]Summary!$E$2</definedName>
    <definedName name="AFD" localSheetId="12">#REF!</definedName>
    <definedName name="Agent" localSheetId="12">[4]Request!$A$60</definedName>
    <definedName name="Agent_Comm" localSheetId="12">[4]Request!$E$64</definedName>
    <definedName name="Agent_Delivery" localSheetId="12">[4]Request!$O$62</definedName>
    <definedName name="Agent_Involved" localSheetId="12">[4]Request!$P$62</definedName>
    <definedName name="Agent_Pickup" localSheetId="12">[4]Request!$N$62</definedName>
    <definedName name="Agent_Services" localSheetId="12">[4]Request!$E$66</definedName>
    <definedName name="AgentQ" localSheetId="12">[4]Request!$L$62</definedName>
    <definedName name="AllDiscountArea" localSheetId="12">[6]Discounts!$D$15:$Q$16,[6]Discounts!$S$15:$T$16,[6]Discounts!$D$22:$M$22,[6]Discounts!$O$22:$P$22,[6]Discounts!$T$22:$T$22,[6]Discounts!$D$29:$D$30,[6]Discounts!$F$29:$Q$30,[6]Discounts!$T$29:$T$30,[6]Discounts!$D$36:$D$36,[6]Discounts!$F$36:$M$36,[6]Discounts!$O$36:$P$36,[6]Discounts!$T$36:$T$36</definedName>
    <definedName name="Alph_countries" localSheetId="12">[7]zones_input!$A$2:$A$214</definedName>
    <definedName name="anakg" localSheetId="12">'[4]Shipments - kg current'!$D$1</definedName>
    <definedName name="analb" localSheetId="12">'[4]Shipments - lb current'!$D$1</definedName>
    <definedName name="ApDsctKgADNR" localSheetId="12">#REF!</definedName>
    <definedName name="ApDsctKgComm" localSheetId="12">#REF!</definedName>
    <definedName name="ApDsctKgH1" localSheetId="12">#REF!</definedName>
    <definedName name="ApDsctKgH2" localSheetId="12">#REF!</definedName>
    <definedName name="ApDsctKgIEAppCurDisct" localSheetId="12">#REF!</definedName>
    <definedName name="ApDsctKgIEAppMin" localSheetId="12">#REF!</definedName>
    <definedName name="ApDsctKgIEReqCurDisct" localSheetId="12">#REF!</definedName>
    <definedName name="ApDsctKgIEReqMin" localSheetId="12">#REF!</definedName>
    <definedName name="ApDsctKgIERestore" localSheetId="12">#REF!</definedName>
    <definedName name="ApDsctKgIPAppCurDisct" localSheetId="12">#REF!</definedName>
    <definedName name="ApDsctKgIPAppMin" localSheetId="12">#REF!</definedName>
    <definedName name="ApDsctKgIPReqCurDisct" localSheetId="12">#REF!</definedName>
    <definedName name="ApDsctKgIPReqMin" localSheetId="12">#REF!</definedName>
    <definedName name="ApDsctKgIPRestore" localSheetId="12">#REF!</definedName>
    <definedName name="ApDsctKgLR" localSheetId="12">#REF!</definedName>
    <definedName name="ApDsctKgLR1" localSheetId="12">#REF!</definedName>
    <definedName name="ApDsctKgQ1" localSheetId="12">#REF!</definedName>
    <definedName name="ApDsctKgQ10" localSheetId="12">#REF!</definedName>
    <definedName name="ApDsctKgQ2" localSheetId="12">#REF!</definedName>
    <definedName name="ApDsctKgQ3" localSheetId="12">#REF!</definedName>
    <definedName name="ApDsctKgQ4" localSheetId="12">#REF!</definedName>
    <definedName name="ApDsctKgQ5" localSheetId="12">#REF!</definedName>
    <definedName name="ApDsctKgQ6" localSheetId="12">#REF!</definedName>
    <definedName name="ApDsctKgQ7" localSheetId="12">#REF!</definedName>
    <definedName name="ApDsctKgQ8" localSheetId="12">#REF!</definedName>
    <definedName name="ApDsctKgQ9" localSheetId="12">#REF!</definedName>
    <definedName name="ApDsctKgRMIE" localSheetId="12">#REF!</definedName>
    <definedName name="ApDsctKgRMIP" localSheetId="12">#REF!</definedName>
    <definedName name="ApDsctKgSIE" localSheetId="12">#REF!</definedName>
    <definedName name="ApDsctKgSIP" localSheetId="12">#REF!</definedName>
    <definedName name="ApDsctLbADNR" localSheetId="12">'[4]Approved Discts-lb'!$F$7:$AE$7</definedName>
    <definedName name="ApDsctLbComm" localSheetId="12">'[4]Approved Discts-lb'!$F$159</definedName>
    <definedName name="ApDsctLbH1" localSheetId="12">'[4]Approved Discts-lb'!$F$3:$H$4</definedName>
    <definedName name="ApDsctLbH2" localSheetId="12">'[4]Approved Discts-lb'!$Z$3:$Z$4</definedName>
    <definedName name="ApDsctLbIEAppCurDisct" localSheetId="12">'[4]Approved Discts-lb'!$A$111:$AE$114</definedName>
    <definedName name="ApDsctLbIEAppMin" localSheetId="12">'[4]Approved Discts-lb'!$A$108:$AE$110</definedName>
    <definedName name="ApDsctLbIEReqCurDisct" localSheetId="12">'[4]Approved Discts-lb'!$A$85:$AE$88</definedName>
    <definedName name="ApDsctLbIEReqMin" localSheetId="12">'[4]Approved Discts-lb'!$B$82:$AE$84</definedName>
    <definedName name="ApDsctLbIERestore" localSheetId="12">'[4]Approved Discts-lb'!$F$364:$AE$387</definedName>
    <definedName name="ApDsctLbIPAppCurDisct" localSheetId="12">'[4]Approved Discts-lb'!$A$50:$AE$55</definedName>
    <definedName name="ApDsctLbIPAppMin" localSheetId="12">'[4]Approved Discts-lb'!$A$45:$AE$49</definedName>
    <definedName name="ApDsctLbIPReqCurDisct" localSheetId="12">'[4]Approved Discts-lb'!$A$18:$AE$23</definedName>
    <definedName name="ApDsctLbIPReqMin" localSheetId="12">'[4]Approved Discts-lb'!$A$13:$AE$17</definedName>
    <definedName name="ApDsctLbIPRestore" localSheetId="12">'[4]Approved Discts-lb'!$F$326:$AE$355</definedName>
    <definedName name="ApDsctLbLR" localSheetId="12">'[4]Approved Discts-lb'!$F$11:$AE$11</definedName>
    <definedName name="ApDsctLbLR1" localSheetId="12">'[4]Approved Discts-lb'!$F$81:$AE$81</definedName>
    <definedName name="ApDsctLbQ1" localSheetId="12">'[4]Approved Discts-lb'!$AG$134</definedName>
    <definedName name="ApDsctLbQ10" localSheetId="12">'[4]Approved Discts-lb'!$AG$154</definedName>
    <definedName name="ApDsctLbQ2" localSheetId="12">'[4]Approved Discts-lb'!$AG$136</definedName>
    <definedName name="ApDsctLbQ3" localSheetId="12">'[4]Approved Discts-lb'!$AG$138</definedName>
    <definedName name="ApDsctLbQ4" localSheetId="12">'[4]Approved Discts-lb'!$AG$141</definedName>
    <definedName name="ApDsctLbQ5" localSheetId="12">'[4]Approved Discts-lb'!$AG$143</definedName>
    <definedName name="ApDsctLbQ6" localSheetId="12">'[4]Approved Discts-lb'!$AG$145</definedName>
    <definedName name="ApDsctLbQ7" localSheetId="12">'[4]Approved Discts-lb'!$AG$147</definedName>
    <definedName name="ApDsctLbQ8" localSheetId="12">'[4]Approved Discts-lb'!$AG$149</definedName>
    <definedName name="ApDsctLbQ9" localSheetId="12">'[4]Approved Discts-lb'!$AG$151</definedName>
    <definedName name="ApDsctLbRMIE" localSheetId="12">'[4]Approved Discts-lb'!$F$109:$AE$132</definedName>
    <definedName name="ApDsctLbRMIP" localSheetId="12">'[4]Approved Discts-lb'!$F$46:$AE$75</definedName>
    <definedName name="ApDsctLbSIE" localSheetId="12">'[4]Approved Discts-lb'!$F$83:$AE$106</definedName>
    <definedName name="ApDsctLbSIP" localSheetId="12">'[4]Approved Discts-lb'!$F$14:$AE$43</definedName>
    <definedName name="Approval" localSheetId="12">[4]Request!$P$16</definedName>
    <definedName name="Bill_3P" localSheetId="12">[4]Request!$M$29</definedName>
    <definedName name="Bill_Consignee" localSheetId="12">[4]Request!$L$29</definedName>
    <definedName name="Billing_Option" localSheetId="12">[4]Request!$A$29</definedName>
    <definedName name="Business_Type" localSheetId="12">[4]Request!$G$31</definedName>
    <definedName name="BWE" localSheetId="12">[4]TempVariables!$K$3</definedName>
    <definedName name="Chk_Origin_Cntry" localSheetId="12">[4]Request!$L$151</definedName>
    <definedName name="Chk_Provinces_Cities" localSheetId="12">[4]Request!$S$151</definedName>
    <definedName name="Chk_Ship_Loc" localSheetId="12">[4]Request!$R$151</definedName>
    <definedName name="Clearance_Reqd" localSheetId="12">[4]Request!$A$82</definedName>
    <definedName name="Commodity1" localSheetId="12">[4]Request!$I$48</definedName>
    <definedName name="Commodity2" localSheetId="12">[4]Request!$I$49</definedName>
    <definedName name="Competitor" localSheetId="12">[4]Request!$I$54</definedName>
    <definedName name="CONTDE" localSheetId="12">#REF!</definedName>
    <definedName name="CONTFD" localSheetId="12">#REF!</definedName>
    <definedName name="CONTFE" localSheetId="12">#REF!</definedName>
    <definedName name="CONTPD" localSheetId="12">#REF!</definedName>
    <definedName name="CONTPE" localSheetId="12">#REF!</definedName>
    <definedName name="countries" localSheetId="12">[7]zones_input!$A$2:$C$202</definedName>
    <definedName name="country_selection" localSheetId="12">[7]control!$S$4:$S$5</definedName>
    <definedName name="CSource" localSheetId="12">[7]control!$D$27:$D$29</definedName>
    <definedName name="Cur_Disct" localSheetId="12">[4]Request!$P$19</definedName>
    <definedName name="Curr_and_Incr" localSheetId="12">[4]Request!$R$32</definedName>
    <definedName name="Curr_Incr" localSheetId="12">[4]Request!$M$32</definedName>
    <definedName name="Current" localSheetId="12">'[4]Shipments - current'!$E$4:$Z$65536</definedName>
    <definedName name="Current_Only" localSheetId="12">[4]Request!$P$32</definedName>
    <definedName name="CurrentDetail" localSheetId="12">'[4]Shipments - current'!$A$3</definedName>
    <definedName name="CurrentDetailEnd" localSheetId="12">'[4]Shipments - current'!$AH$3</definedName>
    <definedName name="Cust_Clear" localSheetId="12">[4]Request!$P$84</definedName>
    <definedName name="CustClearQ" localSheetId="12">[4]Request!$L$84</definedName>
    <definedName name="Customer" localSheetId="12">[8]Summary!$B$1</definedName>
    <definedName name="Date1" localSheetId="12">[4]Request!$P$17</definedName>
    <definedName name="Date2" localSheetId="12">[4]Request!$Q$17</definedName>
    <definedName name="Declared_Value" localSheetId="12">[4]Request!$E$89</definedName>
    <definedName name="Dest_Countries" localSheetId="12">[4]Request!$N$125:$N$150</definedName>
    <definedName name="Dest_Country_Copy" localSheetId="12">[4]Request!$R$19</definedName>
    <definedName name="Dest_Scenario" localSheetId="12">[4]Request!$E$78</definedName>
    <definedName name="Dest1" localSheetId="12">[4]Request!$N$125</definedName>
    <definedName name="Dest10" localSheetId="12">[4]Request!$N$134</definedName>
    <definedName name="Dest11" localSheetId="12">[4]Request!$N$135</definedName>
    <definedName name="Dest12" localSheetId="12">[4]Request!$N$136</definedName>
    <definedName name="Dest13" localSheetId="12">[4]Request!$N$137</definedName>
    <definedName name="Dest14" localSheetId="12">[4]Request!$N$138</definedName>
    <definedName name="Dest15" localSheetId="12">[4]Request!$N$139</definedName>
    <definedName name="Dest16" localSheetId="12">[4]Request!$N$140</definedName>
    <definedName name="Dest17" localSheetId="12">[4]Request!$N$141</definedName>
    <definedName name="Dest18" localSheetId="12">[4]Request!$N$142</definedName>
    <definedName name="Dest19" localSheetId="12">[4]Request!$N$143</definedName>
    <definedName name="Dest2" localSheetId="12">[4]Request!$N$126</definedName>
    <definedName name="Dest20" localSheetId="12">[4]Request!$N$144</definedName>
    <definedName name="Dest21" localSheetId="12">[4]Request!$N$145</definedName>
    <definedName name="Dest22" localSheetId="12">[4]Request!$N$146</definedName>
    <definedName name="Dest23" localSheetId="12">[4]Request!$N$147</definedName>
    <definedName name="Dest24" localSheetId="12">[4]Request!$N$148</definedName>
    <definedName name="Dest25" localSheetId="12">[4]Request!$N$149</definedName>
    <definedName name="Dest26" localSheetId="12">[4]Request!$N$150</definedName>
    <definedName name="Dest3" localSheetId="12">[4]Request!$N$127</definedName>
    <definedName name="Dest4" localSheetId="12">[4]Request!$N$128</definedName>
    <definedName name="Dest5" localSheetId="12">[4]Request!$N$129</definedName>
    <definedName name="Dest6" localSheetId="12">[4]Request!$N$130</definedName>
    <definedName name="Dest7" localSheetId="12">[4]Request!$N$131</definedName>
    <definedName name="Dest8" localSheetId="12">[4]Request!$N$132</definedName>
    <definedName name="Dest9" localSheetId="12">[4]Request!$N$133</definedName>
    <definedName name="Division" localSheetId="12">[7]control!$O$27:$O$28</definedName>
    <definedName name="DOT" localSheetId="12">[7]control!$L$27:$L$29</definedName>
    <definedName name="dox" localSheetId="12">#REF!</definedName>
    <definedName name="dsfd" localSheetId="12">#REF!</definedName>
    <definedName name="EndMonth" localSheetId="12">[4]TempVariables!$H$3</definedName>
    <definedName name="ExDocDisc" localSheetId="12">[6]Discounts!$D$15:$Q$15,[6]Discounts!$S$15:$T$15</definedName>
    <definedName name="ExNDocDisc" localSheetId="12">[6]Discounts!$D$16:$Q$16,[6]Discounts!$S$16:$T$16,[6]Discounts!$D$22:$M$22,[6]Discounts!$O$22:$P$22,[6]Discounts!$T$22:$T$22</definedName>
    <definedName name="Expt638" localSheetId="12">#REF!</definedName>
    <definedName name="ExptPrepaid" localSheetId="12">'[10]Expt Disc prepaid'!#REF!</definedName>
    <definedName name="FDX" localSheetId="12">[4]Request!$A$50</definedName>
    <definedName name="FDX_Shpmts" localSheetId="12">[4]Request!$P$52</definedName>
    <definedName name="FXShpQ" localSheetId="12">[4]Request!$L$52</definedName>
    <definedName name="GroundWB" localSheetId="12">'[11]Customer Info'!$Y$20:$AB$26</definedName>
    <definedName name="GrpExcl_ll" localSheetId="12">[4]TempVariables!$D$2</definedName>
    <definedName name="GrpExcl_ul" localSheetId="12">[4]TempVariables!$E$2</definedName>
    <definedName name="GrpIncl_ll" localSheetId="12">[4]TempVariables!$B$2</definedName>
    <definedName name="GrpIncl_ul" localSheetId="12">[4]TempVariables!$C$2</definedName>
    <definedName name="Header" localSheetId="12">'[9]Expt Disc prepaid'!#REF!</definedName>
    <definedName name="home" localSheetId="12">[4]Request!$B$17</definedName>
    <definedName name="ImDocDisc" localSheetId="12">[6]Discounts!$D$29,[6]Discounts!$F$29:$Q$29,[6]Discounts!$T$29</definedName>
    <definedName name="IMListRates" localSheetId="12">#REF!</definedName>
    <definedName name="ImNDocDisc" localSheetId="12">[6]Discounts!$D$30:$D$30,[6]Discounts!$F$30:$Q$30,[6]Discounts!$T$30:$T$30,[6]Discounts!$D$36:$D$36,[6]Discounts!$F$36:$M$36,[6]Discounts!$O$36:$P$36,[6]Discounts!$T$36:$T$36</definedName>
    <definedName name="Import" localSheetId="12">[4]Request!$Q$33</definedName>
    <definedName name="Import_Pricing" localSheetId="12">#REF!</definedName>
    <definedName name="Impt_Inbnd" localSheetId="12">[4]Request!$L$33</definedName>
    <definedName name="ImptCheck" localSheetId="12">[4]Request!$Q$19</definedName>
    <definedName name="Inbound" localSheetId="12">[4]Request!$P$33</definedName>
    <definedName name="Inbound_Pricing" localSheetId="12">#REF!</definedName>
    <definedName name="Incremental_Only" localSheetId="12">[4]Request!$Q$32</definedName>
    <definedName name="IZ" localSheetId="12">#REF!</definedName>
    <definedName name="Kg_Apprv_Dt" localSheetId="12">#REF!</definedName>
    <definedName name="Kg_APPS_Chk" localSheetId="12">'[4]Shipments - kg'!$A$1138</definedName>
    <definedName name="Kg_AWPS_Chk" localSheetId="12">'[4]Shipments - kg'!$A$1117</definedName>
    <definedName name="Kg_Cntry_Disct" localSheetId="12">'[4]Discounts - kg'!$AB$108</definedName>
    <definedName name="kg_Disc_Edit_Check" localSheetId="12">#REF!</definedName>
    <definedName name="Kg_Discts" localSheetId="12">'[4]Discounts - kg'!$A$16:$IV$98</definedName>
    <definedName name="Kg_Dsc_Cntry" localSheetId="12">'[4]Discounts - kg'!$A$1:$IV$15</definedName>
    <definedName name="Kg_Dsc_IE_Cur_Disct" localSheetId="12">'[4]Discounts - kg'!$A$68:$IV$75</definedName>
    <definedName name="Kg_Dsc_IE_Hdr" localSheetId="12">'[4]Discounts - kg'!$A$60:$IV$62</definedName>
    <definedName name="Kg_Dsc_IE_Min_Hdr" localSheetId="12">'[4]Discounts - kg'!$A$63:$IV$64</definedName>
    <definedName name="Kg_Dsc_IE_Min_IE" localSheetId="12">'[4]Discounts - kg'!$A$65:$IV$65</definedName>
    <definedName name="Kg_Dsc_IE_Min_IEF" localSheetId="12">'[4]Discounts - kg'!$A$66:$IV$67</definedName>
    <definedName name="Kg_Dsc_IE_Pct_Disct" localSheetId="12">'[4]Discounts - kg'!$A$76:$IV$92</definedName>
    <definedName name="Kg_Dsc_IEF_Pct_Disct" localSheetId="12">'[4]Discounts - kg'!$A$93:$IV$99</definedName>
    <definedName name="Kg_Dsc_IP_Cur_Disct" localSheetId="12">'[4]Discounts - kg'!$A$25:$IV$31</definedName>
    <definedName name="Kg_Dsc_IP_Hdr" localSheetId="12">'[4]Discounts - kg'!$A$16:$IV$17</definedName>
    <definedName name="Kg_Dsc_IP_Min_Hdr" localSheetId="12">'[4]Discounts - kg'!$A$18:$IV$19</definedName>
    <definedName name="Kg_Dsc_IP_Min_IP" localSheetId="12">'[4]Discounts - kg'!$A$20:$IV$22</definedName>
    <definedName name="Kg_Dsc_IP_Min_IPF" localSheetId="12">'[4]Discounts - kg'!$A$23:$IV$24</definedName>
    <definedName name="Kg_Dsc_IP_Pct_Disct" localSheetId="12">'[4]Discounts - kg'!$A$32:$IV$50</definedName>
    <definedName name="Kg_Dsc_IPF_Pct_Disct" localSheetId="12">'[4]Discounts - kg'!$A$51:$IV$59</definedName>
    <definedName name="Kg_Dsc_Origin_Cntry" localSheetId="12">'[4]Discounts - kg'!$B$7:$AA$7</definedName>
    <definedName name="Kg_Incr_Shp_IE" localSheetId="12">'[4]Shipments - kg'!$A$162</definedName>
    <definedName name="Kg_Incr_Shp_IEF" localSheetId="12">'[4]Shipments - kg'!$A$163</definedName>
    <definedName name="Kg_Incr_Shp_IP" localSheetId="12">'[4]Shipments - kg'!$A$160</definedName>
    <definedName name="Kg_Incr_Shp_IPF" localSheetId="12">'[4]Shipments - kg'!$A$161</definedName>
    <definedName name="Kg_Rng_Cur_Disct_IE" localSheetId="12">'[4]Discounts - kg'!$B$72:$AA$74</definedName>
    <definedName name="Kg_Rng_Cur_Disct_IP" localSheetId="12">'[4]Discounts - kg'!$B$26:$AA$30</definedName>
    <definedName name="Kg_Rng_Disct_IE" localSheetId="12">'[4]Discounts - kg'!$B$78:$AA$84</definedName>
    <definedName name="Kg_Rng_Disct_IEF" localSheetId="12">'[4]Discounts - kg'!$B$94:$AA$98</definedName>
    <definedName name="Kg_Rng_Disct_IEHW" localSheetId="12">'[4]Discounts - kg'!$B$87:$AA$91</definedName>
    <definedName name="Kg_Rng_Disct_IP" localSheetId="12">'[4]Discounts - kg'!$B$34:$AA$42</definedName>
    <definedName name="Kg_Rng_Disct_IPF" localSheetId="12">'[4]Discounts - kg'!$B$52:$AA$56</definedName>
    <definedName name="Kg_Rng_Disct_IPHW" localSheetId="12">'[4]Discounts - kg'!$B$45:$AA$49</definedName>
    <definedName name="Kg_Rng_Disct_Min_IE" localSheetId="12">'[4]Discounts - kg'!$B$65:$AA$66</definedName>
    <definedName name="Kg_Rng_Disct_Min_IP" localSheetId="12">'[4]Discounts - kg'!$B$20:$AA$23</definedName>
    <definedName name="Kg_Rng_Shpmts_APPS_IE" localSheetId="12">'[4]Shipments - kg'!$C$119:$AB$129</definedName>
    <definedName name="Kg_Rng_Shpmts_APPS_IEF" localSheetId="12">'[4]Shipments - kg'!$C$131:$AB$135</definedName>
    <definedName name="Kg_Rng_Shpmts_APPS_IP" localSheetId="12">'[4]Shipments - kg'!$C$53:$AB$63</definedName>
    <definedName name="Kg_Rng_Shpmts_APPS_IPF" localSheetId="12">'[4]Shipments - kg'!$C$65:$AB$69</definedName>
    <definedName name="Kg_Rng_Shpmts_AWPS_IE" localSheetId="12">'[4]Shipments - kg'!$C$99:$AB$109</definedName>
    <definedName name="Kg_Rng_Shpmts_AWPS_IEF" localSheetId="12">'[4]Shipments - kg'!$C$111:$AB$115</definedName>
    <definedName name="Kg_Rng_Shpmts_AWPS_IP" localSheetId="12">'[4]Shipments - kg'!$C$34:$AB$44</definedName>
    <definedName name="Kg_Rng_Shpmts_AWPS_IPF" localSheetId="12">'[4]Shipments - kg'!$C$46:$AB$50</definedName>
    <definedName name="Kg_Rng_Shpmts_Incr_IE" localSheetId="12">'[4]Shipments - kg'!$C$75:$AB$86</definedName>
    <definedName name="Kg_Rng_Shpmts_Incr_IEF" localSheetId="12">'[4]Shipments - kg'!$C$88:$AB$92</definedName>
    <definedName name="Kg_Rng_Shpmts_Incr_IP" localSheetId="12">'[4]Shipments - kg'!$C$10:$AB$23</definedName>
    <definedName name="Kg_Rng_Shpmts_Incr_IPF" localSheetId="12">'[4]Shipments - kg'!$C$25:$AB$29</definedName>
    <definedName name="Kg_Shp_Cntry" localSheetId="12">'[4]Shipments - kg'!$A$1:$IV$8</definedName>
    <definedName name="Kg_Shp_IE_APPS" localSheetId="12">'[4]Shipments - kg'!$A$117:$IV$129</definedName>
    <definedName name="Kg_Shp_IE_AWPS" localSheetId="12">'[4]Shipments - kg'!$A$97:$IV$109</definedName>
    <definedName name="Kg_Shp_IE_Incr" localSheetId="12">'[4]Shipments - kg'!$A$72:$IV$86</definedName>
    <definedName name="Kg_Shp_IE_Tot" localSheetId="12">'[4]Shipments - kg'!$A$93:$IV$96</definedName>
    <definedName name="Kg_Shp_IEF_APPS" localSheetId="12">'[4]Shipments - kg'!$A$130:$IV$136</definedName>
    <definedName name="Kg_Shp_IEF_APPS_Hdr" localSheetId="12">'[4]Shipments - kg'!$A$117:$IV$118</definedName>
    <definedName name="Kg_Shp_IEF_AWPS" localSheetId="12">'[4]Shipments - kg'!$A$110:$IV$116</definedName>
    <definedName name="Kg_Shp_IEF_AWPS_Hdr" localSheetId="12">'[4]Shipments - kg'!$A$97:$IV$98</definedName>
    <definedName name="Kg_Shp_IEF_Incr" localSheetId="12">'[4]Shipments - kg'!$A$87:$IV$92</definedName>
    <definedName name="Kg_Shp_IEF_Incr_Hdr" localSheetId="12">'[4]Shipments - kg'!$A$72:$IV$73</definedName>
    <definedName name="Kg_Shp_IP_APPS" localSheetId="12">'[4]Shipments - kg'!$A$51:$IV$63</definedName>
    <definedName name="Kg_Shp_IP_AWPS" localSheetId="12">'[4]Shipments - kg'!$A$33:$IV$44</definedName>
    <definedName name="Kg_Shp_IP_Incr" localSheetId="12">'[4]Shipments - kg'!$A$9:$IV$23</definedName>
    <definedName name="Kg_Shp_IP_Tot" localSheetId="12">'[4]Shipments - kg'!$A$30:$IV$32</definedName>
    <definedName name="Kg_Shp_IPF_APPS" localSheetId="12">'[4]Shipments - kg'!$A$64:$IV$71</definedName>
    <definedName name="Kg_Shp_IPF_APPS_Hdr" localSheetId="12">'[4]Shipments - kg'!$A$51:$IV$52</definedName>
    <definedName name="Kg_Shp_IPF_AWPS" localSheetId="12">'[4]Shipments - kg'!$A$45:$IV$50</definedName>
    <definedName name="Kg_Shp_IPF_AWPS_Hdr" localSheetId="12">'[4]Shipments - kg'!$A$33:$IV$33</definedName>
    <definedName name="Kg_Shp_IPF_Incr" localSheetId="12">'[4]Shipments - kg'!$A$24:$IV$29</definedName>
    <definedName name="Kg_Shp_IPF_Incr_Hdr" localSheetId="12">'[4]Shipments - kg'!$A$9:$IV$9</definedName>
    <definedName name="Kg_Shp_Origin_Cntry" localSheetId="12">'[4]Shipments - kg'!$C$6:$AB$6</definedName>
    <definedName name="Kg_Shpmt_Cntry" localSheetId="12">'[4]Shipments - kg'!$AD$140</definedName>
    <definedName name="Kg_Shpmt_Disct" localSheetId="12">'[4]Discounts - kg'!$A$200</definedName>
    <definedName name="Kg_Shpmts" localSheetId="12">'[4]Shipments - kg'!$A$9:$IV$135</definedName>
    <definedName name="Kg_Shpmts_AWPS_Reset" localSheetId="12">'[4]Shipments - kg'!$A$500</definedName>
    <definedName name="Kg_Shpmts_AWPS_Reset1" localSheetId="12">'[4]Shipments - kg'!$A$501</definedName>
    <definedName name="Kilograms" localSheetId="12">[4]Request!$P$25</definedName>
    <definedName name="Lb_Apprv_Dt" localSheetId="12">'[4]Approved Discts-lb'!$F$3</definedName>
    <definedName name="Lb_APPS_Chk" localSheetId="12">'[4]Shipments - lb'!$A$1138</definedName>
    <definedName name="Lb_AWPS_Chk" localSheetId="12">'[4]Shipments - lb'!$A$1117</definedName>
    <definedName name="Lb_Cntry_Disct" localSheetId="12">'[4]Discounts - lb'!$AB$108</definedName>
    <definedName name="lb_Disc_Edit_Check" localSheetId="12">'[4]Approved Discts-lb'!$AF$259</definedName>
    <definedName name="Lb_Discts" localSheetId="12">'[4]Discounts - lb'!$A$16:$IV$98</definedName>
    <definedName name="Lb_Dsc_Cntry" localSheetId="12">'[4]Discounts - lb'!$A$1:$IV$15</definedName>
    <definedName name="Lb_Dsc_IE_Cur_Disct" localSheetId="12">'[4]Discounts - lb'!$A$68:$IV$75</definedName>
    <definedName name="Lb_Dsc_IE_Hdr" localSheetId="12">'[4]Discounts - lb'!$A$60:$IV$62</definedName>
    <definedName name="Lb_Dsc_IE_Min_Hdr" localSheetId="12">'[4]Discounts - lb'!$A$63:$IV$64</definedName>
    <definedName name="Lb_Dsc_IE_Min_IE" localSheetId="12">'[4]Discounts - lb'!$A$65:$IV$65</definedName>
    <definedName name="Lb_Dsc_IE_Min_IEF" localSheetId="12">'[4]Discounts - lb'!$A$66:$IV$67</definedName>
    <definedName name="Lb_Dsc_IE_Pct_Disct" localSheetId="12">'[4]Discounts - lb'!$A$76:$IV$92</definedName>
    <definedName name="Lb_Dsc_IEF_Pct_Disct" localSheetId="12">'[4]Discounts - lb'!$A$93:$IV$99</definedName>
    <definedName name="Lb_Dsc_IEF8" localSheetId="12">'[4]Discounts - lb'!$A$94:$IV$94</definedName>
    <definedName name="Lb_Dsc_IP_Cur_Disct" localSheetId="12">'[4]Discounts - lb'!$A$25:$IV$31</definedName>
    <definedName name="Lb_Dsc_IP_Hdr" localSheetId="12">'[4]Discounts - lb'!$A$16:$IV$17</definedName>
    <definedName name="Lb_Dsc_IP_Min_Hdr" localSheetId="12">'[4]Discounts - lb'!$A$18:$IV$19</definedName>
    <definedName name="Lb_Dsc_IP_Min_IP" localSheetId="12">'[4]Discounts - lb'!$A$20:$IV$22</definedName>
    <definedName name="Lb_Dsc_IP_Min_IPF" localSheetId="12">'[4]Discounts - lb'!$A$23:$IV$24</definedName>
    <definedName name="Lb_Dsc_IP_Pct_Disct" localSheetId="12">'[4]Discounts - lb'!$A$32:$IV$50</definedName>
    <definedName name="Lb_Dsc_IPF_Pct_Disct" localSheetId="12">'[4]Discounts - lb'!$A$51:$IV$59</definedName>
    <definedName name="Lb_Dsc_IPF8" localSheetId="12">'[4]Discounts - lb'!$A$52:$IV$52</definedName>
    <definedName name="Lb_Dsc_Origin_Cntry" localSheetId="12">'[4]Discounts - lb'!$B$7:$AA$7</definedName>
    <definedName name="Lb_Incr_Shp_IE" localSheetId="12">'[4]Shipments - lb'!$A$162</definedName>
    <definedName name="Lb_Incr_Shp_IEF" localSheetId="12">'[4]Shipments - lb'!$A$163</definedName>
    <definedName name="Lb_Incr_Shp_IP" localSheetId="12">'[4]Shipments - lb'!$A$160</definedName>
    <definedName name="Lb_Incr_Shp_IPF" localSheetId="12">'[4]Shipments - lb'!$A$161</definedName>
    <definedName name="Lb_Rng_Cur_Disct_IE" localSheetId="12">'[4]Discounts - lb'!$B$72:$AA$74</definedName>
    <definedName name="Lb_Rng_Cur_Disct_IP" localSheetId="12">'[4]Discounts - lb'!$B$26:$AA$30</definedName>
    <definedName name="Lb_Rng_Disct_IE" localSheetId="12">'[4]Discounts - lb'!$B$78:$AA$84</definedName>
    <definedName name="Lb_Rng_Disct_IEF" localSheetId="12">'[4]Discounts - lb'!$B$94:$AA$98</definedName>
    <definedName name="Lb_Rng_Disct_IEHW" localSheetId="12">'[4]Discounts - lb'!$B$87:$AA$91</definedName>
    <definedName name="Lb_Rng_Disct_IP" localSheetId="12">'[4]Discounts - lb'!$B$34:$AA$42</definedName>
    <definedName name="Lb_Rng_Disct_IPF" localSheetId="12">'[4]Discounts - lb'!$B$52:$AA$56</definedName>
    <definedName name="Lb_Rng_Disct_IPHW" localSheetId="12">'[4]Discounts - lb'!$B$45:$AA$49</definedName>
    <definedName name="Lb_Rng_Disct_Min_IE" localSheetId="12">'[4]Discounts - lb'!$B$65:$AA$66</definedName>
    <definedName name="Lb_Rng_Disct_Min_IP" localSheetId="12">'[4]Discounts - lb'!$B$20:$AA$23</definedName>
    <definedName name="Lb_Rng_Shpmts_APPS_IE" localSheetId="12">'[4]Shipments - lb'!$C$119:$AB$129</definedName>
    <definedName name="Lb_Rng_Shpmts_APPS_IEF" localSheetId="12">'[4]Shipments - lb'!$C$131:$AB$135</definedName>
    <definedName name="Lb_Rng_Shpmts_APPS_IP" localSheetId="12">'[4]Shipments - lb'!$C$53:$AB$63</definedName>
    <definedName name="Lb_Rng_Shpmts_APPS_IPF" localSheetId="12">'[4]Shipments - lb'!$C$65:$AB$69</definedName>
    <definedName name="Lb_Rng_Shpmts_AWPS_IE" localSheetId="12">'[4]Shipments - lb'!$C$99:$AB$109</definedName>
    <definedName name="Lb_Rng_Shpmts_AWPS_IEF" localSheetId="12">'[4]Shipments - lb'!$C$111:$AB$115</definedName>
    <definedName name="Lb_Rng_Shpmts_AWPS_IP" localSheetId="12">'[4]Shipments - lb'!$C$34:$AB$44</definedName>
    <definedName name="Lb_Rng_Shpmts_AWPS_IPF" localSheetId="12">'[4]Shipments - lb'!$C$46:$AB$50</definedName>
    <definedName name="Lb_Rng_Shpmts_Incr_IE" localSheetId="12">'[4]Shipments - lb'!$C$75:$AB$86</definedName>
    <definedName name="Lb_Rng_Shpmts_Incr_IEF" localSheetId="12">'[4]Shipments - lb'!$C$88:$AB$92</definedName>
    <definedName name="Lb_Rng_Shpmts_Incr_IP" localSheetId="12">'[4]Shipments - lb'!$C$10:$AB$23</definedName>
    <definedName name="Lb_Rng_Shpmts_Incr_IPF" localSheetId="12">'[4]Shipments - lb'!$C$25:$AB$29</definedName>
    <definedName name="Lb_Shp_Cntry" localSheetId="12">'[4]Shipments - lb'!$A$1:$IV$8</definedName>
    <definedName name="Lb_Shp_IE_APPS" localSheetId="12">'[4]Shipments - lb'!$A$117:$IV$129</definedName>
    <definedName name="Lb_Shp_IE_AWPS" localSheetId="12">'[4]Shipments - lb'!$A$97:$IV$109</definedName>
    <definedName name="Lb_Shp_IE_Incr" localSheetId="12">'[4]Shipments - lb'!$A$72:$IV$86</definedName>
    <definedName name="Lb_Shp_IE_Tot" localSheetId="12">'[4]Shipments - lb'!$A$93:$IV$96</definedName>
    <definedName name="Lb_Shp_IEF_APPS" localSheetId="12">'[4]Shipments - lb'!$A$130:$IV$136</definedName>
    <definedName name="Lb_Shp_IEF_APPS_Hdr" localSheetId="12">'[4]Shipments - lb'!$A$117:$IV$118</definedName>
    <definedName name="Lb_Shp_IEF_AWPS" localSheetId="12">'[4]Shipments - lb'!$A$110:$IV$116</definedName>
    <definedName name="Lb_Shp_IEF_AWPS_Hdr" localSheetId="12">'[4]Shipments - lb'!$A$97:$IV$98</definedName>
    <definedName name="Lb_Shp_IEF_Incr" localSheetId="12">'[4]Shipments - lb'!$A$87:$IV$92</definedName>
    <definedName name="Lb_Shp_IEF_Incr_Hdr" localSheetId="12">'[4]Shipments - lb'!$A$72:$IV$73</definedName>
    <definedName name="Lb_Shp_IEF8_APPS" localSheetId="12">'[4]Shipments - lb'!$A$131:$IV$131</definedName>
    <definedName name="Lb_Shp_IEF8_AWPS" localSheetId="12">'[4]Shipments - lb'!$A$111:$IV$111</definedName>
    <definedName name="Lb_Shp_IEF8_Incr" localSheetId="12">'[4]Shipments - lb'!$A$88:$IV$88</definedName>
    <definedName name="Lb_Shp_IP_APPS" localSheetId="12">'[4]Shipments - lb'!$A$51:$IV$63</definedName>
    <definedName name="Lb_Shp_IP_AWPS" localSheetId="12">'[4]Shipments - lb'!$A$33:$IV$44</definedName>
    <definedName name="Lb_Shp_IP_Incr" localSheetId="12">'[4]Shipments - lb'!$A$9:$IV$23</definedName>
    <definedName name="Lb_Shp_IP_Tot" localSheetId="12">'[4]Shipments - lb'!$A$30:$IV$32</definedName>
    <definedName name="Lb_Shp_IPF_APPS" localSheetId="12">'[4]Shipments - lb'!$A$64:$IV$71</definedName>
    <definedName name="Lb_Shp_IPF_APPS_Hdr" localSheetId="12">'[4]Shipments - lb'!$A$51:$IV$52</definedName>
    <definedName name="Lb_Shp_IPF_AWPS" localSheetId="12">'[4]Shipments - lb'!$A$45:$IV$50</definedName>
    <definedName name="Lb_Shp_IPF_AWPS_Hdr" localSheetId="12">'[4]Shipments - lb'!$A$33:$IV$33</definedName>
    <definedName name="Lb_Shp_IPF_Incr" localSheetId="12">'[4]Shipments - lb'!$A$24:$IV$29</definedName>
    <definedName name="Lb_Shp_IPF_Incr_Hdr" localSheetId="12">'[4]Shipments - lb'!$A$9:$IV$9</definedName>
    <definedName name="Lb_Shp_IPF8_APPS" localSheetId="12">'[4]Shipments - lb'!$A$65:$IV$65</definedName>
    <definedName name="Lb_Shp_IPF8_AWPS" localSheetId="12">'[4]Shipments - lb'!$A$46:$IV$46</definedName>
    <definedName name="Lb_Shp_IPF8_Incr" localSheetId="12">'[4]Shipments - lb'!$A$25:$IV$25</definedName>
    <definedName name="Lb_Shp_Origin_Cntry" localSheetId="12">'[4]Shipments - lb'!$C$6:$AB$6</definedName>
    <definedName name="Lb_Shpmt_Cntry" localSheetId="12">'[4]Shipments - lb'!$AD$140</definedName>
    <definedName name="Lb_Shpmt_Disct" localSheetId="12">'[4]Discounts - lb'!$A$200</definedName>
    <definedName name="Lb_Shpmts" localSheetId="12">'[4]Shipments - lb'!$A$9:$IV$135</definedName>
    <definedName name="Lb_Shpmts_AWPS_Reset" localSheetId="12">'[4]Shipments - lb'!$A$500</definedName>
    <definedName name="Lb_Shpmts_AWPS_Reset1" localSheetId="12">'[4]Shipments - lb'!$A$501</definedName>
    <definedName name="LocalAccts" localSheetId="12">[4]TempVariables!$F$2</definedName>
    <definedName name="Locations" localSheetId="12">[4]Request!$C$124</definedName>
    <definedName name="LOOKUP" localSheetId="12">#REF!</definedName>
    <definedName name="Major_Origin_Cities" localSheetId="12">[4]Request!$E$124</definedName>
    <definedName name="MBG" localSheetId="12">[4]Request!$G$42</definedName>
    <definedName name="MBG_NotReq" localSheetId="12">[4]Request!$P$44</definedName>
    <definedName name="MBG_Option" localSheetId="12">[4]Request!$M$44</definedName>
    <definedName name="MBG_Req" localSheetId="12">[4]Request!$Q$44</definedName>
    <definedName name="MINTABLE" localSheetId="12">[11]SURCHARGES!$H$9:$U$15</definedName>
    <definedName name="ModelDate" localSheetId="12">[4]Request!$K$1</definedName>
    <definedName name="NatlAccts" localSheetId="12">[4]TempVariables!$A$2</definedName>
    <definedName name="NDAAll" localSheetId="12">'[11]Customer Info'!$V$9</definedName>
    <definedName name="Old_Payor_No" localSheetId="12">[4]Request!$E$56</definedName>
    <definedName name="Old_Shipper_No" localSheetId="12">[4]Request!$E$54</definedName>
    <definedName name="Op_Months" localSheetId="12">'[4]Shipments - current'!$B$1</definedName>
    <definedName name="Op_Scenario" localSheetId="12">[4]Request!$P$74</definedName>
    <definedName name="OpQ" localSheetId="12">[4]Request!$L$74</definedName>
    <definedName name="OptionType" localSheetId="12">[7]control!$F$27:$F$29</definedName>
    <definedName name="Orig_Region_1" localSheetId="12">[4]Request!$A$125</definedName>
    <definedName name="Orig_Region_10" localSheetId="12">[4]Request!$A$134</definedName>
    <definedName name="Orig_Region_11" localSheetId="12">[4]Request!$A$135</definedName>
    <definedName name="Orig_Region_12" localSheetId="12">[4]Request!$A$136</definedName>
    <definedName name="Orig_Region_13" localSheetId="12">[4]Request!$A$137</definedName>
    <definedName name="Orig_Region_14" localSheetId="12">[4]Request!$A$138</definedName>
    <definedName name="Orig_Region_15" localSheetId="12">[4]Request!$A$139</definedName>
    <definedName name="Orig_Region_16" localSheetId="12">[4]Request!$A$140</definedName>
    <definedName name="Orig_Region_17" localSheetId="12">[4]Request!$A$141</definedName>
    <definedName name="Orig_Region_18" localSheetId="12">[4]Request!$A$142</definedName>
    <definedName name="Orig_Region_19" localSheetId="12">[4]Request!$A$143</definedName>
    <definedName name="Orig_Region_2" localSheetId="12">[4]Request!$A$126</definedName>
    <definedName name="Orig_Region_20" localSheetId="12">[4]Request!$A$144</definedName>
    <definedName name="Orig_Region_21" localSheetId="12">[4]Request!$A$145</definedName>
    <definedName name="Orig_Region_22" localSheetId="12">[4]Request!$A$146</definedName>
    <definedName name="Orig_Region_23" localSheetId="12">[4]Request!$A$147</definedName>
    <definedName name="Orig_Region_24" localSheetId="12">[4]Request!$A$148</definedName>
    <definedName name="Orig_Region_25" localSheetId="12">[4]Request!$A$149</definedName>
    <definedName name="Orig_Region_26" localSheetId="12">[4]Request!$A$150</definedName>
    <definedName name="Orig_Region_3" localSheetId="12">[4]Request!$A$127</definedName>
    <definedName name="Orig_Region_4" localSheetId="12">[4]Request!$A$128</definedName>
    <definedName name="Orig_Region_5" localSheetId="12">[4]Request!$A$129</definedName>
    <definedName name="Orig_Region_6" localSheetId="12">[4]Request!$A$130</definedName>
    <definedName name="Orig_Region_7" localSheetId="12">[4]Request!$A$131</definedName>
    <definedName name="Orig_Region_8" localSheetId="12">[4]Request!$A$132</definedName>
    <definedName name="Orig_Region_9" localSheetId="12">[4]Request!$A$133</definedName>
    <definedName name="Orig1" localSheetId="12">[4]Request!$L$125</definedName>
    <definedName name="Orig10" localSheetId="12">[4]Request!$L$134</definedName>
    <definedName name="Orig11" localSheetId="12">[4]Request!$L$135</definedName>
    <definedName name="Orig12" localSheetId="12">[4]Request!$L$136</definedName>
    <definedName name="Orig13" localSheetId="12">[4]Request!$L$137</definedName>
    <definedName name="Orig14" localSheetId="12">[4]Request!$L$138</definedName>
    <definedName name="Orig15" localSheetId="12">[4]Request!$L$139</definedName>
    <definedName name="Orig16" localSheetId="12">[4]Request!$L$140</definedName>
    <definedName name="Orig17" localSheetId="12">[4]Request!$L$141</definedName>
    <definedName name="Orig18" localSheetId="12">[4]Request!$L$142</definedName>
    <definedName name="Orig19" localSheetId="12">[4]Request!$L$143</definedName>
    <definedName name="Orig2" localSheetId="12">[4]Request!$L$126</definedName>
    <definedName name="Orig20" localSheetId="12">[4]Request!$L$144</definedName>
    <definedName name="Orig21" localSheetId="12">[4]Request!$L$145</definedName>
    <definedName name="Orig22" localSheetId="12">[4]Request!$L$146</definedName>
    <definedName name="Orig23" localSheetId="12">[4]Request!$L$147</definedName>
    <definedName name="Orig24" localSheetId="12">[4]Request!$L$148</definedName>
    <definedName name="Orig25" localSheetId="12">[4]Request!$L$149</definedName>
    <definedName name="Orig26" localSheetId="12">[4]Request!$L$150</definedName>
    <definedName name="Orig3" localSheetId="12">[4]Request!$L$127</definedName>
    <definedName name="Orig4" localSheetId="12">[4]Request!$L$128</definedName>
    <definedName name="Orig5" localSheetId="12">[4]Request!$L$129</definedName>
    <definedName name="Orig6" localSheetId="12">[4]Request!$L$130</definedName>
    <definedName name="Orig7" localSheetId="12">[4]Request!$L$131</definedName>
    <definedName name="Orig8" localSheetId="12">[4]Request!$L$132</definedName>
    <definedName name="Orig9" localSheetId="12">[4]Request!$L$133</definedName>
    <definedName name="Origin" localSheetId="12">[4]Request!$B$124</definedName>
    <definedName name="Origin_Countries" localSheetId="12">[4]Request!$L$125:$L$150</definedName>
    <definedName name="Origin_Country_Code" localSheetId="12">[4]Countries!$G$4:$H$224</definedName>
    <definedName name="Origin_Country_Name_Code" localSheetId="12">[4]Countries!$B$4:$C$224</definedName>
    <definedName name="Origin_Scenario" localSheetId="12">[4]Request!$E$76</definedName>
    <definedName name="parcels" localSheetId="12">#REF!</definedName>
    <definedName name="Password" localSheetId="12">[4]TempVariables!$O$3</definedName>
    <definedName name="Payor_Acct1" localSheetId="12">[4]Request!$I$23</definedName>
    <definedName name="Payor_Acct2" localSheetId="12">[4]Request!$I$25</definedName>
    <definedName name="Payor_Acct3" localSheetId="12">[4]Request!$I$27</definedName>
    <definedName name="Payor_Country" localSheetId="12">[4]Request!$M$19</definedName>
    <definedName name="Payor_Table" localSheetId="12">[4]Countries!$HI$4:$HR$101</definedName>
    <definedName name="PayorRgn" localSheetId="12">[4]Request!$P$15</definedName>
    <definedName name="PNH" localSheetId="12">#REF!</definedName>
    <definedName name="Pricing_Requested" localSheetId="12">[4]Request!$A$33</definedName>
    <definedName name="Product" localSheetId="12">[7]control!$N$27:$N$38</definedName>
    <definedName name="Provinces_Cities" localSheetId="12">[4]Request!$E$125:$E$150</definedName>
    <definedName name="Range1" localSheetId="12">#REF!</definedName>
    <definedName name="Region" localSheetId="12">[4]Request!$O$16</definedName>
    <definedName name="Region_Rev" localSheetId="12">[4]Request!$E$112:$E$116</definedName>
    <definedName name="RO" localSheetId="12">#REF!</definedName>
    <definedName name="road" localSheetId="12">#REF!</definedName>
    <definedName name="RTH" localSheetId="12">#REF!</definedName>
    <definedName name="Sales_AE" localSheetId="12">[4]Request!$B$21</definedName>
    <definedName name="Sales_Manager" localSheetId="12">[4]Request!$B$19</definedName>
    <definedName name="SDAALL" localSheetId="12">'[11]Customer Info'!$V$15</definedName>
    <definedName name="Service_IE" localSheetId="12">[4]Request!$R$46</definedName>
    <definedName name="Service_IE_IEF" localSheetId="12">[4]Request!$R$47</definedName>
    <definedName name="Service_IEF" localSheetId="12">[4]Request!$S$46</definedName>
    <definedName name="Service_IP" localSheetId="12">[4]Request!$P$46</definedName>
    <definedName name="Service_IP_IPF" localSheetId="12">[4]Request!$P$47</definedName>
    <definedName name="Service_IPF" localSheetId="12">[4]Request!$Q$46</definedName>
    <definedName name="Service_Type" localSheetId="12">[4]Request!$L$48</definedName>
    <definedName name="Services_Requested" localSheetId="12">[4]Request!$A$42</definedName>
    <definedName name="Ship_Locations" localSheetId="12">[4]Request!$M$125:$M$150</definedName>
    <definedName name="Ship_Tender" localSheetId="12">[4]Request!$E$68</definedName>
    <definedName name="Show9DigitAccts" localSheetId="12">[4]TempVariables!$J$3</definedName>
    <definedName name="SlsChan" localSheetId="12">[7]control!$B$27:$B$28</definedName>
    <definedName name="Spec_Op" localSheetId="12">[4]Request!$A$72</definedName>
    <definedName name="StartMonth" localSheetId="12">[4]TempVariables!$G$3</definedName>
    <definedName name="Strategy" localSheetId="12">[4]Request!$A$108</definedName>
    <definedName name="SurchargeType" localSheetId="12">[7]control!$I$27:$I$32</definedName>
    <definedName name="TABLE" localSheetId="12">#REF!</definedName>
    <definedName name="TempVariables" localSheetId="12">[4]TempVariables!$A$1</definedName>
    <definedName name="Tier" localSheetId="12">'[12]Portfolio Discount'!#REF!</definedName>
    <definedName name="Tot_Annual_Rev" localSheetId="12">[4]Request!$E$117</definedName>
    <definedName name="USAcctsOnly" localSheetId="12">[4]TempVariables!$I$3</definedName>
    <definedName name="UserID" localSheetId="12">[4]TempVariables!$N$3</definedName>
    <definedName name="Value_2K" localSheetId="12">[4]Request!$E$88</definedName>
    <definedName name="values" localSheetId="12">[4]Request!$L$16:$O$150</definedName>
    <definedName name="WtMetric" localSheetId="12">[4]Request!$B$25</definedName>
    <definedName name="YN" localSheetId="12">[7]control!$P$27:$P$28</definedName>
    <definedName name="zone" localSheetId="12">#REF!</definedName>
    <definedName name="ZonedOut" localSheetId="12">[7]rates_input!$R$5:$Z$8</definedName>
    <definedName name="ZonedOut1" localSheetId="12">[7]rates_input!$I$6:$Z$8</definedName>
    <definedName name="ZonedOut2" localSheetId="12">[7]rates_input!$I$7:$Z$8</definedName>
    <definedName name="ZONELU" localSheetId="12">[11]SURCHARGES!$B$9:$D$59</definedName>
    <definedName name="Zones" localSheetId="12">#REF!,#REF!,#REF!,#REF!</definedName>
    <definedName name="Zones_New" localSheetId="12">[7]zones_input!$B$1:$G$65536</definedName>
    <definedName name="_Fill" localSheetId="13" hidden="1">[2]Express!#REF!</definedName>
    <definedName name="_Key1" localSheetId="13" hidden="1">#REF!</definedName>
    <definedName name="_Loc1" localSheetId="13">[3]Request!$M$125</definedName>
    <definedName name="_Loc10" localSheetId="13">[4]Request!$M$134</definedName>
    <definedName name="_Loc11" localSheetId="13">[4]Request!$M$135</definedName>
    <definedName name="_Loc12" localSheetId="13">[4]Request!$M$136</definedName>
    <definedName name="_Loc13" localSheetId="13">[4]Request!$M$137</definedName>
    <definedName name="_Loc14" localSheetId="13">[4]Request!$M$138</definedName>
    <definedName name="_Loc15" localSheetId="13">[4]Request!$M$139</definedName>
    <definedName name="_Loc16" localSheetId="13">[4]Request!$M$140</definedName>
    <definedName name="_Loc17" localSheetId="13">[4]Request!$M$141</definedName>
    <definedName name="_Loc18" localSheetId="13">[4]Request!$M$142</definedName>
    <definedName name="_Loc19" localSheetId="13">[4]Request!$M$143</definedName>
    <definedName name="_Loc2" localSheetId="13">[4]Request!$M$126</definedName>
    <definedName name="_Loc20" localSheetId="13">[4]Request!$M$144</definedName>
    <definedName name="_Loc21" localSheetId="13">[4]Request!$M$145</definedName>
    <definedName name="_Loc22" localSheetId="13">[4]Request!$M$146</definedName>
    <definedName name="_Loc23" localSheetId="13">[4]Request!$M$147</definedName>
    <definedName name="_Loc24" localSheetId="13">[4]Request!$M$148</definedName>
    <definedName name="_Loc25" localSheetId="13">[4]Request!$M$149</definedName>
    <definedName name="_Loc26" localSheetId="13">[4]Request!$M$150</definedName>
    <definedName name="_Loc3" localSheetId="13">[4]Request!$M$127</definedName>
    <definedName name="_Loc4" localSheetId="13">[4]Request!$M$128</definedName>
    <definedName name="_Loc5" localSheetId="13">[4]Request!$M$129</definedName>
    <definedName name="_Loc6" localSheetId="13">[4]Request!$M$130</definedName>
    <definedName name="_Loc7" localSheetId="13">[4]Request!$M$131</definedName>
    <definedName name="_Loc8" localSheetId="13">[4]Request!$M$132</definedName>
    <definedName name="_Loc9" localSheetId="13">[4]Request!$M$133</definedName>
    <definedName name="_Sort" localSheetId="13" hidden="1">[1]Express!#REF!</definedName>
    <definedName name="a" localSheetId="13" hidden="1">[1]Express!#REF!</definedName>
    <definedName name="Account" localSheetId="13">[4]Request!$B$17</definedName>
    <definedName name="Acct_number" localSheetId="13">[5]Summary!$E$2</definedName>
    <definedName name="AFD" localSheetId="13">#REF!</definedName>
    <definedName name="Agent" localSheetId="13">[4]Request!$A$60</definedName>
    <definedName name="Agent_Comm" localSheetId="13">[4]Request!$E$64</definedName>
    <definedName name="Agent_Delivery" localSheetId="13">[4]Request!$O$62</definedName>
    <definedName name="Agent_Involved" localSheetId="13">[4]Request!$P$62</definedName>
    <definedName name="Agent_Pickup" localSheetId="13">[4]Request!$N$62</definedName>
    <definedName name="Agent_Services" localSheetId="13">[4]Request!$E$66</definedName>
    <definedName name="AgentQ" localSheetId="13">[4]Request!$L$62</definedName>
    <definedName name="AllDiscountArea" localSheetId="13">[6]Discounts!$D$15:$Q$16,[6]Discounts!$S$15:$T$16,[6]Discounts!$D$22:$M$22,[6]Discounts!$O$22:$P$22,[6]Discounts!$T$22:$T$22,[6]Discounts!$D$29:$D$30,[6]Discounts!$F$29:$Q$30,[6]Discounts!$T$29:$T$30,[6]Discounts!$D$36:$D$36,[6]Discounts!$F$36:$M$36,[6]Discounts!$O$36:$P$36,[6]Discounts!$T$36:$T$36</definedName>
    <definedName name="Alph_countries" localSheetId="13">[7]zones_input!$A$2:$A$214</definedName>
    <definedName name="anakg" localSheetId="13">'[4]Shipments - kg current'!$D$1</definedName>
    <definedName name="analb" localSheetId="13">'[4]Shipments - lb current'!$D$1</definedName>
    <definedName name="ApDsctKgADNR" localSheetId="13">#REF!</definedName>
    <definedName name="ApDsctKgComm" localSheetId="13">#REF!</definedName>
    <definedName name="ApDsctKgH1" localSheetId="13">#REF!</definedName>
    <definedName name="ApDsctKgH2" localSheetId="13">#REF!</definedName>
    <definedName name="ApDsctKgIEAppCurDisct" localSheetId="13">#REF!</definedName>
    <definedName name="ApDsctKgIEAppMin" localSheetId="13">#REF!</definedName>
    <definedName name="ApDsctKgIEReqCurDisct" localSheetId="13">#REF!</definedName>
    <definedName name="ApDsctKgIEReqMin" localSheetId="13">#REF!</definedName>
    <definedName name="ApDsctKgIERestore" localSheetId="13">#REF!</definedName>
    <definedName name="ApDsctKgIPAppCurDisct" localSheetId="13">#REF!</definedName>
    <definedName name="ApDsctKgIPAppMin" localSheetId="13">#REF!</definedName>
    <definedName name="ApDsctKgIPReqCurDisct" localSheetId="13">#REF!</definedName>
    <definedName name="ApDsctKgIPReqMin" localSheetId="13">#REF!</definedName>
    <definedName name="ApDsctKgIPRestore" localSheetId="13">#REF!</definedName>
    <definedName name="ApDsctKgLR" localSheetId="13">#REF!</definedName>
    <definedName name="ApDsctKgLR1" localSheetId="13">#REF!</definedName>
    <definedName name="ApDsctKgQ1" localSheetId="13">#REF!</definedName>
    <definedName name="ApDsctKgQ10" localSheetId="13">#REF!</definedName>
    <definedName name="ApDsctKgQ2" localSheetId="13">#REF!</definedName>
    <definedName name="ApDsctKgQ3" localSheetId="13">#REF!</definedName>
    <definedName name="ApDsctKgQ4" localSheetId="13">#REF!</definedName>
    <definedName name="ApDsctKgQ5" localSheetId="13">#REF!</definedName>
    <definedName name="ApDsctKgQ6" localSheetId="13">#REF!</definedName>
    <definedName name="ApDsctKgQ7" localSheetId="13">#REF!</definedName>
    <definedName name="ApDsctKgQ8" localSheetId="13">#REF!</definedName>
    <definedName name="ApDsctKgQ9" localSheetId="13">#REF!</definedName>
    <definedName name="ApDsctKgRMIE" localSheetId="13">#REF!</definedName>
    <definedName name="ApDsctKgRMIP" localSheetId="13">#REF!</definedName>
    <definedName name="ApDsctKgSIE" localSheetId="13">#REF!</definedName>
    <definedName name="ApDsctKgSIP" localSheetId="13">#REF!</definedName>
    <definedName name="ApDsctLbADNR" localSheetId="13">'[4]Approved Discts-lb'!$F$7:$AE$7</definedName>
    <definedName name="ApDsctLbComm" localSheetId="13">'[4]Approved Discts-lb'!$F$159</definedName>
    <definedName name="ApDsctLbH1" localSheetId="13">'[4]Approved Discts-lb'!$F$3:$H$4</definedName>
    <definedName name="ApDsctLbH2" localSheetId="13">'[4]Approved Discts-lb'!$Z$3:$Z$4</definedName>
    <definedName name="ApDsctLbIEAppCurDisct" localSheetId="13">'[4]Approved Discts-lb'!$A$111:$AE$114</definedName>
    <definedName name="ApDsctLbIEAppMin" localSheetId="13">'[4]Approved Discts-lb'!$A$108:$AE$110</definedName>
    <definedName name="ApDsctLbIEReqCurDisct" localSheetId="13">'[4]Approved Discts-lb'!$A$85:$AE$88</definedName>
    <definedName name="ApDsctLbIEReqMin" localSheetId="13">'[4]Approved Discts-lb'!$B$82:$AE$84</definedName>
    <definedName name="ApDsctLbIERestore" localSheetId="13">'[4]Approved Discts-lb'!$F$364:$AE$387</definedName>
    <definedName name="ApDsctLbIPAppCurDisct" localSheetId="13">'[4]Approved Discts-lb'!$A$50:$AE$55</definedName>
    <definedName name="ApDsctLbIPAppMin" localSheetId="13">'[4]Approved Discts-lb'!$A$45:$AE$49</definedName>
    <definedName name="ApDsctLbIPReqCurDisct" localSheetId="13">'[4]Approved Discts-lb'!$A$18:$AE$23</definedName>
    <definedName name="ApDsctLbIPReqMin" localSheetId="13">'[4]Approved Discts-lb'!$A$13:$AE$17</definedName>
    <definedName name="ApDsctLbIPRestore" localSheetId="13">'[4]Approved Discts-lb'!$F$326:$AE$355</definedName>
    <definedName name="ApDsctLbLR" localSheetId="13">'[4]Approved Discts-lb'!$F$11:$AE$11</definedName>
    <definedName name="ApDsctLbLR1" localSheetId="13">'[4]Approved Discts-lb'!$F$81:$AE$81</definedName>
    <definedName name="ApDsctLbQ1" localSheetId="13">'[4]Approved Discts-lb'!$AG$134</definedName>
    <definedName name="ApDsctLbQ10" localSheetId="13">'[4]Approved Discts-lb'!$AG$154</definedName>
    <definedName name="ApDsctLbQ2" localSheetId="13">'[4]Approved Discts-lb'!$AG$136</definedName>
    <definedName name="ApDsctLbQ3" localSheetId="13">'[4]Approved Discts-lb'!$AG$138</definedName>
    <definedName name="ApDsctLbQ4" localSheetId="13">'[4]Approved Discts-lb'!$AG$141</definedName>
    <definedName name="ApDsctLbQ5" localSheetId="13">'[4]Approved Discts-lb'!$AG$143</definedName>
    <definedName name="ApDsctLbQ6" localSheetId="13">'[4]Approved Discts-lb'!$AG$145</definedName>
    <definedName name="ApDsctLbQ7" localSheetId="13">'[4]Approved Discts-lb'!$AG$147</definedName>
    <definedName name="ApDsctLbQ8" localSheetId="13">'[4]Approved Discts-lb'!$AG$149</definedName>
    <definedName name="ApDsctLbQ9" localSheetId="13">'[4]Approved Discts-lb'!$AG$151</definedName>
    <definedName name="ApDsctLbRMIE" localSheetId="13">'[4]Approved Discts-lb'!$F$109:$AE$132</definedName>
    <definedName name="ApDsctLbRMIP" localSheetId="13">'[4]Approved Discts-lb'!$F$46:$AE$75</definedName>
    <definedName name="ApDsctLbSIE" localSheetId="13">'[4]Approved Discts-lb'!$F$83:$AE$106</definedName>
    <definedName name="ApDsctLbSIP" localSheetId="13">'[4]Approved Discts-lb'!$F$14:$AE$43</definedName>
    <definedName name="Approval" localSheetId="13">[4]Request!$P$16</definedName>
    <definedName name="Bill_3P" localSheetId="13">[4]Request!$M$29</definedName>
    <definedName name="Bill_Consignee" localSheetId="13">[4]Request!$L$29</definedName>
    <definedName name="Billing_Option" localSheetId="13">[4]Request!$A$29</definedName>
    <definedName name="Business_Type" localSheetId="13">[4]Request!$G$31</definedName>
    <definedName name="BWE" localSheetId="13">[4]TempVariables!$K$3</definedName>
    <definedName name="Chk_Origin_Cntry" localSheetId="13">[4]Request!$L$151</definedName>
    <definedName name="Chk_Provinces_Cities" localSheetId="13">[4]Request!$S$151</definedName>
    <definedName name="Chk_Ship_Loc" localSheetId="13">[4]Request!$R$151</definedName>
    <definedName name="Clearance_Reqd" localSheetId="13">[4]Request!$A$82</definedName>
    <definedName name="Commodity1" localSheetId="13">[4]Request!$I$48</definedName>
    <definedName name="Commodity2" localSheetId="13">[4]Request!$I$49</definedName>
    <definedName name="Competitor" localSheetId="13">[4]Request!$I$54</definedName>
    <definedName name="CONTDE" localSheetId="13">#REF!</definedName>
    <definedName name="CONTFD" localSheetId="13">#REF!</definedName>
    <definedName name="CONTFE" localSheetId="13">#REF!</definedName>
    <definedName name="CONTPD" localSheetId="13">#REF!</definedName>
    <definedName name="CONTPE" localSheetId="13">#REF!</definedName>
    <definedName name="countries" localSheetId="13">[7]zones_input!$A$2:$C$202</definedName>
    <definedName name="country_selection" localSheetId="13">[7]control!$S$4:$S$5</definedName>
    <definedName name="CSource" localSheetId="13">[7]control!$D$27:$D$29</definedName>
    <definedName name="Cur_Disct" localSheetId="13">[4]Request!$P$19</definedName>
    <definedName name="Curr_and_Incr" localSheetId="13">[4]Request!$R$32</definedName>
    <definedName name="Curr_Incr" localSheetId="13">[4]Request!$M$32</definedName>
    <definedName name="Current" localSheetId="13">'[4]Shipments - current'!$E$4:$Z$65536</definedName>
    <definedName name="Current_Only" localSheetId="13">[4]Request!$P$32</definedName>
    <definedName name="CurrentDetail" localSheetId="13">'[4]Shipments - current'!$A$3</definedName>
    <definedName name="CurrentDetailEnd" localSheetId="13">'[4]Shipments - current'!$AH$3</definedName>
    <definedName name="Cust_Clear" localSheetId="13">[4]Request!$P$84</definedName>
    <definedName name="CustClearQ" localSheetId="13">[4]Request!$L$84</definedName>
    <definedName name="Customer" localSheetId="13">[8]Summary!$B$1</definedName>
    <definedName name="Date1" localSheetId="13">[4]Request!$P$17</definedName>
    <definedName name="Date2" localSheetId="13">[4]Request!$Q$17</definedName>
    <definedName name="Declared_Value" localSheetId="13">[4]Request!$E$89</definedName>
    <definedName name="Dest_Countries" localSheetId="13">[4]Request!$N$125:$N$150</definedName>
    <definedName name="Dest_Country_Copy" localSheetId="13">[4]Request!$R$19</definedName>
    <definedName name="Dest_Scenario" localSheetId="13">[4]Request!$E$78</definedName>
    <definedName name="Dest1" localSheetId="13">[4]Request!$N$125</definedName>
    <definedName name="Dest10" localSheetId="13">[4]Request!$N$134</definedName>
    <definedName name="Dest11" localSheetId="13">[4]Request!$N$135</definedName>
    <definedName name="Dest12" localSheetId="13">[4]Request!$N$136</definedName>
    <definedName name="Dest13" localSheetId="13">[4]Request!$N$137</definedName>
    <definedName name="Dest14" localSheetId="13">[4]Request!$N$138</definedName>
    <definedName name="Dest15" localSheetId="13">[4]Request!$N$139</definedName>
    <definedName name="Dest16" localSheetId="13">[4]Request!$N$140</definedName>
    <definedName name="Dest17" localSheetId="13">[4]Request!$N$141</definedName>
    <definedName name="Dest18" localSheetId="13">[4]Request!$N$142</definedName>
    <definedName name="Dest19" localSheetId="13">[4]Request!$N$143</definedName>
    <definedName name="Dest2" localSheetId="13">[4]Request!$N$126</definedName>
    <definedName name="Dest20" localSheetId="13">[4]Request!$N$144</definedName>
    <definedName name="Dest21" localSheetId="13">[4]Request!$N$145</definedName>
    <definedName name="Dest22" localSheetId="13">[4]Request!$N$146</definedName>
    <definedName name="Dest23" localSheetId="13">[4]Request!$N$147</definedName>
    <definedName name="Dest24" localSheetId="13">[4]Request!$N$148</definedName>
    <definedName name="Dest25" localSheetId="13">[4]Request!$N$149</definedName>
    <definedName name="Dest26" localSheetId="13">[4]Request!$N$150</definedName>
    <definedName name="Dest3" localSheetId="13">[4]Request!$N$127</definedName>
    <definedName name="Dest4" localSheetId="13">[4]Request!$N$128</definedName>
    <definedName name="Dest5" localSheetId="13">[4]Request!$N$129</definedName>
    <definedName name="Dest6" localSheetId="13">[4]Request!$N$130</definedName>
    <definedName name="Dest7" localSheetId="13">[4]Request!$N$131</definedName>
    <definedName name="Dest8" localSheetId="13">[4]Request!$N$132</definedName>
    <definedName name="Dest9" localSheetId="13">[4]Request!$N$133</definedName>
    <definedName name="Division" localSheetId="13">[7]control!$O$27:$O$28</definedName>
    <definedName name="DOT" localSheetId="13">[7]control!$L$27:$L$29</definedName>
    <definedName name="dox" localSheetId="13">#REF!</definedName>
    <definedName name="dsfd" localSheetId="13">#REF!</definedName>
    <definedName name="EndMonth" localSheetId="13">[4]TempVariables!$H$3</definedName>
    <definedName name="ExDocDisc" localSheetId="13">[6]Discounts!$D$15:$Q$15,[6]Discounts!$S$15:$T$15</definedName>
    <definedName name="ExNDocDisc" localSheetId="13">[6]Discounts!$D$16:$Q$16,[6]Discounts!$S$16:$T$16,[6]Discounts!$D$22:$M$22,[6]Discounts!$O$22:$P$22,[6]Discounts!$T$22:$T$22</definedName>
    <definedName name="Expt638" localSheetId="13">#REF!</definedName>
    <definedName name="ExptPrepaid" localSheetId="13">'[10]Expt Disc prepaid'!#REF!</definedName>
    <definedName name="FDX" localSheetId="13">[4]Request!$A$50</definedName>
    <definedName name="FDX_Shpmts" localSheetId="13">[4]Request!$P$52</definedName>
    <definedName name="FXShpQ" localSheetId="13">[4]Request!$L$52</definedName>
    <definedName name="GroundWB" localSheetId="13">'[11]Customer Info'!$Y$20:$AB$26</definedName>
    <definedName name="GrpExcl_ll" localSheetId="13">[4]TempVariables!$D$2</definedName>
    <definedName name="GrpExcl_ul" localSheetId="13">[4]TempVariables!$E$2</definedName>
    <definedName name="GrpIncl_ll" localSheetId="13">[4]TempVariables!$B$2</definedName>
    <definedName name="GrpIncl_ul" localSheetId="13">[4]TempVariables!$C$2</definedName>
    <definedName name="Header" localSheetId="13">'[9]Expt Disc prepaid'!#REF!</definedName>
    <definedName name="home" localSheetId="13">[4]Request!$B$17</definedName>
    <definedName name="ImDocDisc" localSheetId="13">[6]Discounts!$D$29,[6]Discounts!$F$29:$Q$29,[6]Discounts!$T$29</definedName>
    <definedName name="IMListRates" localSheetId="13">#REF!</definedName>
    <definedName name="ImNDocDisc" localSheetId="13">[6]Discounts!$D$30:$D$30,[6]Discounts!$F$30:$Q$30,[6]Discounts!$T$30:$T$30,[6]Discounts!$D$36:$D$36,[6]Discounts!$F$36:$M$36,[6]Discounts!$O$36:$P$36,[6]Discounts!$T$36:$T$36</definedName>
    <definedName name="Import" localSheetId="13">[4]Request!$Q$33</definedName>
    <definedName name="Import_Pricing" localSheetId="13">#REF!</definedName>
    <definedName name="Impt_Inbnd" localSheetId="13">[4]Request!$L$33</definedName>
    <definedName name="ImptCheck" localSheetId="13">[4]Request!$Q$19</definedName>
    <definedName name="Inbound" localSheetId="13">[4]Request!$P$33</definedName>
    <definedName name="Inbound_Pricing" localSheetId="13">#REF!</definedName>
    <definedName name="Incremental_Only" localSheetId="13">[4]Request!$Q$32</definedName>
    <definedName name="IZ" localSheetId="13">#REF!</definedName>
    <definedName name="Kg_Apprv_Dt" localSheetId="13">#REF!</definedName>
    <definedName name="Kg_APPS_Chk" localSheetId="13">'[4]Shipments - kg'!$A$1138</definedName>
    <definedName name="Kg_AWPS_Chk" localSheetId="13">'[4]Shipments - kg'!$A$1117</definedName>
    <definedName name="Kg_Cntry_Disct" localSheetId="13">'[4]Discounts - kg'!$AB$108</definedName>
    <definedName name="kg_Disc_Edit_Check" localSheetId="13">#REF!</definedName>
    <definedName name="Kg_Discts" localSheetId="13">'[4]Discounts - kg'!$A$16:$IV$98</definedName>
    <definedName name="Kg_Dsc_Cntry" localSheetId="13">'[4]Discounts - kg'!$A$1:$IV$15</definedName>
    <definedName name="Kg_Dsc_IE_Cur_Disct" localSheetId="13">'[4]Discounts - kg'!$A$68:$IV$75</definedName>
    <definedName name="Kg_Dsc_IE_Hdr" localSheetId="13">'[4]Discounts - kg'!$A$60:$IV$62</definedName>
    <definedName name="Kg_Dsc_IE_Min_Hdr" localSheetId="13">'[4]Discounts - kg'!$A$63:$IV$64</definedName>
    <definedName name="Kg_Dsc_IE_Min_IE" localSheetId="13">'[4]Discounts - kg'!$A$65:$IV$65</definedName>
    <definedName name="Kg_Dsc_IE_Min_IEF" localSheetId="13">'[4]Discounts - kg'!$A$66:$IV$67</definedName>
    <definedName name="Kg_Dsc_IE_Pct_Disct" localSheetId="13">'[4]Discounts - kg'!$A$76:$IV$92</definedName>
    <definedName name="Kg_Dsc_IEF_Pct_Disct" localSheetId="13">'[4]Discounts - kg'!$A$93:$IV$99</definedName>
    <definedName name="Kg_Dsc_IP_Cur_Disct" localSheetId="13">'[4]Discounts - kg'!$A$25:$IV$31</definedName>
    <definedName name="Kg_Dsc_IP_Hdr" localSheetId="13">'[4]Discounts - kg'!$A$16:$IV$17</definedName>
    <definedName name="Kg_Dsc_IP_Min_Hdr" localSheetId="13">'[4]Discounts - kg'!$A$18:$IV$19</definedName>
    <definedName name="Kg_Dsc_IP_Min_IP" localSheetId="13">'[4]Discounts - kg'!$A$20:$IV$22</definedName>
    <definedName name="Kg_Dsc_IP_Min_IPF" localSheetId="13">'[4]Discounts - kg'!$A$23:$IV$24</definedName>
    <definedName name="Kg_Dsc_IP_Pct_Disct" localSheetId="13">'[4]Discounts - kg'!$A$32:$IV$50</definedName>
    <definedName name="Kg_Dsc_IPF_Pct_Disct" localSheetId="13">'[4]Discounts - kg'!$A$51:$IV$59</definedName>
    <definedName name="Kg_Dsc_Origin_Cntry" localSheetId="13">'[4]Discounts - kg'!$B$7:$AA$7</definedName>
    <definedName name="Kg_Incr_Shp_IE" localSheetId="13">'[4]Shipments - kg'!$A$162</definedName>
    <definedName name="Kg_Incr_Shp_IEF" localSheetId="13">'[4]Shipments - kg'!$A$163</definedName>
    <definedName name="Kg_Incr_Shp_IP" localSheetId="13">'[4]Shipments - kg'!$A$160</definedName>
    <definedName name="Kg_Incr_Shp_IPF" localSheetId="13">'[4]Shipments - kg'!$A$161</definedName>
    <definedName name="Kg_Rng_Cur_Disct_IE" localSheetId="13">'[4]Discounts - kg'!$B$72:$AA$74</definedName>
    <definedName name="Kg_Rng_Cur_Disct_IP" localSheetId="13">'[4]Discounts - kg'!$B$26:$AA$30</definedName>
    <definedName name="Kg_Rng_Disct_IE" localSheetId="13">'[4]Discounts - kg'!$B$78:$AA$84</definedName>
    <definedName name="Kg_Rng_Disct_IEF" localSheetId="13">'[4]Discounts - kg'!$B$94:$AA$98</definedName>
    <definedName name="Kg_Rng_Disct_IEHW" localSheetId="13">'[4]Discounts - kg'!$B$87:$AA$91</definedName>
    <definedName name="Kg_Rng_Disct_IP" localSheetId="13">'[4]Discounts - kg'!$B$34:$AA$42</definedName>
    <definedName name="Kg_Rng_Disct_IPF" localSheetId="13">'[4]Discounts - kg'!$B$52:$AA$56</definedName>
    <definedName name="Kg_Rng_Disct_IPHW" localSheetId="13">'[4]Discounts - kg'!$B$45:$AA$49</definedName>
    <definedName name="Kg_Rng_Disct_Min_IE" localSheetId="13">'[4]Discounts - kg'!$B$65:$AA$66</definedName>
    <definedName name="Kg_Rng_Disct_Min_IP" localSheetId="13">'[4]Discounts - kg'!$B$20:$AA$23</definedName>
    <definedName name="Kg_Rng_Shpmts_APPS_IE" localSheetId="13">'[4]Shipments - kg'!$C$119:$AB$129</definedName>
    <definedName name="Kg_Rng_Shpmts_APPS_IEF" localSheetId="13">'[4]Shipments - kg'!$C$131:$AB$135</definedName>
    <definedName name="Kg_Rng_Shpmts_APPS_IP" localSheetId="13">'[4]Shipments - kg'!$C$53:$AB$63</definedName>
    <definedName name="Kg_Rng_Shpmts_APPS_IPF" localSheetId="13">'[4]Shipments - kg'!$C$65:$AB$69</definedName>
    <definedName name="Kg_Rng_Shpmts_AWPS_IE" localSheetId="13">'[4]Shipments - kg'!$C$99:$AB$109</definedName>
    <definedName name="Kg_Rng_Shpmts_AWPS_IEF" localSheetId="13">'[4]Shipments - kg'!$C$111:$AB$115</definedName>
    <definedName name="Kg_Rng_Shpmts_AWPS_IP" localSheetId="13">'[4]Shipments - kg'!$C$34:$AB$44</definedName>
    <definedName name="Kg_Rng_Shpmts_AWPS_IPF" localSheetId="13">'[4]Shipments - kg'!$C$46:$AB$50</definedName>
    <definedName name="Kg_Rng_Shpmts_Incr_IE" localSheetId="13">'[4]Shipments - kg'!$C$75:$AB$86</definedName>
    <definedName name="Kg_Rng_Shpmts_Incr_IEF" localSheetId="13">'[4]Shipments - kg'!$C$88:$AB$92</definedName>
    <definedName name="Kg_Rng_Shpmts_Incr_IP" localSheetId="13">'[4]Shipments - kg'!$C$10:$AB$23</definedName>
    <definedName name="Kg_Rng_Shpmts_Incr_IPF" localSheetId="13">'[4]Shipments - kg'!$C$25:$AB$29</definedName>
    <definedName name="Kg_Shp_Cntry" localSheetId="13">'[4]Shipments - kg'!$A$1:$IV$8</definedName>
    <definedName name="Kg_Shp_IE_APPS" localSheetId="13">'[4]Shipments - kg'!$A$117:$IV$129</definedName>
    <definedName name="Kg_Shp_IE_AWPS" localSheetId="13">'[4]Shipments - kg'!$A$97:$IV$109</definedName>
    <definedName name="Kg_Shp_IE_Incr" localSheetId="13">'[4]Shipments - kg'!$A$72:$IV$86</definedName>
    <definedName name="Kg_Shp_IE_Tot" localSheetId="13">'[4]Shipments - kg'!$A$93:$IV$96</definedName>
    <definedName name="Kg_Shp_IEF_APPS" localSheetId="13">'[4]Shipments - kg'!$A$130:$IV$136</definedName>
    <definedName name="Kg_Shp_IEF_APPS_Hdr" localSheetId="13">'[4]Shipments - kg'!$A$117:$IV$118</definedName>
    <definedName name="Kg_Shp_IEF_AWPS" localSheetId="13">'[4]Shipments - kg'!$A$110:$IV$116</definedName>
    <definedName name="Kg_Shp_IEF_AWPS_Hdr" localSheetId="13">'[4]Shipments - kg'!$A$97:$IV$98</definedName>
    <definedName name="Kg_Shp_IEF_Incr" localSheetId="13">'[4]Shipments - kg'!$A$87:$IV$92</definedName>
    <definedName name="Kg_Shp_IEF_Incr_Hdr" localSheetId="13">'[4]Shipments - kg'!$A$72:$IV$73</definedName>
    <definedName name="Kg_Shp_IP_APPS" localSheetId="13">'[4]Shipments - kg'!$A$51:$IV$63</definedName>
    <definedName name="Kg_Shp_IP_AWPS" localSheetId="13">'[4]Shipments - kg'!$A$33:$IV$44</definedName>
    <definedName name="Kg_Shp_IP_Incr" localSheetId="13">'[4]Shipments - kg'!$A$9:$IV$23</definedName>
    <definedName name="Kg_Shp_IP_Tot" localSheetId="13">'[4]Shipments - kg'!$A$30:$IV$32</definedName>
    <definedName name="Kg_Shp_IPF_APPS" localSheetId="13">'[4]Shipments - kg'!$A$64:$IV$71</definedName>
    <definedName name="Kg_Shp_IPF_APPS_Hdr" localSheetId="13">'[4]Shipments - kg'!$A$51:$IV$52</definedName>
    <definedName name="Kg_Shp_IPF_AWPS" localSheetId="13">'[4]Shipments - kg'!$A$45:$IV$50</definedName>
    <definedName name="Kg_Shp_IPF_AWPS_Hdr" localSheetId="13">'[4]Shipments - kg'!$A$33:$IV$33</definedName>
    <definedName name="Kg_Shp_IPF_Incr" localSheetId="13">'[4]Shipments - kg'!$A$24:$IV$29</definedName>
    <definedName name="Kg_Shp_IPF_Incr_Hdr" localSheetId="13">'[4]Shipments - kg'!$A$9:$IV$9</definedName>
    <definedName name="Kg_Shp_Origin_Cntry" localSheetId="13">'[4]Shipments - kg'!$C$6:$AB$6</definedName>
    <definedName name="Kg_Shpmt_Cntry" localSheetId="13">'[4]Shipments - kg'!$AD$140</definedName>
    <definedName name="Kg_Shpmt_Disct" localSheetId="13">'[4]Discounts - kg'!$A$200</definedName>
    <definedName name="Kg_Shpmts" localSheetId="13">'[4]Shipments - kg'!$A$9:$IV$135</definedName>
    <definedName name="Kg_Shpmts_AWPS_Reset" localSheetId="13">'[4]Shipments - kg'!$A$500</definedName>
    <definedName name="Kg_Shpmts_AWPS_Reset1" localSheetId="13">'[4]Shipments - kg'!$A$501</definedName>
    <definedName name="Kilograms" localSheetId="13">[4]Request!$P$25</definedName>
    <definedName name="Lb_Apprv_Dt" localSheetId="13">'[4]Approved Discts-lb'!$F$3</definedName>
    <definedName name="Lb_APPS_Chk" localSheetId="13">'[4]Shipments - lb'!$A$1138</definedName>
    <definedName name="Lb_AWPS_Chk" localSheetId="13">'[4]Shipments - lb'!$A$1117</definedName>
    <definedName name="Lb_Cntry_Disct" localSheetId="13">'[4]Discounts - lb'!$AB$108</definedName>
    <definedName name="lb_Disc_Edit_Check" localSheetId="13">'[4]Approved Discts-lb'!$AF$259</definedName>
    <definedName name="Lb_Discts" localSheetId="13">'[4]Discounts - lb'!$A$16:$IV$98</definedName>
    <definedName name="Lb_Dsc_Cntry" localSheetId="13">'[4]Discounts - lb'!$A$1:$IV$15</definedName>
    <definedName name="Lb_Dsc_IE_Cur_Disct" localSheetId="13">'[4]Discounts - lb'!$A$68:$IV$75</definedName>
    <definedName name="Lb_Dsc_IE_Hdr" localSheetId="13">'[4]Discounts - lb'!$A$60:$IV$62</definedName>
    <definedName name="Lb_Dsc_IE_Min_Hdr" localSheetId="13">'[4]Discounts - lb'!$A$63:$IV$64</definedName>
    <definedName name="Lb_Dsc_IE_Min_IE" localSheetId="13">'[4]Discounts - lb'!$A$65:$IV$65</definedName>
    <definedName name="Lb_Dsc_IE_Min_IEF" localSheetId="13">'[4]Discounts - lb'!$A$66:$IV$67</definedName>
    <definedName name="Lb_Dsc_IE_Pct_Disct" localSheetId="13">'[4]Discounts - lb'!$A$76:$IV$92</definedName>
    <definedName name="Lb_Dsc_IEF_Pct_Disct" localSheetId="13">'[4]Discounts - lb'!$A$93:$IV$99</definedName>
    <definedName name="Lb_Dsc_IEF8" localSheetId="13">'[4]Discounts - lb'!$A$94:$IV$94</definedName>
    <definedName name="Lb_Dsc_IP_Cur_Disct" localSheetId="13">'[4]Discounts - lb'!$A$25:$IV$31</definedName>
    <definedName name="Lb_Dsc_IP_Hdr" localSheetId="13">'[4]Discounts - lb'!$A$16:$IV$17</definedName>
    <definedName name="Lb_Dsc_IP_Min_Hdr" localSheetId="13">'[4]Discounts - lb'!$A$18:$IV$19</definedName>
    <definedName name="Lb_Dsc_IP_Min_IP" localSheetId="13">'[4]Discounts - lb'!$A$20:$IV$22</definedName>
    <definedName name="Lb_Dsc_IP_Min_IPF" localSheetId="13">'[4]Discounts - lb'!$A$23:$IV$24</definedName>
    <definedName name="Lb_Dsc_IP_Pct_Disct" localSheetId="13">'[4]Discounts - lb'!$A$32:$IV$50</definedName>
    <definedName name="Lb_Dsc_IPF_Pct_Disct" localSheetId="13">'[4]Discounts - lb'!$A$51:$IV$59</definedName>
    <definedName name="Lb_Dsc_IPF8" localSheetId="13">'[4]Discounts - lb'!$A$52:$IV$52</definedName>
    <definedName name="Lb_Dsc_Origin_Cntry" localSheetId="13">'[4]Discounts - lb'!$B$7:$AA$7</definedName>
    <definedName name="Lb_Incr_Shp_IE" localSheetId="13">'[4]Shipments - lb'!$A$162</definedName>
    <definedName name="Lb_Incr_Shp_IEF" localSheetId="13">'[4]Shipments - lb'!$A$163</definedName>
    <definedName name="Lb_Incr_Shp_IP" localSheetId="13">'[4]Shipments - lb'!$A$160</definedName>
    <definedName name="Lb_Incr_Shp_IPF" localSheetId="13">'[4]Shipments - lb'!$A$161</definedName>
    <definedName name="Lb_Rng_Cur_Disct_IE" localSheetId="13">'[4]Discounts - lb'!$B$72:$AA$74</definedName>
    <definedName name="Lb_Rng_Cur_Disct_IP" localSheetId="13">'[4]Discounts - lb'!$B$26:$AA$30</definedName>
    <definedName name="Lb_Rng_Disct_IE" localSheetId="13">'[4]Discounts - lb'!$B$78:$AA$84</definedName>
    <definedName name="Lb_Rng_Disct_IEF" localSheetId="13">'[4]Discounts - lb'!$B$94:$AA$98</definedName>
    <definedName name="Lb_Rng_Disct_IEHW" localSheetId="13">'[4]Discounts - lb'!$B$87:$AA$91</definedName>
    <definedName name="Lb_Rng_Disct_IP" localSheetId="13">'[4]Discounts - lb'!$B$34:$AA$42</definedName>
    <definedName name="Lb_Rng_Disct_IPF" localSheetId="13">'[4]Discounts - lb'!$B$52:$AA$56</definedName>
    <definedName name="Lb_Rng_Disct_IPHW" localSheetId="13">'[4]Discounts - lb'!$B$45:$AA$49</definedName>
    <definedName name="Lb_Rng_Disct_Min_IE" localSheetId="13">'[4]Discounts - lb'!$B$65:$AA$66</definedName>
    <definedName name="Lb_Rng_Disct_Min_IP" localSheetId="13">'[4]Discounts - lb'!$B$20:$AA$23</definedName>
    <definedName name="Lb_Rng_Shpmts_APPS_IE" localSheetId="13">'[4]Shipments - lb'!$C$119:$AB$129</definedName>
    <definedName name="Lb_Rng_Shpmts_APPS_IEF" localSheetId="13">'[4]Shipments - lb'!$C$131:$AB$135</definedName>
    <definedName name="Lb_Rng_Shpmts_APPS_IP" localSheetId="13">'[4]Shipments - lb'!$C$53:$AB$63</definedName>
    <definedName name="Lb_Rng_Shpmts_APPS_IPF" localSheetId="13">'[4]Shipments - lb'!$C$65:$AB$69</definedName>
    <definedName name="Lb_Rng_Shpmts_AWPS_IE" localSheetId="13">'[4]Shipments - lb'!$C$99:$AB$109</definedName>
    <definedName name="Lb_Rng_Shpmts_AWPS_IEF" localSheetId="13">'[4]Shipments - lb'!$C$111:$AB$115</definedName>
    <definedName name="Lb_Rng_Shpmts_AWPS_IP" localSheetId="13">'[4]Shipments - lb'!$C$34:$AB$44</definedName>
    <definedName name="Lb_Rng_Shpmts_AWPS_IPF" localSheetId="13">'[4]Shipments - lb'!$C$46:$AB$50</definedName>
    <definedName name="Lb_Rng_Shpmts_Incr_IE" localSheetId="13">'[4]Shipments - lb'!$C$75:$AB$86</definedName>
    <definedName name="Lb_Rng_Shpmts_Incr_IEF" localSheetId="13">'[4]Shipments - lb'!$C$88:$AB$92</definedName>
    <definedName name="Lb_Rng_Shpmts_Incr_IP" localSheetId="13">'[4]Shipments - lb'!$C$10:$AB$23</definedName>
    <definedName name="Lb_Rng_Shpmts_Incr_IPF" localSheetId="13">'[4]Shipments - lb'!$C$25:$AB$29</definedName>
    <definedName name="Lb_Shp_Cntry" localSheetId="13">'[4]Shipments - lb'!$A$1:$IV$8</definedName>
    <definedName name="Lb_Shp_IE_APPS" localSheetId="13">'[4]Shipments - lb'!$A$117:$IV$129</definedName>
    <definedName name="Lb_Shp_IE_AWPS" localSheetId="13">'[4]Shipments - lb'!$A$97:$IV$109</definedName>
    <definedName name="Lb_Shp_IE_Incr" localSheetId="13">'[4]Shipments - lb'!$A$72:$IV$86</definedName>
    <definedName name="Lb_Shp_IE_Tot" localSheetId="13">'[4]Shipments - lb'!$A$93:$IV$96</definedName>
    <definedName name="Lb_Shp_IEF_APPS" localSheetId="13">'[4]Shipments - lb'!$A$130:$IV$136</definedName>
    <definedName name="Lb_Shp_IEF_APPS_Hdr" localSheetId="13">'[4]Shipments - lb'!$A$117:$IV$118</definedName>
    <definedName name="Lb_Shp_IEF_AWPS" localSheetId="13">'[4]Shipments - lb'!$A$110:$IV$116</definedName>
    <definedName name="Lb_Shp_IEF_AWPS_Hdr" localSheetId="13">'[4]Shipments - lb'!$A$97:$IV$98</definedName>
    <definedName name="Lb_Shp_IEF_Incr" localSheetId="13">'[4]Shipments - lb'!$A$87:$IV$92</definedName>
    <definedName name="Lb_Shp_IEF_Incr_Hdr" localSheetId="13">'[4]Shipments - lb'!$A$72:$IV$73</definedName>
    <definedName name="Lb_Shp_IEF8_APPS" localSheetId="13">'[4]Shipments - lb'!$A$131:$IV$131</definedName>
    <definedName name="Lb_Shp_IEF8_AWPS" localSheetId="13">'[4]Shipments - lb'!$A$111:$IV$111</definedName>
    <definedName name="Lb_Shp_IEF8_Incr" localSheetId="13">'[4]Shipments - lb'!$A$88:$IV$88</definedName>
    <definedName name="Lb_Shp_IP_APPS" localSheetId="13">'[4]Shipments - lb'!$A$51:$IV$63</definedName>
    <definedName name="Lb_Shp_IP_AWPS" localSheetId="13">'[4]Shipments - lb'!$A$33:$IV$44</definedName>
    <definedName name="Lb_Shp_IP_Incr" localSheetId="13">'[4]Shipments - lb'!$A$9:$IV$23</definedName>
    <definedName name="Lb_Shp_IP_Tot" localSheetId="13">'[4]Shipments - lb'!$A$30:$IV$32</definedName>
    <definedName name="Lb_Shp_IPF_APPS" localSheetId="13">'[4]Shipments - lb'!$A$64:$IV$71</definedName>
    <definedName name="Lb_Shp_IPF_APPS_Hdr" localSheetId="13">'[4]Shipments - lb'!$A$51:$IV$52</definedName>
    <definedName name="Lb_Shp_IPF_AWPS" localSheetId="13">'[4]Shipments - lb'!$A$45:$IV$50</definedName>
    <definedName name="Lb_Shp_IPF_AWPS_Hdr" localSheetId="13">'[4]Shipments - lb'!$A$33:$IV$33</definedName>
    <definedName name="Lb_Shp_IPF_Incr" localSheetId="13">'[4]Shipments - lb'!$A$24:$IV$29</definedName>
    <definedName name="Lb_Shp_IPF_Incr_Hdr" localSheetId="13">'[4]Shipments - lb'!$A$9:$IV$9</definedName>
    <definedName name="Lb_Shp_IPF8_APPS" localSheetId="13">'[4]Shipments - lb'!$A$65:$IV$65</definedName>
    <definedName name="Lb_Shp_IPF8_AWPS" localSheetId="13">'[4]Shipments - lb'!$A$46:$IV$46</definedName>
    <definedName name="Lb_Shp_IPF8_Incr" localSheetId="13">'[4]Shipments - lb'!$A$25:$IV$25</definedName>
    <definedName name="Lb_Shp_Origin_Cntry" localSheetId="13">'[4]Shipments - lb'!$C$6:$AB$6</definedName>
    <definedName name="Lb_Shpmt_Cntry" localSheetId="13">'[4]Shipments - lb'!$AD$140</definedName>
    <definedName name="Lb_Shpmt_Disct" localSheetId="13">'[4]Discounts - lb'!$A$200</definedName>
    <definedName name="Lb_Shpmts" localSheetId="13">'[4]Shipments - lb'!$A$9:$IV$135</definedName>
    <definedName name="Lb_Shpmts_AWPS_Reset" localSheetId="13">'[4]Shipments - lb'!$A$500</definedName>
    <definedName name="Lb_Shpmts_AWPS_Reset1" localSheetId="13">'[4]Shipments - lb'!$A$501</definedName>
    <definedName name="LocalAccts" localSheetId="13">[4]TempVariables!$F$2</definedName>
    <definedName name="Locations" localSheetId="13">[4]Request!$C$124</definedName>
    <definedName name="LOOKUP" localSheetId="13">#REF!</definedName>
    <definedName name="Major_Origin_Cities" localSheetId="13">[4]Request!$E$124</definedName>
    <definedName name="MBG" localSheetId="13">[4]Request!$G$42</definedName>
    <definedName name="MBG_NotReq" localSheetId="13">[4]Request!$P$44</definedName>
    <definedName name="MBG_Option" localSheetId="13">[4]Request!$M$44</definedName>
    <definedName name="MBG_Req" localSheetId="13">[4]Request!$Q$44</definedName>
    <definedName name="MINTABLE" localSheetId="13">[11]SURCHARGES!$H$9:$U$15</definedName>
    <definedName name="ModelDate" localSheetId="13">[4]Request!$K$1</definedName>
    <definedName name="NatlAccts" localSheetId="13">[4]TempVariables!$A$2</definedName>
    <definedName name="NDAAll" localSheetId="13">'[11]Customer Info'!$V$9</definedName>
    <definedName name="Old_Payor_No" localSheetId="13">[4]Request!$E$56</definedName>
    <definedName name="Old_Shipper_No" localSheetId="13">[4]Request!$E$54</definedName>
    <definedName name="Op_Months" localSheetId="13">'[4]Shipments - current'!$B$1</definedName>
    <definedName name="Op_Scenario" localSheetId="13">[4]Request!$P$74</definedName>
    <definedName name="OpQ" localSheetId="13">[4]Request!$L$74</definedName>
    <definedName name="OptionType" localSheetId="13">[7]control!$F$27:$F$29</definedName>
    <definedName name="Orig_Region_1" localSheetId="13">[4]Request!$A$125</definedName>
    <definedName name="Orig_Region_10" localSheetId="13">[4]Request!$A$134</definedName>
    <definedName name="Orig_Region_11" localSheetId="13">[4]Request!$A$135</definedName>
    <definedName name="Orig_Region_12" localSheetId="13">[4]Request!$A$136</definedName>
    <definedName name="Orig_Region_13" localSheetId="13">[4]Request!$A$137</definedName>
    <definedName name="Orig_Region_14" localSheetId="13">[4]Request!$A$138</definedName>
    <definedName name="Orig_Region_15" localSheetId="13">[4]Request!$A$139</definedName>
    <definedName name="Orig_Region_16" localSheetId="13">[4]Request!$A$140</definedName>
    <definedName name="Orig_Region_17" localSheetId="13">[4]Request!$A$141</definedName>
    <definedName name="Orig_Region_18" localSheetId="13">[4]Request!$A$142</definedName>
    <definedName name="Orig_Region_19" localSheetId="13">[4]Request!$A$143</definedName>
    <definedName name="Orig_Region_2" localSheetId="13">[4]Request!$A$126</definedName>
    <definedName name="Orig_Region_20" localSheetId="13">[4]Request!$A$144</definedName>
    <definedName name="Orig_Region_21" localSheetId="13">[4]Request!$A$145</definedName>
    <definedName name="Orig_Region_22" localSheetId="13">[4]Request!$A$146</definedName>
    <definedName name="Orig_Region_23" localSheetId="13">[4]Request!$A$147</definedName>
    <definedName name="Orig_Region_24" localSheetId="13">[4]Request!$A$148</definedName>
    <definedName name="Orig_Region_25" localSheetId="13">[4]Request!$A$149</definedName>
    <definedName name="Orig_Region_26" localSheetId="13">[4]Request!$A$150</definedName>
    <definedName name="Orig_Region_3" localSheetId="13">[4]Request!$A$127</definedName>
    <definedName name="Orig_Region_4" localSheetId="13">[4]Request!$A$128</definedName>
    <definedName name="Orig_Region_5" localSheetId="13">[4]Request!$A$129</definedName>
    <definedName name="Orig_Region_6" localSheetId="13">[4]Request!$A$130</definedName>
    <definedName name="Orig_Region_7" localSheetId="13">[4]Request!$A$131</definedName>
    <definedName name="Orig_Region_8" localSheetId="13">[4]Request!$A$132</definedName>
    <definedName name="Orig_Region_9" localSheetId="13">[4]Request!$A$133</definedName>
    <definedName name="Orig1" localSheetId="13">[4]Request!$L$125</definedName>
    <definedName name="Orig10" localSheetId="13">[4]Request!$L$134</definedName>
    <definedName name="Orig11" localSheetId="13">[4]Request!$L$135</definedName>
    <definedName name="Orig12" localSheetId="13">[4]Request!$L$136</definedName>
    <definedName name="Orig13" localSheetId="13">[4]Request!$L$137</definedName>
    <definedName name="Orig14" localSheetId="13">[4]Request!$L$138</definedName>
    <definedName name="Orig15" localSheetId="13">[4]Request!$L$139</definedName>
    <definedName name="Orig16" localSheetId="13">[4]Request!$L$140</definedName>
    <definedName name="Orig17" localSheetId="13">[4]Request!$L$141</definedName>
    <definedName name="Orig18" localSheetId="13">[4]Request!$L$142</definedName>
    <definedName name="Orig19" localSheetId="13">[4]Request!$L$143</definedName>
    <definedName name="Orig2" localSheetId="13">[4]Request!$L$126</definedName>
    <definedName name="Orig20" localSheetId="13">[4]Request!$L$144</definedName>
    <definedName name="Orig21" localSheetId="13">[4]Request!$L$145</definedName>
    <definedName name="Orig22" localSheetId="13">[4]Request!$L$146</definedName>
    <definedName name="Orig23" localSheetId="13">[4]Request!$L$147</definedName>
    <definedName name="Orig24" localSheetId="13">[4]Request!$L$148</definedName>
    <definedName name="Orig25" localSheetId="13">[4]Request!$L$149</definedName>
    <definedName name="Orig26" localSheetId="13">[4]Request!$L$150</definedName>
    <definedName name="Orig3" localSheetId="13">[4]Request!$L$127</definedName>
    <definedName name="Orig4" localSheetId="13">[4]Request!$L$128</definedName>
    <definedName name="Orig5" localSheetId="13">[4]Request!$L$129</definedName>
    <definedName name="Orig6" localSheetId="13">[4]Request!$L$130</definedName>
    <definedName name="Orig7" localSheetId="13">[4]Request!$L$131</definedName>
    <definedName name="Orig8" localSheetId="13">[4]Request!$L$132</definedName>
    <definedName name="Orig9" localSheetId="13">[4]Request!$L$133</definedName>
    <definedName name="Origin" localSheetId="13">[4]Request!$B$124</definedName>
    <definedName name="Origin_Countries" localSheetId="13">[4]Request!$L$125:$L$150</definedName>
    <definedName name="Origin_Country_Code" localSheetId="13">[4]Countries!$G$4:$H$224</definedName>
    <definedName name="Origin_Country_Name_Code" localSheetId="13">[4]Countries!$B$4:$C$224</definedName>
    <definedName name="Origin_Scenario" localSheetId="13">[4]Request!$E$76</definedName>
    <definedName name="parcels" localSheetId="13">#REF!</definedName>
    <definedName name="Password" localSheetId="13">[4]TempVariables!$O$3</definedName>
    <definedName name="Payor_Acct1" localSheetId="13">[4]Request!$I$23</definedName>
    <definedName name="Payor_Acct2" localSheetId="13">[4]Request!$I$25</definedName>
    <definedName name="Payor_Acct3" localSheetId="13">[4]Request!$I$27</definedName>
    <definedName name="Payor_Country" localSheetId="13">[4]Request!$M$19</definedName>
    <definedName name="Payor_Table" localSheetId="13">[4]Countries!$HI$4:$HR$101</definedName>
    <definedName name="PayorRgn" localSheetId="13">[4]Request!$P$15</definedName>
    <definedName name="PNH" localSheetId="13">#REF!</definedName>
    <definedName name="Pricing_Requested" localSheetId="13">[4]Request!$A$33</definedName>
    <definedName name="Product" localSheetId="13">[7]control!$N$27:$N$38</definedName>
    <definedName name="Provinces_Cities" localSheetId="13">[4]Request!$E$125:$E$150</definedName>
    <definedName name="Range1" localSheetId="13">#REF!</definedName>
    <definedName name="Region" localSheetId="13">[4]Request!$O$16</definedName>
    <definedName name="Region_Rev" localSheetId="13">[4]Request!$E$112:$E$116</definedName>
    <definedName name="RO" localSheetId="13">#REF!</definedName>
    <definedName name="road" localSheetId="13">#REF!</definedName>
    <definedName name="RTH" localSheetId="13">#REF!</definedName>
    <definedName name="Sales_AE" localSheetId="13">[4]Request!$B$21</definedName>
    <definedName name="Sales_Manager" localSheetId="13">[4]Request!$B$19</definedName>
    <definedName name="SDAALL" localSheetId="13">'[11]Customer Info'!$V$15</definedName>
    <definedName name="Service_IE" localSheetId="13">[4]Request!$R$46</definedName>
    <definedName name="Service_IE_IEF" localSheetId="13">[4]Request!$R$47</definedName>
    <definedName name="Service_IEF" localSheetId="13">[4]Request!$S$46</definedName>
    <definedName name="Service_IP" localSheetId="13">[4]Request!$P$46</definedName>
    <definedName name="Service_IP_IPF" localSheetId="13">[4]Request!$P$47</definedName>
    <definedName name="Service_IPF" localSheetId="13">[4]Request!$Q$46</definedName>
    <definedName name="Service_Type" localSheetId="13">[4]Request!$L$48</definedName>
    <definedName name="Services_Requested" localSheetId="13">[4]Request!$A$42</definedName>
    <definedName name="Ship_Locations" localSheetId="13">[4]Request!$M$125:$M$150</definedName>
    <definedName name="Ship_Tender" localSheetId="13">[4]Request!$E$68</definedName>
    <definedName name="Show9DigitAccts" localSheetId="13">[4]TempVariables!$J$3</definedName>
    <definedName name="SlsChan" localSheetId="13">[7]control!$B$27:$B$28</definedName>
    <definedName name="Spec_Op" localSheetId="13">[4]Request!$A$72</definedName>
    <definedName name="StartMonth" localSheetId="13">[4]TempVariables!$G$3</definedName>
    <definedName name="Strategy" localSheetId="13">[4]Request!$A$108</definedName>
    <definedName name="SurchargeType" localSheetId="13">[7]control!$I$27:$I$32</definedName>
    <definedName name="TABLE" localSheetId="13">#REF!</definedName>
    <definedName name="TempVariables" localSheetId="13">[4]TempVariables!$A$1</definedName>
    <definedName name="Tier" localSheetId="13">'[12]Portfolio Discount'!#REF!</definedName>
    <definedName name="Tot_Annual_Rev" localSheetId="13">[4]Request!$E$117</definedName>
    <definedName name="USAcctsOnly" localSheetId="13">[4]TempVariables!$I$3</definedName>
    <definedName name="UserID" localSheetId="13">[4]TempVariables!$N$3</definedName>
    <definedName name="Value_2K" localSheetId="13">[4]Request!$E$88</definedName>
    <definedName name="values" localSheetId="13">[4]Request!$L$16:$O$150</definedName>
    <definedName name="WtMetric" localSheetId="13">[4]Request!$B$25</definedName>
    <definedName name="YN" localSheetId="13">[7]control!$P$27:$P$28</definedName>
    <definedName name="zone" localSheetId="13">#REF!</definedName>
    <definedName name="ZonedOut" localSheetId="13">[7]rates_input!$R$5:$Z$8</definedName>
    <definedName name="ZonedOut1" localSheetId="13">[7]rates_input!$I$6:$Z$8</definedName>
    <definedName name="ZonedOut2" localSheetId="13">[7]rates_input!$I$7:$Z$8</definedName>
    <definedName name="ZONELU" localSheetId="13">[11]SURCHARGES!$B$9:$D$59</definedName>
    <definedName name="Zones" localSheetId="13">#REF!,#REF!,#REF!,#REF!</definedName>
    <definedName name="Zones_New" localSheetId="13">[7]zones_input!$B$1:$G$65536</definedName>
    <definedName name="_Fill" localSheetId="14" hidden="1">[2]Express!#REF!</definedName>
    <definedName name="_Key1" localSheetId="14" hidden="1">#REF!</definedName>
    <definedName name="_Loc1" localSheetId="14">[3]Request!$M$125</definedName>
    <definedName name="_Loc10" localSheetId="14">[4]Request!$M$134</definedName>
    <definedName name="_Loc11" localSheetId="14">[4]Request!$M$135</definedName>
    <definedName name="_Loc12" localSheetId="14">[4]Request!$M$136</definedName>
    <definedName name="_Loc13" localSheetId="14">[4]Request!$M$137</definedName>
    <definedName name="_Loc14" localSheetId="14">[4]Request!$M$138</definedName>
    <definedName name="_Loc15" localSheetId="14">[4]Request!$M$139</definedName>
    <definedName name="_Loc16" localSheetId="14">[4]Request!$M$140</definedName>
    <definedName name="_Loc17" localSheetId="14">[4]Request!$M$141</definedName>
    <definedName name="_Loc18" localSheetId="14">[4]Request!$M$142</definedName>
    <definedName name="_Loc19" localSheetId="14">[4]Request!$M$143</definedName>
    <definedName name="_Loc2" localSheetId="14">[4]Request!$M$126</definedName>
    <definedName name="_Loc20" localSheetId="14">[4]Request!$M$144</definedName>
    <definedName name="_Loc21" localSheetId="14">[4]Request!$M$145</definedName>
    <definedName name="_Loc22" localSheetId="14">[4]Request!$M$146</definedName>
    <definedName name="_Loc23" localSheetId="14">[4]Request!$M$147</definedName>
    <definedName name="_Loc24" localSheetId="14">[4]Request!$M$148</definedName>
    <definedName name="_Loc25" localSheetId="14">[4]Request!$M$149</definedName>
    <definedName name="_Loc26" localSheetId="14">[4]Request!$M$150</definedName>
    <definedName name="_Loc3" localSheetId="14">[4]Request!$M$127</definedName>
    <definedName name="_Loc4" localSheetId="14">[4]Request!$M$128</definedName>
    <definedName name="_Loc5" localSheetId="14">[4]Request!$M$129</definedName>
    <definedName name="_Loc6" localSheetId="14">[4]Request!$M$130</definedName>
    <definedName name="_Loc7" localSheetId="14">[4]Request!$M$131</definedName>
    <definedName name="_Loc8" localSheetId="14">[4]Request!$M$132</definedName>
    <definedName name="_Loc9" localSheetId="14">[4]Request!$M$133</definedName>
    <definedName name="_Sort" localSheetId="14" hidden="1">[1]Express!#REF!</definedName>
    <definedName name="a" localSheetId="14" hidden="1">[1]Express!#REF!</definedName>
    <definedName name="Account" localSheetId="14">[4]Request!$B$17</definedName>
    <definedName name="Acct_number" localSheetId="14">[5]Summary!$E$2</definedName>
    <definedName name="AFD" localSheetId="14">#REF!</definedName>
    <definedName name="Agent" localSheetId="14">[4]Request!$A$60</definedName>
    <definedName name="Agent_Comm" localSheetId="14">[4]Request!$E$64</definedName>
    <definedName name="Agent_Delivery" localSheetId="14">[4]Request!$O$62</definedName>
    <definedName name="Agent_Involved" localSheetId="14">[4]Request!$P$62</definedName>
    <definedName name="Agent_Pickup" localSheetId="14">[4]Request!$N$62</definedName>
    <definedName name="Agent_Services" localSheetId="14">[4]Request!$E$66</definedName>
    <definedName name="AgentQ" localSheetId="14">[4]Request!$L$62</definedName>
    <definedName name="AllDiscountArea" localSheetId="14">[6]Discounts!$D$15:$Q$16,[6]Discounts!$S$15:$T$16,[6]Discounts!$D$22:$M$22,[6]Discounts!$O$22:$P$22,[6]Discounts!$T$22:$T$22,[6]Discounts!$D$29:$D$30,[6]Discounts!$F$29:$Q$30,[6]Discounts!$T$29:$T$30,[6]Discounts!$D$36:$D$36,[6]Discounts!$F$36:$M$36,[6]Discounts!$O$36:$P$36,[6]Discounts!$T$36:$T$36</definedName>
    <definedName name="Alph_countries" localSheetId="14">[7]zones_input!$A$2:$A$214</definedName>
    <definedName name="anakg" localSheetId="14">'[4]Shipments - kg current'!$D$1</definedName>
    <definedName name="analb" localSheetId="14">'[4]Shipments - lb current'!$D$1</definedName>
    <definedName name="ApDsctKgADNR" localSheetId="14">#REF!</definedName>
    <definedName name="ApDsctKgComm" localSheetId="14">#REF!</definedName>
    <definedName name="ApDsctKgH1" localSheetId="14">#REF!</definedName>
    <definedName name="ApDsctKgH2" localSheetId="14">#REF!</definedName>
    <definedName name="ApDsctKgIEAppCurDisct" localSheetId="14">#REF!</definedName>
    <definedName name="ApDsctKgIEAppMin" localSheetId="14">#REF!</definedName>
    <definedName name="ApDsctKgIEReqCurDisct" localSheetId="14">#REF!</definedName>
    <definedName name="ApDsctKgIEReqMin" localSheetId="14">#REF!</definedName>
    <definedName name="ApDsctKgIERestore" localSheetId="14">#REF!</definedName>
    <definedName name="ApDsctKgIPAppCurDisct" localSheetId="14">#REF!</definedName>
    <definedName name="ApDsctKgIPAppMin" localSheetId="14">#REF!</definedName>
    <definedName name="ApDsctKgIPReqCurDisct" localSheetId="14">#REF!</definedName>
    <definedName name="ApDsctKgIPReqMin" localSheetId="14">#REF!</definedName>
    <definedName name="ApDsctKgIPRestore" localSheetId="14">#REF!</definedName>
    <definedName name="ApDsctKgLR" localSheetId="14">#REF!</definedName>
    <definedName name="ApDsctKgLR1" localSheetId="14">#REF!</definedName>
    <definedName name="ApDsctKgQ1" localSheetId="14">#REF!</definedName>
    <definedName name="ApDsctKgQ10" localSheetId="14">#REF!</definedName>
    <definedName name="ApDsctKgQ2" localSheetId="14">#REF!</definedName>
    <definedName name="ApDsctKgQ3" localSheetId="14">#REF!</definedName>
    <definedName name="ApDsctKgQ4" localSheetId="14">#REF!</definedName>
    <definedName name="ApDsctKgQ5" localSheetId="14">#REF!</definedName>
    <definedName name="ApDsctKgQ6" localSheetId="14">#REF!</definedName>
    <definedName name="ApDsctKgQ7" localSheetId="14">#REF!</definedName>
    <definedName name="ApDsctKgQ8" localSheetId="14">#REF!</definedName>
    <definedName name="ApDsctKgQ9" localSheetId="14">#REF!</definedName>
    <definedName name="ApDsctKgRMIE" localSheetId="14">#REF!</definedName>
    <definedName name="ApDsctKgRMIP" localSheetId="14">#REF!</definedName>
    <definedName name="ApDsctKgSIE" localSheetId="14">#REF!</definedName>
    <definedName name="ApDsctKgSIP" localSheetId="14">#REF!</definedName>
    <definedName name="ApDsctLbADNR" localSheetId="14">'[4]Approved Discts-lb'!$F$7:$AE$7</definedName>
    <definedName name="ApDsctLbComm" localSheetId="14">'[4]Approved Discts-lb'!$F$159</definedName>
    <definedName name="ApDsctLbH1" localSheetId="14">'[4]Approved Discts-lb'!$F$3:$H$4</definedName>
    <definedName name="ApDsctLbH2" localSheetId="14">'[4]Approved Discts-lb'!$Z$3:$Z$4</definedName>
    <definedName name="ApDsctLbIEAppCurDisct" localSheetId="14">'[4]Approved Discts-lb'!$A$111:$AE$114</definedName>
    <definedName name="ApDsctLbIEAppMin" localSheetId="14">'[4]Approved Discts-lb'!$A$108:$AE$110</definedName>
    <definedName name="ApDsctLbIEReqCurDisct" localSheetId="14">'[4]Approved Discts-lb'!$A$85:$AE$88</definedName>
    <definedName name="ApDsctLbIEReqMin" localSheetId="14">'[4]Approved Discts-lb'!$B$82:$AE$84</definedName>
    <definedName name="ApDsctLbIERestore" localSheetId="14">'[4]Approved Discts-lb'!$F$364:$AE$387</definedName>
    <definedName name="ApDsctLbIPAppCurDisct" localSheetId="14">'[4]Approved Discts-lb'!$A$50:$AE$55</definedName>
    <definedName name="ApDsctLbIPAppMin" localSheetId="14">'[4]Approved Discts-lb'!$A$45:$AE$49</definedName>
    <definedName name="ApDsctLbIPReqCurDisct" localSheetId="14">'[4]Approved Discts-lb'!$A$18:$AE$23</definedName>
    <definedName name="ApDsctLbIPReqMin" localSheetId="14">'[4]Approved Discts-lb'!$A$13:$AE$17</definedName>
    <definedName name="ApDsctLbIPRestore" localSheetId="14">'[4]Approved Discts-lb'!$F$326:$AE$355</definedName>
    <definedName name="ApDsctLbLR" localSheetId="14">'[4]Approved Discts-lb'!$F$11:$AE$11</definedName>
    <definedName name="ApDsctLbLR1" localSheetId="14">'[4]Approved Discts-lb'!$F$81:$AE$81</definedName>
    <definedName name="ApDsctLbQ1" localSheetId="14">'[4]Approved Discts-lb'!$AG$134</definedName>
    <definedName name="ApDsctLbQ10" localSheetId="14">'[4]Approved Discts-lb'!$AG$154</definedName>
    <definedName name="ApDsctLbQ2" localSheetId="14">'[4]Approved Discts-lb'!$AG$136</definedName>
    <definedName name="ApDsctLbQ3" localSheetId="14">'[4]Approved Discts-lb'!$AG$138</definedName>
    <definedName name="ApDsctLbQ4" localSheetId="14">'[4]Approved Discts-lb'!$AG$141</definedName>
    <definedName name="ApDsctLbQ5" localSheetId="14">'[4]Approved Discts-lb'!$AG$143</definedName>
    <definedName name="ApDsctLbQ6" localSheetId="14">'[4]Approved Discts-lb'!$AG$145</definedName>
    <definedName name="ApDsctLbQ7" localSheetId="14">'[4]Approved Discts-lb'!$AG$147</definedName>
    <definedName name="ApDsctLbQ8" localSheetId="14">'[4]Approved Discts-lb'!$AG$149</definedName>
    <definedName name="ApDsctLbQ9" localSheetId="14">'[4]Approved Discts-lb'!$AG$151</definedName>
    <definedName name="ApDsctLbRMIE" localSheetId="14">'[4]Approved Discts-lb'!$F$109:$AE$132</definedName>
    <definedName name="ApDsctLbRMIP" localSheetId="14">'[4]Approved Discts-lb'!$F$46:$AE$75</definedName>
    <definedName name="ApDsctLbSIE" localSheetId="14">'[4]Approved Discts-lb'!$F$83:$AE$106</definedName>
    <definedName name="ApDsctLbSIP" localSheetId="14">'[4]Approved Discts-lb'!$F$14:$AE$43</definedName>
    <definedName name="Approval" localSheetId="14">[4]Request!$P$16</definedName>
    <definedName name="Bill_3P" localSheetId="14">[4]Request!$M$29</definedName>
    <definedName name="Bill_Consignee" localSheetId="14">[4]Request!$L$29</definedName>
    <definedName name="Billing_Option" localSheetId="14">[4]Request!$A$29</definedName>
    <definedName name="Business_Type" localSheetId="14">[4]Request!$G$31</definedName>
    <definedName name="BWE" localSheetId="14">[4]TempVariables!$K$3</definedName>
    <definedName name="Chk_Origin_Cntry" localSheetId="14">[4]Request!$L$151</definedName>
    <definedName name="Chk_Provinces_Cities" localSheetId="14">[4]Request!$S$151</definedName>
    <definedName name="Chk_Ship_Loc" localSheetId="14">[4]Request!$R$151</definedName>
    <definedName name="Clearance_Reqd" localSheetId="14">[4]Request!$A$82</definedName>
    <definedName name="Commodity1" localSheetId="14">[4]Request!$I$48</definedName>
    <definedName name="Commodity2" localSheetId="14">[4]Request!$I$49</definedName>
    <definedName name="Competitor" localSheetId="14">[4]Request!$I$54</definedName>
    <definedName name="CONTDE" localSheetId="14">#REF!</definedName>
    <definedName name="CONTFD" localSheetId="14">#REF!</definedName>
    <definedName name="CONTFE" localSheetId="14">#REF!</definedName>
    <definedName name="CONTPD" localSheetId="14">#REF!</definedName>
    <definedName name="CONTPE" localSheetId="14">#REF!</definedName>
    <definedName name="countries" localSheetId="14">[7]zones_input!$A$2:$C$202</definedName>
    <definedName name="country_selection" localSheetId="14">[7]control!$S$4:$S$5</definedName>
    <definedName name="CSource" localSheetId="14">[7]control!$D$27:$D$29</definedName>
    <definedName name="Cur_Disct" localSheetId="14">[4]Request!$P$19</definedName>
    <definedName name="Curr_and_Incr" localSheetId="14">[4]Request!$R$32</definedName>
    <definedName name="Curr_Incr" localSheetId="14">[4]Request!$M$32</definedName>
    <definedName name="Current" localSheetId="14">'[4]Shipments - current'!$E$4:$Z$65536</definedName>
    <definedName name="Current_Only" localSheetId="14">[4]Request!$P$32</definedName>
    <definedName name="CurrentDetail" localSheetId="14">'[4]Shipments - current'!$A$3</definedName>
    <definedName name="CurrentDetailEnd" localSheetId="14">'[4]Shipments - current'!$AH$3</definedName>
    <definedName name="Cust_Clear" localSheetId="14">[4]Request!$P$84</definedName>
    <definedName name="CustClearQ" localSheetId="14">[4]Request!$L$84</definedName>
    <definedName name="Customer" localSheetId="14">[8]Summary!$B$1</definedName>
    <definedName name="Date1" localSheetId="14">[4]Request!$P$17</definedName>
    <definedName name="Date2" localSheetId="14">[4]Request!$Q$17</definedName>
    <definedName name="Declared_Value" localSheetId="14">[4]Request!$E$89</definedName>
    <definedName name="Dest_Countries" localSheetId="14">[4]Request!$N$125:$N$150</definedName>
    <definedName name="Dest_Country_Copy" localSheetId="14">[4]Request!$R$19</definedName>
    <definedName name="Dest_Scenario" localSheetId="14">[4]Request!$E$78</definedName>
    <definedName name="Dest1" localSheetId="14">[4]Request!$N$125</definedName>
    <definedName name="Dest10" localSheetId="14">[4]Request!$N$134</definedName>
    <definedName name="Dest11" localSheetId="14">[4]Request!$N$135</definedName>
    <definedName name="Dest12" localSheetId="14">[4]Request!$N$136</definedName>
    <definedName name="Dest13" localSheetId="14">[4]Request!$N$137</definedName>
    <definedName name="Dest14" localSheetId="14">[4]Request!$N$138</definedName>
    <definedName name="Dest15" localSheetId="14">[4]Request!$N$139</definedName>
    <definedName name="Dest16" localSheetId="14">[4]Request!$N$140</definedName>
    <definedName name="Dest17" localSheetId="14">[4]Request!$N$141</definedName>
    <definedName name="Dest18" localSheetId="14">[4]Request!$N$142</definedName>
    <definedName name="Dest19" localSheetId="14">[4]Request!$N$143</definedName>
    <definedName name="Dest2" localSheetId="14">[4]Request!$N$126</definedName>
    <definedName name="Dest20" localSheetId="14">[4]Request!$N$144</definedName>
    <definedName name="Dest21" localSheetId="14">[4]Request!$N$145</definedName>
    <definedName name="Dest22" localSheetId="14">[4]Request!$N$146</definedName>
    <definedName name="Dest23" localSheetId="14">[4]Request!$N$147</definedName>
    <definedName name="Dest24" localSheetId="14">[4]Request!$N$148</definedName>
    <definedName name="Dest25" localSheetId="14">[4]Request!$N$149</definedName>
    <definedName name="Dest26" localSheetId="14">[4]Request!$N$150</definedName>
    <definedName name="Dest3" localSheetId="14">[4]Request!$N$127</definedName>
    <definedName name="Dest4" localSheetId="14">[4]Request!$N$128</definedName>
    <definedName name="Dest5" localSheetId="14">[4]Request!$N$129</definedName>
    <definedName name="Dest6" localSheetId="14">[4]Request!$N$130</definedName>
    <definedName name="Dest7" localSheetId="14">[4]Request!$N$131</definedName>
    <definedName name="Dest8" localSheetId="14">[4]Request!$N$132</definedName>
    <definedName name="Dest9" localSheetId="14">[4]Request!$N$133</definedName>
    <definedName name="Division" localSheetId="14">[7]control!$O$27:$O$28</definedName>
    <definedName name="DOT" localSheetId="14">[7]control!$L$27:$L$29</definedName>
    <definedName name="dox" localSheetId="14">#REF!</definedName>
    <definedName name="dsfd" localSheetId="14">#REF!</definedName>
    <definedName name="EndMonth" localSheetId="14">[4]TempVariables!$H$3</definedName>
    <definedName name="ExDocDisc" localSheetId="14">[6]Discounts!$D$15:$Q$15,[6]Discounts!$S$15:$T$15</definedName>
    <definedName name="ExNDocDisc" localSheetId="14">[6]Discounts!$D$16:$Q$16,[6]Discounts!$S$16:$T$16,[6]Discounts!$D$22:$M$22,[6]Discounts!$O$22:$P$22,[6]Discounts!$T$22:$T$22</definedName>
    <definedName name="Expt638" localSheetId="14">#REF!</definedName>
    <definedName name="ExptPrepaid" localSheetId="14">'[10]Expt Disc prepaid'!#REF!</definedName>
    <definedName name="FDX" localSheetId="14">[4]Request!$A$50</definedName>
    <definedName name="FDX_Shpmts" localSheetId="14">[4]Request!$P$52</definedName>
    <definedName name="FXShpQ" localSheetId="14">[4]Request!$L$52</definedName>
    <definedName name="GroundWB" localSheetId="14">'[11]Customer Info'!$Y$20:$AB$26</definedName>
    <definedName name="GrpExcl_ll" localSheetId="14">[4]TempVariables!$D$2</definedName>
    <definedName name="GrpExcl_ul" localSheetId="14">[4]TempVariables!$E$2</definedName>
    <definedName name="GrpIncl_ll" localSheetId="14">[4]TempVariables!$B$2</definedName>
    <definedName name="GrpIncl_ul" localSheetId="14">[4]TempVariables!$C$2</definedName>
    <definedName name="Header" localSheetId="14">'[9]Expt Disc prepaid'!#REF!</definedName>
    <definedName name="home" localSheetId="14">[4]Request!$B$17</definedName>
    <definedName name="ImDocDisc" localSheetId="14">[6]Discounts!$D$29,[6]Discounts!$F$29:$Q$29,[6]Discounts!$T$29</definedName>
    <definedName name="IMListRates" localSheetId="14">#REF!</definedName>
    <definedName name="ImNDocDisc" localSheetId="14">[6]Discounts!$D$30:$D$30,[6]Discounts!$F$30:$Q$30,[6]Discounts!$T$30:$T$30,[6]Discounts!$D$36:$D$36,[6]Discounts!$F$36:$M$36,[6]Discounts!$O$36:$P$36,[6]Discounts!$T$36:$T$36</definedName>
    <definedName name="Import" localSheetId="14">[4]Request!$Q$33</definedName>
    <definedName name="Import_Pricing" localSheetId="14">#REF!</definedName>
    <definedName name="Impt_Inbnd" localSheetId="14">[4]Request!$L$33</definedName>
    <definedName name="ImptCheck" localSheetId="14">[4]Request!$Q$19</definedName>
    <definedName name="Inbound" localSheetId="14">[4]Request!$P$33</definedName>
    <definedName name="Inbound_Pricing" localSheetId="14">#REF!</definedName>
    <definedName name="Incremental_Only" localSheetId="14">[4]Request!$Q$32</definedName>
    <definedName name="IZ" localSheetId="14">#REF!</definedName>
    <definedName name="Kg_Apprv_Dt" localSheetId="14">#REF!</definedName>
    <definedName name="Kg_APPS_Chk" localSheetId="14">'[4]Shipments - kg'!$A$1138</definedName>
    <definedName name="Kg_AWPS_Chk" localSheetId="14">'[4]Shipments - kg'!$A$1117</definedName>
    <definedName name="Kg_Cntry_Disct" localSheetId="14">'[4]Discounts - kg'!$AB$108</definedName>
    <definedName name="kg_Disc_Edit_Check" localSheetId="14">#REF!</definedName>
    <definedName name="Kg_Discts" localSheetId="14">'[4]Discounts - kg'!$A$16:$IV$98</definedName>
    <definedName name="Kg_Dsc_Cntry" localSheetId="14">'[4]Discounts - kg'!$A$1:$IV$15</definedName>
    <definedName name="Kg_Dsc_IE_Cur_Disct" localSheetId="14">'[4]Discounts - kg'!$A$68:$IV$75</definedName>
    <definedName name="Kg_Dsc_IE_Hdr" localSheetId="14">'[4]Discounts - kg'!$A$60:$IV$62</definedName>
    <definedName name="Kg_Dsc_IE_Min_Hdr" localSheetId="14">'[4]Discounts - kg'!$A$63:$IV$64</definedName>
    <definedName name="Kg_Dsc_IE_Min_IE" localSheetId="14">'[4]Discounts - kg'!$A$65:$IV$65</definedName>
    <definedName name="Kg_Dsc_IE_Min_IEF" localSheetId="14">'[4]Discounts - kg'!$A$66:$IV$67</definedName>
    <definedName name="Kg_Dsc_IE_Pct_Disct" localSheetId="14">'[4]Discounts - kg'!$A$76:$IV$92</definedName>
    <definedName name="Kg_Dsc_IEF_Pct_Disct" localSheetId="14">'[4]Discounts - kg'!$A$93:$IV$99</definedName>
    <definedName name="Kg_Dsc_IP_Cur_Disct" localSheetId="14">'[4]Discounts - kg'!$A$25:$IV$31</definedName>
    <definedName name="Kg_Dsc_IP_Hdr" localSheetId="14">'[4]Discounts - kg'!$A$16:$IV$17</definedName>
    <definedName name="Kg_Dsc_IP_Min_Hdr" localSheetId="14">'[4]Discounts - kg'!$A$18:$IV$19</definedName>
    <definedName name="Kg_Dsc_IP_Min_IP" localSheetId="14">'[4]Discounts - kg'!$A$20:$IV$22</definedName>
    <definedName name="Kg_Dsc_IP_Min_IPF" localSheetId="14">'[4]Discounts - kg'!$A$23:$IV$24</definedName>
    <definedName name="Kg_Dsc_IP_Pct_Disct" localSheetId="14">'[4]Discounts - kg'!$A$32:$IV$50</definedName>
    <definedName name="Kg_Dsc_IPF_Pct_Disct" localSheetId="14">'[4]Discounts - kg'!$A$51:$IV$59</definedName>
    <definedName name="Kg_Dsc_Origin_Cntry" localSheetId="14">'[4]Discounts - kg'!$B$7:$AA$7</definedName>
    <definedName name="Kg_Incr_Shp_IE" localSheetId="14">'[4]Shipments - kg'!$A$162</definedName>
    <definedName name="Kg_Incr_Shp_IEF" localSheetId="14">'[4]Shipments - kg'!$A$163</definedName>
    <definedName name="Kg_Incr_Shp_IP" localSheetId="14">'[4]Shipments - kg'!$A$160</definedName>
    <definedName name="Kg_Incr_Shp_IPF" localSheetId="14">'[4]Shipments - kg'!$A$161</definedName>
    <definedName name="Kg_Rng_Cur_Disct_IE" localSheetId="14">'[4]Discounts - kg'!$B$72:$AA$74</definedName>
    <definedName name="Kg_Rng_Cur_Disct_IP" localSheetId="14">'[4]Discounts - kg'!$B$26:$AA$30</definedName>
    <definedName name="Kg_Rng_Disct_IE" localSheetId="14">'[4]Discounts - kg'!$B$78:$AA$84</definedName>
    <definedName name="Kg_Rng_Disct_IEF" localSheetId="14">'[4]Discounts - kg'!$B$94:$AA$98</definedName>
    <definedName name="Kg_Rng_Disct_IEHW" localSheetId="14">'[4]Discounts - kg'!$B$87:$AA$91</definedName>
    <definedName name="Kg_Rng_Disct_IP" localSheetId="14">'[4]Discounts - kg'!$B$34:$AA$42</definedName>
    <definedName name="Kg_Rng_Disct_IPF" localSheetId="14">'[4]Discounts - kg'!$B$52:$AA$56</definedName>
    <definedName name="Kg_Rng_Disct_IPHW" localSheetId="14">'[4]Discounts - kg'!$B$45:$AA$49</definedName>
    <definedName name="Kg_Rng_Disct_Min_IE" localSheetId="14">'[4]Discounts - kg'!$B$65:$AA$66</definedName>
    <definedName name="Kg_Rng_Disct_Min_IP" localSheetId="14">'[4]Discounts - kg'!$B$20:$AA$23</definedName>
    <definedName name="Kg_Rng_Shpmts_APPS_IE" localSheetId="14">'[4]Shipments - kg'!$C$119:$AB$129</definedName>
    <definedName name="Kg_Rng_Shpmts_APPS_IEF" localSheetId="14">'[4]Shipments - kg'!$C$131:$AB$135</definedName>
    <definedName name="Kg_Rng_Shpmts_APPS_IP" localSheetId="14">'[4]Shipments - kg'!$C$53:$AB$63</definedName>
    <definedName name="Kg_Rng_Shpmts_APPS_IPF" localSheetId="14">'[4]Shipments - kg'!$C$65:$AB$69</definedName>
    <definedName name="Kg_Rng_Shpmts_AWPS_IE" localSheetId="14">'[4]Shipments - kg'!$C$99:$AB$109</definedName>
    <definedName name="Kg_Rng_Shpmts_AWPS_IEF" localSheetId="14">'[4]Shipments - kg'!$C$111:$AB$115</definedName>
    <definedName name="Kg_Rng_Shpmts_AWPS_IP" localSheetId="14">'[4]Shipments - kg'!$C$34:$AB$44</definedName>
    <definedName name="Kg_Rng_Shpmts_AWPS_IPF" localSheetId="14">'[4]Shipments - kg'!$C$46:$AB$50</definedName>
    <definedName name="Kg_Rng_Shpmts_Incr_IE" localSheetId="14">'[4]Shipments - kg'!$C$75:$AB$86</definedName>
    <definedName name="Kg_Rng_Shpmts_Incr_IEF" localSheetId="14">'[4]Shipments - kg'!$C$88:$AB$92</definedName>
    <definedName name="Kg_Rng_Shpmts_Incr_IP" localSheetId="14">'[4]Shipments - kg'!$C$10:$AB$23</definedName>
    <definedName name="Kg_Rng_Shpmts_Incr_IPF" localSheetId="14">'[4]Shipments - kg'!$C$25:$AB$29</definedName>
    <definedName name="Kg_Shp_Cntry" localSheetId="14">'[4]Shipments - kg'!$A$1:$IV$8</definedName>
    <definedName name="Kg_Shp_IE_APPS" localSheetId="14">'[4]Shipments - kg'!$A$117:$IV$129</definedName>
    <definedName name="Kg_Shp_IE_AWPS" localSheetId="14">'[4]Shipments - kg'!$A$97:$IV$109</definedName>
    <definedName name="Kg_Shp_IE_Incr" localSheetId="14">'[4]Shipments - kg'!$A$72:$IV$86</definedName>
    <definedName name="Kg_Shp_IE_Tot" localSheetId="14">'[4]Shipments - kg'!$A$93:$IV$96</definedName>
    <definedName name="Kg_Shp_IEF_APPS" localSheetId="14">'[4]Shipments - kg'!$A$130:$IV$136</definedName>
    <definedName name="Kg_Shp_IEF_APPS_Hdr" localSheetId="14">'[4]Shipments - kg'!$A$117:$IV$118</definedName>
    <definedName name="Kg_Shp_IEF_AWPS" localSheetId="14">'[4]Shipments - kg'!$A$110:$IV$116</definedName>
    <definedName name="Kg_Shp_IEF_AWPS_Hdr" localSheetId="14">'[4]Shipments - kg'!$A$97:$IV$98</definedName>
    <definedName name="Kg_Shp_IEF_Incr" localSheetId="14">'[4]Shipments - kg'!$A$87:$IV$92</definedName>
    <definedName name="Kg_Shp_IEF_Incr_Hdr" localSheetId="14">'[4]Shipments - kg'!$A$72:$IV$73</definedName>
    <definedName name="Kg_Shp_IP_APPS" localSheetId="14">'[4]Shipments - kg'!$A$51:$IV$63</definedName>
    <definedName name="Kg_Shp_IP_AWPS" localSheetId="14">'[4]Shipments - kg'!$A$33:$IV$44</definedName>
    <definedName name="Kg_Shp_IP_Incr" localSheetId="14">'[4]Shipments - kg'!$A$9:$IV$23</definedName>
    <definedName name="Kg_Shp_IP_Tot" localSheetId="14">'[4]Shipments - kg'!$A$30:$IV$32</definedName>
    <definedName name="Kg_Shp_IPF_APPS" localSheetId="14">'[4]Shipments - kg'!$A$64:$IV$71</definedName>
    <definedName name="Kg_Shp_IPF_APPS_Hdr" localSheetId="14">'[4]Shipments - kg'!$A$51:$IV$52</definedName>
    <definedName name="Kg_Shp_IPF_AWPS" localSheetId="14">'[4]Shipments - kg'!$A$45:$IV$50</definedName>
    <definedName name="Kg_Shp_IPF_AWPS_Hdr" localSheetId="14">'[4]Shipments - kg'!$A$33:$IV$33</definedName>
    <definedName name="Kg_Shp_IPF_Incr" localSheetId="14">'[4]Shipments - kg'!$A$24:$IV$29</definedName>
    <definedName name="Kg_Shp_IPF_Incr_Hdr" localSheetId="14">'[4]Shipments - kg'!$A$9:$IV$9</definedName>
    <definedName name="Kg_Shp_Origin_Cntry" localSheetId="14">'[4]Shipments - kg'!$C$6:$AB$6</definedName>
    <definedName name="Kg_Shpmt_Cntry" localSheetId="14">'[4]Shipments - kg'!$AD$140</definedName>
    <definedName name="Kg_Shpmt_Disct" localSheetId="14">'[4]Discounts - kg'!$A$200</definedName>
    <definedName name="Kg_Shpmts" localSheetId="14">'[4]Shipments - kg'!$A$9:$IV$135</definedName>
    <definedName name="Kg_Shpmts_AWPS_Reset" localSheetId="14">'[4]Shipments - kg'!$A$500</definedName>
    <definedName name="Kg_Shpmts_AWPS_Reset1" localSheetId="14">'[4]Shipments - kg'!$A$501</definedName>
    <definedName name="Kilograms" localSheetId="14">[4]Request!$P$25</definedName>
    <definedName name="Lb_Apprv_Dt" localSheetId="14">'[4]Approved Discts-lb'!$F$3</definedName>
    <definedName name="Lb_APPS_Chk" localSheetId="14">'[4]Shipments - lb'!$A$1138</definedName>
    <definedName name="Lb_AWPS_Chk" localSheetId="14">'[4]Shipments - lb'!$A$1117</definedName>
    <definedName name="Lb_Cntry_Disct" localSheetId="14">'[4]Discounts - lb'!$AB$108</definedName>
    <definedName name="lb_Disc_Edit_Check" localSheetId="14">'[4]Approved Discts-lb'!$AF$259</definedName>
    <definedName name="Lb_Discts" localSheetId="14">'[4]Discounts - lb'!$A$16:$IV$98</definedName>
    <definedName name="Lb_Dsc_Cntry" localSheetId="14">'[4]Discounts - lb'!$A$1:$IV$15</definedName>
    <definedName name="Lb_Dsc_IE_Cur_Disct" localSheetId="14">'[4]Discounts - lb'!$A$68:$IV$75</definedName>
    <definedName name="Lb_Dsc_IE_Hdr" localSheetId="14">'[4]Discounts - lb'!$A$60:$IV$62</definedName>
    <definedName name="Lb_Dsc_IE_Min_Hdr" localSheetId="14">'[4]Discounts - lb'!$A$63:$IV$64</definedName>
    <definedName name="Lb_Dsc_IE_Min_IE" localSheetId="14">'[4]Discounts - lb'!$A$65:$IV$65</definedName>
    <definedName name="Lb_Dsc_IE_Min_IEF" localSheetId="14">'[4]Discounts - lb'!$A$66:$IV$67</definedName>
    <definedName name="Lb_Dsc_IE_Pct_Disct" localSheetId="14">'[4]Discounts - lb'!$A$76:$IV$92</definedName>
    <definedName name="Lb_Dsc_IEF_Pct_Disct" localSheetId="14">'[4]Discounts - lb'!$A$93:$IV$99</definedName>
    <definedName name="Lb_Dsc_IEF8" localSheetId="14">'[4]Discounts - lb'!$A$94:$IV$94</definedName>
    <definedName name="Lb_Dsc_IP_Cur_Disct" localSheetId="14">'[4]Discounts - lb'!$A$25:$IV$31</definedName>
    <definedName name="Lb_Dsc_IP_Hdr" localSheetId="14">'[4]Discounts - lb'!$A$16:$IV$17</definedName>
    <definedName name="Lb_Dsc_IP_Min_Hdr" localSheetId="14">'[4]Discounts - lb'!$A$18:$IV$19</definedName>
    <definedName name="Lb_Dsc_IP_Min_IP" localSheetId="14">'[4]Discounts - lb'!$A$20:$IV$22</definedName>
    <definedName name="Lb_Dsc_IP_Min_IPF" localSheetId="14">'[4]Discounts - lb'!$A$23:$IV$24</definedName>
    <definedName name="Lb_Dsc_IP_Pct_Disct" localSheetId="14">'[4]Discounts - lb'!$A$32:$IV$50</definedName>
    <definedName name="Lb_Dsc_IPF_Pct_Disct" localSheetId="14">'[4]Discounts - lb'!$A$51:$IV$59</definedName>
    <definedName name="Lb_Dsc_IPF8" localSheetId="14">'[4]Discounts - lb'!$A$52:$IV$52</definedName>
    <definedName name="Lb_Dsc_Origin_Cntry" localSheetId="14">'[4]Discounts - lb'!$B$7:$AA$7</definedName>
    <definedName name="Lb_Incr_Shp_IE" localSheetId="14">'[4]Shipments - lb'!$A$162</definedName>
    <definedName name="Lb_Incr_Shp_IEF" localSheetId="14">'[4]Shipments - lb'!$A$163</definedName>
    <definedName name="Lb_Incr_Shp_IP" localSheetId="14">'[4]Shipments - lb'!$A$160</definedName>
    <definedName name="Lb_Incr_Shp_IPF" localSheetId="14">'[4]Shipments - lb'!$A$161</definedName>
    <definedName name="Lb_Rng_Cur_Disct_IE" localSheetId="14">'[4]Discounts - lb'!$B$72:$AA$74</definedName>
    <definedName name="Lb_Rng_Cur_Disct_IP" localSheetId="14">'[4]Discounts - lb'!$B$26:$AA$30</definedName>
    <definedName name="Lb_Rng_Disct_IE" localSheetId="14">'[4]Discounts - lb'!$B$78:$AA$84</definedName>
    <definedName name="Lb_Rng_Disct_IEF" localSheetId="14">'[4]Discounts - lb'!$B$94:$AA$98</definedName>
    <definedName name="Lb_Rng_Disct_IEHW" localSheetId="14">'[4]Discounts - lb'!$B$87:$AA$91</definedName>
    <definedName name="Lb_Rng_Disct_IP" localSheetId="14">'[4]Discounts - lb'!$B$34:$AA$42</definedName>
    <definedName name="Lb_Rng_Disct_IPF" localSheetId="14">'[4]Discounts - lb'!$B$52:$AA$56</definedName>
    <definedName name="Lb_Rng_Disct_IPHW" localSheetId="14">'[4]Discounts - lb'!$B$45:$AA$49</definedName>
    <definedName name="Lb_Rng_Disct_Min_IE" localSheetId="14">'[4]Discounts - lb'!$B$65:$AA$66</definedName>
    <definedName name="Lb_Rng_Disct_Min_IP" localSheetId="14">'[4]Discounts - lb'!$B$20:$AA$23</definedName>
    <definedName name="Lb_Rng_Shpmts_APPS_IE" localSheetId="14">'[4]Shipments - lb'!$C$119:$AB$129</definedName>
    <definedName name="Lb_Rng_Shpmts_APPS_IEF" localSheetId="14">'[4]Shipments - lb'!$C$131:$AB$135</definedName>
    <definedName name="Lb_Rng_Shpmts_APPS_IP" localSheetId="14">'[4]Shipments - lb'!$C$53:$AB$63</definedName>
    <definedName name="Lb_Rng_Shpmts_APPS_IPF" localSheetId="14">'[4]Shipments - lb'!$C$65:$AB$69</definedName>
    <definedName name="Lb_Rng_Shpmts_AWPS_IE" localSheetId="14">'[4]Shipments - lb'!$C$99:$AB$109</definedName>
    <definedName name="Lb_Rng_Shpmts_AWPS_IEF" localSheetId="14">'[4]Shipments - lb'!$C$111:$AB$115</definedName>
    <definedName name="Lb_Rng_Shpmts_AWPS_IP" localSheetId="14">'[4]Shipments - lb'!$C$34:$AB$44</definedName>
    <definedName name="Lb_Rng_Shpmts_AWPS_IPF" localSheetId="14">'[4]Shipments - lb'!$C$46:$AB$50</definedName>
    <definedName name="Lb_Rng_Shpmts_Incr_IE" localSheetId="14">'[4]Shipments - lb'!$C$75:$AB$86</definedName>
    <definedName name="Lb_Rng_Shpmts_Incr_IEF" localSheetId="14">'[4]Shipments - lb'!$C$88:$AB$92</definedName>
    <definedName name="Lb_Rng_Shpmts_Incr_IP" localSheetId="14">'[4]Shipments - lb'!$C$10:$AB$23</definedName>
    <definedName name="Lb_Rng_Shpmts_Incr_IPF" localSheetId="14">'[4]Shipments - lb'!$C$25:$AB$29</definedName>
    <definedName name="Lb_Shp_Cntry" localSheetId="14">'[4]Shipments - lb'!$A$1:$IV$8</definedName>
    <definedName name="Lb_Shp_IE_APPS" localSheetId="14">'[4]Shipments - lb'!$A$117:$IV$129</definedName>
    <definedName name="Lb_Shp_IE_AWPS" localSheetId="14">'[4]Shipments - lb'!$A$97:$IV$109</definedName>
    <definedName name="Lb_Shp_IE_Incr" localSheetId="14">'[4]Shipments - lb'!$A$72:$IV$86</definedName>
    <definedName name="Lb_Shp_IE_Tot" localSheetId="14">'[4]Shipments - lb'!$A$93:$IV$96</definedName>
    <definedName name="Lb_Shp_IEF_APPS" localSheetId="14">'[4]Shipments - lb'!$A$130:$IV$136</definedName>
    <definedName name="Lb_Shp_IEF_APPS_Hdr" localSheetId="14">'[4]Shipments - lb'!$A$117:$IV$118</definedName>
    <definedName name="Lb_Shp_IEF_AWPS" localSheetId="14">'[4]Shipments - lb'!$A$110:$IV$116</definedName>
    <definedName name="Lb_Shp_IEF_AWPS_Hdr" localSheetId="14">'[4]Shipments - lb'!$A$97:$IV$98</definedName>
    <definedName name="Lb_Shp_IEF_Incr" localSheetId="14">'[4]Shipments - lb'!$A$87:$IV$92</definedName>
    <definedName name="Lb_Shp_IEF_Incr_Hdr" localSheetId="14">'[4]Shipments - lb'!$A$72:$IV$73</definedName>
    <definedName name="Lb_Shp_IEF8_APPS" localSheetId="14">'[4]Shipments - lb'!$A$131:$IV$131</definedName>
    <definedName name="Lb_Shp_IEF8_AWPS" localSheetId="14">'[4]Shipments - lb'!$A$111:$IV$111</definedName>
    <definedName name="Lb_Shp_IEF8_Incr" localSheetId="14">'[4]Shipments - lb'!$A$88:$IV$88</definedName>
    <definedName name="Lb_Shp_IP_APPS" localSheetId="14">'[4]Shipments - lb'!$A$51:$IV$63</definedName>
    <definedName name="Lb_Shp_IP_AWPS" localSheetId="14">'[4]Shipments - lb'!$A$33:$IV$44</definedName>
    <definedName name="Lb_Shp_IP_Incr" localSheetId="14">'[4]Shipments - lb'!$A$9:$IV$23</definedName>
    <definedName name="Lb_Shp_IP_Tot" localSheetId="14">'[4]Shipments - lb'!$A$30:$IV$32</definedName>
    <definedName name="Lb_Shp_IPF_APPS" localSheetId="14">'[4]Shipments - lb'!$A$64:$IV$71</definedName>
    <definedName name="Lb_Shp_IPF_APPS_Hdr" localSheetId="14">'[4]Shipments - lb'!$A$51:$IV$52</definedName>
    <definedName name="Lb_Shp_IPF_AWPS" localSheetId="14">'[4]Shipments - lb'!$A$45:$IV$50</definedName>
    <definedName name="Lb_Shp_IPF_AWPS_Hdr" localSheetId="14">'[4]Shipments - lb'!$A$33:$IV$33</definedName>
    <definedName name="Lb_Shp_IPF_Incr" localSheetId="14">'[4]Shipments - lb'!$A$24:$IV$29</definedName>
    <definedName name="Lb_Shp_IPF_Incr_Hdr" localSheetId="14">'[4]Shipments - lb'!$A$9:$IV$9</definedName>
    <definedName name="Lb_Shp_IPF8_APPS" localSheetId="14">'[4]Shipments - lb'!$A$65:$IV$65</definedName>
    <definedName name="Lb_Shp_IPF8_AWPS" localSheetId="14">'[4]Shipments - lb'!$A$46:$IV$46</definedName>
    <definedName name="Lb_Shp_IPF8_Incr" localSheetId="14">'[4]Shipments - lb'!$A$25:$IV$25</definedName>
    <definedName name="Lb_Shp_Origin_Cntry" localSheetId="14">'[4]Shipments - lb'!$C$6:$AB$6</definedName>
    <definedName name="Lb_Shpmt_Cntry" localSheetId="14">'[4]Shipments - lb'!$AD$140</definedName>
    <definedName name="Lb_Shpmt_Disct" localSheetId="14">'[4]Discounts - lb'!$A$200</definedName>
    <definedName name="Lb_Shpmts" localSheetId="14">'[4]Shipments - lb'!$A$9:$IV$135</definedName>
    <definedName name="Lb_Shpmts_AWPS_Reset" localSheetId="14">'[4]Shipments - lb'!$A$500</definedName>
    <definedName name="Lb_Shpmts_AWPS_Reset1" localSheetId="14">'[4]Shipments - lb'!$A$501</definedName>
    <definedName name="LocalAccts" localSheetId="14">[4]TempVariables!$F$2</definedName>
    <definedName name="Locations" localSheetId="14">[4]Request!$C$124</definedName>
    <definedName name="LOOKUP" localSheetId="14">#REF!</definedName>
    <definedName name="Major_Origin_Cities" localSheetId="14">[4]Request!$E$124</definedName>
    <definedName name="MBG" localSheetId="14">[4]Request!$G$42</definedName>
    <definedName name="MBG_NotReq" localSheetId="14">[4]Request!$P$44</definedName>
    <definedName name="MBG_Option" localSheetId="14">[4]Request!$M$44</definedName>
    <definedName name="MBG_Req" localSheetId="14">[4]Request!$Q$44</definedName>
    <definedName name="MINTABLE" localSheetId="14">[11]SURCHARGES!$H$9:$U$15</definedName>
    <definedName name="ModelDate" localSheetId="14">[4]Request!$K$1</definedName>
    <definedName name="NatlAccts" localSheetId="14">[4]TempVariables!$A$2</definedName>
    <definedName name="NDAAll" localSheetId="14">'[11]Customer Info'!$V$9</definedName>
    <definedName name="Old_Payor_No" localSheetId="14">[4]Request!$E$56</definedName>
    <definedName name="Old_Shipper_No" localSheetId="14">[4]Request!$E$54</definedName>
    <definedName name="Op_Months" localSheetId="14">'[4]Shipments - current'!$B$1</definedName>
    <definedName name="Op_Scenario" localSheetId="14">[4]Request!$P$74</definedName>
    <definedName name="OpQ" localSheetId="14">[4]Request!$L$74</definedName>
    <definedName name="OptionType" localSheetId="14">[7]control!$F$27:$F$29</definedName>
    <definedName name="Orig_Region_1" localSheetId="14">[4]Request!$A$125</definedName>
    <definedName name="Orig_Region_10" localSheetId="14">[4]Request!$A$134</definedName>
    <definedName name="Orig_Region_11" localSheetId="14">[4]Request!$A$135</definedName>
    <definedName name="Orig_Region_12" localSheetId="14">[4]Request!$A$136</definedName>
    <definedName name="Orig_Region_13" localSheetId="14">[4]Request!$A$137</definedName>
    <definedName name="Orig_Region_14" localSheetId="14">[4]Request!$A$138</definedName>
    <definedName name="Orig_Region_15" localSheetId="14">[4]Request!$A$139</definedName>
    <definedName name="Orig_Region_16" localSheetId="14">[4]Request!$A$140</definedName>
    <definedName name="Orig_Region_17" localSheetId="14">[4]Request!$A$141</definedName>
    <definedName name="Orig_Region_18" localSheetId="14">[4]Request!$A$142</definedName>
    <definedName name="Orig_Region_19" localSheetId="14">[4]Request!$A$143</definedName>
    <definedName name="Orig_Region_2" localSheetId="14">[4]Request!$A$126</definedName>
    <definedName name="Orig_Region_20" localSheetId="14">[4]Request!$A$144</definedName>
    <definedName name="Orig_Region_21" localSheetId="14">[4]Request!$A$145</definedName>
    <definedName name="Orig_Region_22" localSheetId="14">[4]Request!$A$146</definedName>
    <definedName name="Orig_Region_23" localSheetId="14">[4]Request!$A$147</definedName>
    <definedName name="Orig_Region_24" localSheetId="14">[4]Request!$A$148</definedName>
    <definedName name="Orig_Region_25" localSheetId="14">[4]Request!$A$149</definedName>
    <definedName name="Orig_Region_26" localSheetId="14">[4]Request!$A$150</definedName>
    <definedName name="Orig_Region_3" localSheetId="14">[4]Request!$A$127</definedName>
    <definedName name="Orig_Region_4" localSheetId="14">[4]Request!$A$128</definedName>
    <definedName name="Orig_Region_5" localSheetId="14">[4]Request!$A$129</definedName>
    <definedName name="Orig_Region_6" localSheetId="14">[4]Request!$A$130</definedName>
    <definedName name="Orig_Region_7" localSheetId="14">[4]Request!$A$131</definedName>
    <definedName name="Orig_Region_8" localSheetId="14">[4]Request!$A$132</definedName>
    <definedName name="Orig_Region_9" localSheetId="14">[4]Request!$A$133</definedName>
    <definedName name="Orig1" localSheetId="14">[4]Request!$L$125</definedName>
    <definedName name="Orig10" localSheetId="14">[4]Request!$L$134</definedName>
    <definedName name="Orig11" localSheetId="14">[4]Request!$L$135</definedName>
    <definedName name="Orig12" localSheetId="14">[4]Request!$L$136</definedName>
    <definedName name="Orig13" localSheetId="14">[4]Request!$L$137</definedName>
    <definedName name="Orig14" localSheetId="14">[4]Request!$L$138</definedName>
    <definedName name="Orig15" localSheetId="14">[4]Request!$L$139</definedName>
    <definedName name="Orig16" localSheetId="14">[4]Request!$L$140</definedName>
    <definedName name="Orig17" localSheetId="14">[4]Request!$L$141</definedName>
    <definedName name="Orig18" localSheetId="14">[4]Request!$L$142</definedName>
    <definedName name="Orig19" localSheetId="14">[4]Request!$L$143</definedName>
    <definedName name="Orig2" localSheetId="14">[4]Request!$L$126</definedName>
    <definedName name="Orig20" localSheetId="14">[4]Request!$L$144</definedName>
    <definedName name="Orig21" localSheetId="14">[4]Request!$L$145</definedName>
    <definedName name="Orig22" localSheetId="14">[4]Request!$L$146</definedName>
    <definedName name="Orig23" localSheetId="14">[4]Request!$L$147</definedName>
    <definedName name="Orig24" localSheetId="14">[4]Request!$L$148</definedName>
    <definedName name="Orig25" localSheetId="14">[4]Request!$L$149</definedName>
    <definedName name="Orig26" localSheetId="14">[4]Request!$L$150</definedName>
    <definedName name="Orig3" localSheetId="14">[4]Request!$L$127</definedName>
    <definedName name="Orig4" localSheetId="14">[4]Request!$L$128</definedName>
    <definedName name="Orig5" localSheetId="14">[4]Request!$L$129</definedName>
    <definedName name="Orig6" localSheetId="14">[4]Request!$L$130</definedName>
    <definedName name="Orig7" localSheetId="14">[4]Request!$L$131</definedName>
    <definedName name="Orig8" localSheetId="14">[4]Request!$L$132</definedName>
    <definedName name="Orig9" localSheetId="14">[4]Request!$L$133</definedName>
    <definedName name="Origin" localSheetId="14">[4]Request!$B$124</definedName>
    <definedName name="Origin_Countries" localSheetId="14">[4]Request!$L$125:$L$150</definedName>
    <definedName name="Origin_Country_Code" localSheetId="14">[4]Countries!$G$4:$H$224</definedName>
    <definedName name="Origin_Country_Name_Code" localSheetId="14">[4]Countries!$B$4:$C$224</definedName>
    <definedName name="Origin_Scenario" localSheetId="14">[4]Request!$E$76</definedName>
    <definedName name="parcels" localSheetId="14">#REF!</definedName>
    <definedName name="Password" localSheetId="14">[4]TempVariables!$O$3</definedName>
    <definedName name="Payor_Acct1" localSheetId="14">[4]Request!$I$23</definedName>
    <definedName name="Payor_Acct2" localSheetId="14">[4]Request!$I$25</definedName>
    <definedName name="Payor_Acct3" localSheetId="14">[4]Request!$I$27</definedName>
    <definedName name="Payor_Country" localSheetId="14">[4]Request!$M$19</definedName>
    <definedName name="Payor_Table" localSheetId="14">[4]Countries!$HI$4:$HR$101</definedName>
    <definedName name="PayorRgn" localSheetId="14">[4]Request!$P$15</definedName>
    <definedName name="PNH" localSheetId="14">#REF!</definedName>
    <definedName name="Pricing_Requested" localSheetId="14">[4]Request!$A$33</definedName>
    <definedName name="Product" localSheetId="14">[7]control!$N$27:$N$38</definedName>
    <definedName name="Provinces_Cities" localSheetId="14">[4]Request!$E$125:$E$150</definedName>
    <definedName name="Range1" localSheetId="14">#REF!</definedName>
    <definedName name="Region" localSheetId="14">[4]Request!$O$16</definedName>
    <definedName name="Region_Rev" localSheetId="14">[4]Request!$E$112:$E$116</definedName>
    <definedName name="RO" localSheetId="14">#REF!</definedName>
    <definedName name="road" localSheetId="14">#REF!</definedName>
    <definedName name="RTH" localSheetId="14">#REF!</definedName>
    <definedName name="Sales_AE" localSheetId="14">[4]Request!$B$21</definedName>
    <definedName name="Sales_Manager" localSheetId="14">[4]Request!$B$19</definedName>
    <definedName name="SDAALL" localSheetId="14">'[11]Customer Info'!$V$15</definedName>
    <definedName name="Service_IE" localSheetId="14">[4]Request!$R$46</definedName>
    <definedName name="Service_IE_IEF" localSheetId="14">[4]Request!$R$47</definedName>
    <definedName name="Service_IEF" localSheetId="14">[4]Request!$S$46</definedName>
    <definedName name="Service_IP" localSheetId="14">[4]Request!$P$46</definedName>
    <definedName name="Service_IP_IPF" localSheetId="14">[4]Request!$P$47</definedName>
    <definedName name="Service_IPF" localSheetId="14">[4]Request!$Q$46</definedName>
    <definedName name="Service_Type" localSheetId="14">[4]Request!$L$48</definedName>
    <definedName name="Services_Requested" localSheetId="14">[4]Request!$A$42</definedName>
    <definedName name="Ship_Locations" localSheetId="14">[4]Request!$M$125:$M$150</definedName>
    <definedName name="Ship_Tender" localSheetId="14">[4]Request!$E$68</definedName>
    <definedName name="Show9DigitAccts" localSheetId="14">[4]TempVariables!$J$3</definedName>
    <definedName name="SlsChan" localSheetId="14">[7]control!$B$27:$B$28</definedName>
    <definedName name="Spec_Op" localSheetId="14">[4]Request!$A$72</definedName>
    <definedName name="StartMonth" localSheetId="14">[4]TempVariables!$G$3</definedName>
    <definedName name="Strategy" localSheetId="14">[4]Request!$A$108</definedName>
    <definedName name="SurchargeType" localSheetId="14">[7]control!$I$27:$I$32</definedName>
    <definedName name="TABLE" localSheetId="14">#REF!</definedName>
    <definedName name="TempVariables" localSheetId="14">[4]TempVariables!$A$1</definedName>
    <definedName name="Tier" localSheetId="14">'[12]Portfolio Discount'!#REF!</definedName>
    <definedName name="Tot_Annual_Rev" localSheetId="14">[4]Request!$E$117</definedName>
    <definedName name="USAcctsOnly" localSheetId="14">[4]TempVariables!$I$3</definedName>
    <definedName name="UserID" localSheetId="14">[4]TempVariables!$N$3</definedName>
    <definedName name="Value_2K" localSheetId="14">[4]Request!$E$88</definedName>
    <definedName name="values" localSheetId="14">[4]Request!$L$16:$O$150</definedName>
    <definedName name="WtMetric" localSheetId="14">[4]Request!$B$25</definedName>
    <definedName name="YN" localSheetId="14">[7]control!$P$27:$P$28</definedName>
    <definedName name="zone" localSheetId="14">#REF!</definedName>
    <definedName name="ZonedOut" localSheetId="14">[7]rates_input!$R$5:$Z$8</definedName>
    <definedName name="ZonedOut1" localSheetId="14">[7]rates_input!$I$6:$Z$8</definedName>
    <definedName name="ZonedOut2" localSheetId="14">[7]rates_input!$I$7:$Z$8</definedName>
    <definedName name="ZONELU" localSheetId="14">[11]SURCHARGES!$B$9:$D$59</definedName>
    <definedName name="Zones" localSheetId="14">#REF!,#REF!,#REF!,#REF!</definedName>
    <definedName name="Zones_New" localSheetId="14">[7]zones_input!$B$1:$G$65536</definedName>
    <definedName name="_Fill" localSheetId="15" hidden="1">[2]Express!#REF!</definedName>
    <definedName name="_Key1" localSheetId="15" hidden="1">#REF!</definedName>
    <definedName name="_Loc1" localSheetId="15">[3]Request!$M$125</definedName>
    <definedName name="_Loc10" localSheetId="15">[4]Request!$M$134</definedName>
    <definedName name="_Loc11" localSheetId="15">[4]Request!$M$135</definedName>
    <definedName name="_Loc12" localSheetId="15">[4]Request!$M$136</definedName>
    <definedName name="_Loc13" localSheetId="15">[4]Request!$M$137</definedName>
    <definedName name="_Loc14" localSheetId="15">[4]Request!$M$138</definedName>
    <definedName name="_Loc15" localSheetId="15">[4]Request!$M$139</definedName>
    <definedName name="_Loc16" localSheetId="15">[4]Request!$M$140</definedName>
    <definedName name="_Loc17" localSheetId="15">[4]Request!$M$141</definedName>
    <definedName name="_Loc18" localSheetId="15">[4]Request!$M$142</definedName>
    <definedName name="_Loc19" localSheetId="15">[4]Request!$M$143</definedName>
    <definedName name="_Loc2" localSheetId="15">[4]Request!$M$126</definedName>
    <definedName name="_Loc20" localSheetId="15">[4]Request!$M$144</definedName>
    <definedName name="_Loc21" localSheetId="15">[4]Request!$M$145</definedName>
    <definedName name="_Loc22" localSheetId="15">[4]Request!$M$146</definedName>
    <definedName name="_Loc23" localSheetId="15">[4]Request!$M$147</definedName>
    <definedName name="_Loc24" localSheetId="15">[4]Request!$M$148</definedName>
    <definedName name="_Loc25" localSheetId="15">[4]Request!$M$149</definedName>
    <definedName name="_Loc26" localSheetId="15">[4]Request!$M$150</definedName>
    <definedName name="_Loc3" localSheetId="15">[4]Request!$M$127</definedName>
    <definedName name="_Loc4" localSheetId="15">[4]Request!$M$128</definedName>
    <definedName name="_Loc5" localSheetId="15">[4]Request!$M$129</definedName>
    <definedName name="_Loc6" localSheetId="15">[4]Request!$M$130</definedName>
    <definedName name="_Loc7" localSheetId="15">[4]Request!$M$131</definedName>
    <definedName name="_Loc8" localSheetId="15">[4]Request!$M$132</definedName>
    <definedName name="_Loc9" localSheetId="15">[4]Request!$M$133</definedName>
    <definedName name="_Sort" localSheetId="15" hidden="1">[1]Express!#REF!</definedName>
    <definedName name="a" localSheetId="15" hidden="1">[1]Express!#REF!</definedName>
    <definedName name="Account" localSheetId="15">[4]Request!$B$17</definedName>
    <definedName name="Acct_number" localSheetId="15">[5]Summary!$E$2</definedName>
    <definedName name="AFD" localSheetId="15">#REF!</definedName>
    <definedName name="Agent" localSheetId="15">[4]Request!$A$60</definedName>
    <definedName name="Agent_Comm" localSheetId="15">[4]Request!$E$64</definedName>
    <definedName name="Agent_Delivery" localSheetId="15">[4]Request!$O$62</definedName>
    <definedName name="Agent_Involved" localSheetId="15">[4]Request!$P$62</definedName>
    <definedName name="Agent_Pickup" localSheetId="15">[4]Request!$N$62</definedName>
    <definedName name="Agent_Services" localSheetId="15">[4]Request!$E$66</definedName>
    <definedName name="AgentQ" localSheetId="15">[4]Request!$L$62</definedName>
    <definedName name="AllDiscountArea" localSheetId="15">[6]Discounts!$D$15:$Q$16,[6]Discounts!$S$15:$T$16,[6]Discounts!$D$22:$M$22,[6]Discounts!$O$22:$P$22,[6]Discounts!$T$22:$T$22,[6]Discounts!$D$29:$D$30,[6]Discounts!$F$29:$Q$30,[6]Discounts!$T$29:$T$30,[6]Discounts!$D$36:$D$36,[6]Discounts!$F$36:$M$36,[6]Discounts!$O$36:$P$36,[6]Discounts!$T$36:$T$36</definedName>
    <definedName name="Alph_countries" localSheetId="15">[7]zones_input!$A$2:$A$214</definedName>
    <definedName name="anakg" localSheetId="15">'[4]Shipments - kg current'!$D$1</definedName>
    <definedName name="analb" localSheetId="15">'[4]Shipments - lb current'!$D$1</definedName>
    <definedName name="ApDsctKgADNR" localSheetId="15">#REF!</definedName>
    <definedName name="ApDsctKgComm" localSheetId="15">#REF!</definedName>
    <definedName name="ApDsctKgH1" localSheetId="15">#REF!</definedName>
    <definedName name="ApDsctKgH2" localSheetId="15">#REF!</definedName>
    <definedName name="ApDsctKgIEAppCurDisct" localSheetId="15">#REF!</definedName>
    <definedName name="ApDsctKgIEAppMin" localSheetId="15">#REF!</definedName>
    <definedName name="ApDsctKgIEReqCurDisct" localSheetId="15">#REF!</definedName>
    <definedName name="ApDsctKgIEReqMin" localSheetId="15">#REF!</definedName>
    <definedName name="ApDsctKgIERestore" localSheetId="15">#REF!</definedName>
    <definedName name="ApDsctKgIPAppCurDisct" localSheetId="15">#REF!</definedName>
    <definedName name="ApDsctKgIPAppMin" localSheetId="15">#REF!</definedName>
    <definedName name="ApDsctKgIPReqCurDisct" localSheetId="15">#REF!</definedName>
    <definedName name="ApDsctKgIPReqMin" localSheetId="15">#REF!</definedName>
    <definedName name="ApDsctKgIPRestore" localSheetId="15">#REF!</definedName>
    <definedName name="ApDsctKgLR" localSheetId="15">#REF!</definedName>
    <definedName name="ApDsctKgLR1" localSheetId="15">#REF!</definedName>
    <definedName name="ApDsctKgQ1" localSheetId="15">#REF!</definedName>
    <definedName name="ApDsctKgQ10" localSheetId="15">#REF!</definedName>
    <definedName name="ApDsctKgQ2" localSheetId="15">#REF!</definedName>
    <definedName name="ApDsctKgQ3" localSheetId="15">#REF!</definedName>
    <definedName name="ApDsctKgQ4" localSheetId="15">#REF!</definedName>
    <definedName name="ApDsctKgQ5" localSheetId="15">#REF!</definedName>
    <definedName name="ApDsctKgQ6" localSheetId="15">#REF!</definedName>
    <definedName name="ApDsctKgQ7" localSheetId="15">#REF!</definedName>
    <definedName name="ApDsctKgQ8" localSheetId="15">#REF!</definedName>
    <definedName name="ApDsctKgQ9" localSheetId="15">#REF!</definedName>
    <definedName name="ApDsctKgRMIE" localSheetId="15">#REF!</definedName>
    <definedName name="ApDsctKgRMIP" localSheetId="15">#REF!</definedName>
    <definedName name="ApDsctKgSIE" localSheetId="15">#REF!</definedName>
    <definedName name="ApDsctKgSIP" localSheetId="15">#REF!</definedName>
    <definedName name="ApDsctLbADNR" localSheetId="15">'[4]Approved Discts-lb'!$F$7:$AE$7</definedName>
    <definedName name="ApDsctLbComm" localSheetId="15">'[4]Approved Discts-lb'!$F$159</definedName>
    <definedName name="ApDsctLbH1" localSheetId="15">'[4]Approved Discts-lb'!$F$3:$H$4</definedName>
    <definedName name="ApDsctLbH2" localSheetId="15">'[4]Approved Discts-lb'!$Z$3:$Z$4</definedName>
    <definedName name="ApDsctLbIEAppCurDisct" localSheetId="15">'[4]Approved Discts-lb'!$A$111:$AE$114</definedName>
    <definedName name="ApDsctLbIEAppMin" localSheetId="15">'[4]Approved Discts-lb'!$A$108:$AE$110</definedName>
    <definedName name="ApDsctLbIEReqCurDisct" localSheetId="15">'[4]Approved Discts-lb'!$A$85:$AE$88</definedName>
    <definedName name="ApDsctLbIEReqMin" localSheetId="15">'[4]Approved Discts-lb'!$B$82:$AE$84</definedName>
    <definedName name="ApDsctLbIERestore" localSheetId="15">'[4]Approved Discts-lb'!$F$364:$AE$387</definedName>
    <definedName name="ApDsctLbIPAppCurDisct" localSheetId="15">'[4]Approved Discts-lb'!$A$50:$AE$55</definedName>
    <definedName name="ApDsctLbIPAppMin" localSheetId="15">'[4]Approved Discts-lb'!$A$45:$AE$49</definedName>
    <definedName name="ApDsctLbIPReqCurDisct" localSheetId="15">'[4]Approved Discts-lb'!$A$18:$AE$23</definedName>
    <definedName name="ApDsctLbIPReqMin" localSheetId="15">'[4]Approved Discts-lb'!$A$13:$AE$17</definedName>
    <definedName name="ApDsctLbIPRestore" localSheetId="15">'[4]Approved Discts-lb'!$F$326:$AE$355</definedName>
    <definedName name="ApDsctLbLR" localSheetId="15">'[4]Approved Discts-lb'!$F$11:$AE$11</definedName>
    <definedName name="ApDsctLbLR1" localSheetId="15">'[4]Approved Discts-lb'!$F$81:$AE$81</definedName>
    <definedName name="ApDsctLbQ1" localSheetId="15">'[4]Approved Discts-lb'!$AG$134</definedName>
    <definedName name="ApDsctLbQ10" localSheetId="15">'[4]Approved Discts-lb'!$AG$154</definedName>
    <definedName name="ApDsctLbQ2" localSheetId="15">'[4]Approved Discts-lb'!$AG$136</definedName>
    <definedName name="ApDsctLbQ3" localSheetId="15">'[4]Approved Discts-lb'!$AG$138</definedName>
    <definedName name="ApDsctLbQ4" localSheetId="15">'[4]Approved Discts-lb'!$AG$141</definedName>
    <definedName name="ApDsctLbQ5" localSheetId="15">'[4]Approved Discts-lb'!$AG$143</definedName>
    <definedName name="ApDsctLbQ6" localSheetId="15">'[4]Approved Discts-lb'!$AG$145</definedName>
    <definedName name="ApDsctLbQ7" localSheetId="15">'[4]Approved Discts-lb'!$AG$147</definedName>
    <definedName name="ApDsctLbQ8" localSheetId="15">'[4]Approved Discts-lb'!$AG$149</definedName>
    <definedName name="ApDsctLbQ9" localSheetId="15">'[4]Approved Discts-lb'!$AG$151</definedName>
    <definedName name="ApDsctLbRMIE" localSheetId="15">'[4]Approved Discts-lb'!$F$109:$AE$132</definedName>
    <definedName name="ApDsctLbRMIP" localSheetId="15">'[4]Approved Discts-lb'!$F$46:$AE$75</definedName>
    <definedName name="ApDsctLbSIE" localSheetId="15">'[4]Approved Discts-lb'!$F$83:$AE$106</definedName>
    <definedName name="ApDsctLbSIP" localSheetId="15">'[4]Approved Discts-lb'!$F$14:$AE$43</definedName>
    <definedName name="Approval" localSheetId="15">[4]Request!$P$16</definedName>
    <definedName name="Bill_3P" localSheetId="15">[4]Request!$M$29</definedName>
    <definedName name="Bill_Consignee" localSheetId="15">[4]Request!$L$29</definedName>
    <definedName name="Billing_Option" localSheetId="15">[4]Request!$A$29</definedName>
    <definedName name="Business_Type" localSheetId="15">[4]Request!$G$31</definedName>
    <definedName name="BWE" localSheetId="15">[4]TempVariables!$K$3</definedName>
    <definedName name="Chk_Origin_Cntry" localSheetId="15">[4]Request!$L$151</definedName>
    <definedName name="Chk_Provinces_Cities" localSheetId="15">[4]Request!$S$151</definedName>
    <definedName name="Chk_Ship_Loc" localSheetId="15">[4]Request!$R$151</definedName>
    <definedName name="Clearance_Reqd" localSheetId="15">[4]Request!$A$82</definedName>
    <definedName name="Commodity1" localSheetId="15">[4]Request!$I$48</definedName>
    <definedName name="Commodity2" localSheetId="15">[4]Request!$I$49</definedName>
    <definedName name="Competitor" localSheetId="15">[4]Request!$I$54</definedName>
    <definedName name="CONTDE" localSheetId="15">#REF!</definedName>
    <definedName name="CONTFD" localSheetId="15">#REF!</definedName>
    <definedName name="CONTFE" localSheetId="15">#REF!</definedName>
    <definedName name="CONTPD" localSheetId="15">#REF!</definedName>
    <definedName name="CONTPE" localSheetId="15">#REF!</definedName>
    <definedName name="countries" localSheetId="15">[7]zones_input!$A$2:$C$202</definedName>
    <definedName name="country_selection" localSheetId="15">[7]control!$S$4:$S$5</definedName>
    <definedName name="CSource" localSheetId="15">[7]control!$D$27:$D$29</definedName>
    <definedName name="Cur_Disct" localSheetId="15">[4]Request!$P$19</definedName>
    <definedName name="Curr_and_Incr" localSheetId="15">[4]Request!$R$32</definedName>
    <definedName name="Curr_Incr" localSheetId="15">[4]Request!$M$32</definedName>
    <definedName name="Current" localSheetId="15">'[4]Shipments - current'!$E$4:$Z$65536</definedName>
    <definedName name="Current_Only" localSheetId="15">[4]Request!$P$32</definedName>
    <definedName name="CurrentDetail" localSheetId="15">'[4]Shipments - current'!$A$3</definedName>
    <definedName name="CurrentDetailEnd" localSheetId="15">'[4]Shipments - current'!$AH$3</definedName>
    <definedName name="Cust_Clear" localSheetId="15">[4]Request!$P$84</definedName>
    <definedName name="CustClearQ" localSheetId="15">[4]Request!$L$84</definedName>
    <definedName name="Customer" localSheetId="15">[8]Summary!$B$1</definedName>
    <definedName name="Date1" localSheetId="15">[4]Request!$P$17</definedName>
    <definedName name="Date2" localSheetId="15">[4]Request!$Q$17</definedName>
    <definedName name="Declared_Value" localSheetId="15">[4]Request!$E$89</definedName>
    <definedName name="Dest_Countries" localSheetId="15">[4]Request!$N$125:$N$150</definedName>
    <definedName name="Dest_Country_Copy" localSheetId="15">[4]Request!$R$19</definedName>
    <definedName name="Dest_Scenario" localSheetId="15">[4]Request!$E$78</definedName>
    <definedName name="Dest1" localSheetId="15">[4]Request!$N$125</definedName>
    <definedName name="Dest10" localSheetId="15">[4]Request!$N$134</definedName>
    <definedName name="Dest11" localSheetId="15">[4]Request!$N$135</definedName>
    <definedName name="Dest12" localSheetId="15">[4]Request!$N$136</definedName>
    <definedName name="Dest13" localSheetId="15">[4]Request!$N$137</definedName>
    <definedName name="Dest14" localSheetId="15">[4]Request!$N$138</definedName>
    <definedName name="Dest15" localSheetId="15">[4]Request!$N$139</definedName>
    <definedName name="Dest16" localSheetId="15">[4]Request!$N$140</definedName>
    <definedName name="Dest17" localSheetId="15">[4]Request!$N$141</definedName>
    <definedName name="Dest18" localSheetId="15">[4]Request!$N$142</definedName>
    <definedName name="Dest19" localSheetId="15">[4]Request!$N$143</definedName>
    <definedName name="Dest2" localSheetId="15">[4]Request!$N$126</definedName>
    <definedName name="Dest20" localSheetId="15">[4]Request!$N$144</definedName>
    <definedName name="Dest21" localSheetId="15">[4]Request!$N$145</definedName>
    <definedName name="Dest22" localSheetId="15">[4]Request!$N$146</definedName>
    <definedName name="Dest23" localSheetId="15">[4]Request!$N$147</definedName>
    <definedName name="Dest24" localSheetId="15">[4]Request!$N$148</definedName>
    <definedName name="Dest25" localSheetId="15">[4]Request!$N$149</definedName>
    <definedName name="Dest26" localSheetId="15">[4]Request!$N$150</definedName>
    <definedName name="Dest3" localSheetId="15">[4]Request!$N$127</definedName>
    <definedName name="Dest4" localSheetId="15">[4]Request!$N$128</definedName>
    <definedName name="Dest5" localSheetId="15">[4]Request!$N$129</definedName>
    <definedName name="Dest6" localSheetId="15">[4]Request!$N$130</definedName>
    <definedName name="Dest7" localSheetId="15">[4]Request!$N$131</definedName>
    <definedName name="Dest8" localSheetId="15">[4]Request!$N$132</definedName>
    <definedName name="Dest9" localSheetId="15">[4]Request!$N$133</definedName>
    <definedName name="Division" localSheetId="15">[7]control!$O$27:$O$28</definedName>
    <definedName name="DOT" localSheetId="15">[7]control!$L$27:$L$29</definedName>
    <definedName name="dox" localSheetId="15">#REF!</definedName>
    <definedName name="dsfd" localSheetId="15">#REF!</definedName>
    <definedName name="EndMonth" localSheetId="15">[4]TempVariables!$H$3</definedName>
    <definedName name="ExDocDisc" localSheetId="15">[6]Discounts!$D$15:$Q$15,[6]Discounts!$S$15:$T$15</definedName>
    <definedName name="ExNDocDisc" localSheetId="15">[6]Discounts!$D$16:$Q$16,[6]Discounts!$S$16:$T$16,[6]Discounts!$D$22:$M$22,[6]Discounts!$O$22:$P$22,[6]Discounts!$T$22:$T$22</definedName>
    <definedName name="Expt638" localSheetId="15">#REF!</definedName>
    <definedName name="ExptPrepaid" localSheetId="15">'[10]Expt Disc prepaid'!#REF!</definedName>
    <definedName name="FDX" localSheetId="15">[4]Request!$A$50</definedName>
    <definedName name="FDX_Shpmts" localSheetId="15">[4]Request!$P$52</definedName>
    <definedName name="FXShpQ" localSheetId="15">[4]Request!$L$52</definedName>
    <definedName name="GroundWB" localSheetId="15">'[11]Customer Info'!$Y$20:$AB$26</definedName>
    <definedName name="GrpExcl_ll" localSheetId="15">[4]TempVariables!$D$2</definedName>
    <definedName name="GrpExcl_ul" localSheetId="15">[4]TempVariables!$E$2</definedName>
    <definedName name="GrpIncl_ll" localSheetId="15">[4]TempVariables!$B$2</definedName>
    <definedName name="GrpIncl_ul" localSheetId="15">[4]TempVariables!$C$2</definedName>
    <definedName name="Header" localSheetId="15">'[9]Expt Disc prepaid'!#REF!</definedName>
    <definedName name="home" localSheetId="15">[4]Request!$B$17</definedName>
    <definedName name="ImDocDisc" localSheetId="15">[6]Discounts!$D$29,[6]Discounts!$F$29:$Q$29,[6]Discounts!$T$29</definedName>
    <definedName name="IMListRates" localSheetId="15">#REF!</definedName>
    <definedName name="ImNDocDisc" localSheetId="15">[6]Discounts!$D$30:$D$30,[6]Discounts!$F$30:$Q$30,[6]Discounts!$T$30:$T$30,[6]Discounts!$D$36:$D$36,[6]Discounts!$F$36:$M$36,[6]Discounts!$O$36:$P$36,[6]Discounts!$T$36:$T$36</definedName>
    <definedName name="Import" localSheetId="15">[4]Request!$Q$33</definedName>
    <definedName name="Import_Pricing" localSheetId="15">#REF!</definedName>
    <definedName name="Impt_Inbnd" localSheetId="15">[4]Request!$L$33</definedName>
    <definedName name="ImptCheck" localSheetId="15">[4]Request!$Q$19</definedName>
    <definedName name="Inbound" localSheetId="15">[4]Request!$P$33</definedName>
    <definedName name="Inbound_Pricing" localSheetId="15">#REF!</definedName>
    <definedName name="Incremental_Only" localSheetId="15">[4]Request!$Q$32</definedName>
    <definedName name="IZ" localSheetId="15">#REF!</definedName>
    <definedName name="Kg_Apprv_Dt" localSheetId="15">#REF!</definedName>
    <definedName name="Kg_APPS_Chk" localSheetId="15">'[4]Shipments - kg'!$A$1138</definedName>
    <definedName name="Kg_AWPS_Chk" localSheetId="15">'[4]Shipments - kg'!$A$1117</definedName>
    <definedName name="Kg_Cntry_Disct" localSheetId="15">'[4]Discounts - kg'!$AB$108</definedName>
    <definedName name="kg_Disc_Edit_Check" localSheetId="15">#REF!</definedName>
    <definedName name="Kg_Discts" localSheetId="15">'[4]Discounts - kg'!$A$16:$IV$98</definedName>
    <definedName name="Kg_Dsc_Cntry" localSheetId="15">'[4]Discounts - kg'!$A$1:$IV$15</definedName>
    <definedName name="Kg_Dsc_IE_Cur_Disct" localSheetId="15">'[4]Discounts - kg'!$A$68:$IV$75</definedName>
    <definedName name="Kg_Dsc_IE_Hdr" localSheetId="15">'[4]Discounts - kg'!$A$60:$IV$62</definedName>
    <definedName name="Kg_Dsc_IE_Min_Hdr" localSheetId="15">'[4]Discounts - kg'!$A$63:$IV$64</definedName>
    <definedName name="Kg_Dsc_IE_Min_IE" localSheetId="15">'[4]Discounts - kg'!$A$65:$IV$65</definedName>
    <definedName name="Kg_Dsc_IE_Min_IEF" localSheetId="15">'[4]Discounts - kg'!$A$66:$IV$67</definedName>
    <definedName name="Kg_Dsc_IE_Pct_Disct" localSheetId="15">'[4]Discounts - kg'!$A$76:$IV$92</definedName>
    <definedName name="Kg_Dsc_IEF_Pct_Disct" localSheetId="15">'[4]Discounts - kg'!$A$93:$IV$99</definedName>
    <definedName name="Kg_Dsc_IP_Cur_Disct" localSheetId="15">'[4]Discounts - kg'!$A$25:$IV$31</definedName>
    <definedName name="Kg_Dsc_IP_Hdr" localSheetId="15">'[4]Discounts - kg'!$A$16:$IV$17</definedName>
    <definedName name="Kg_Dsc_IP_Min_Hdr" localSheetId="15">'[4]Discounts - kg'!$A$18:$IV$19</definedName>
    <definedName name="Kg_Dsc_IP_Min_IP" localSheetId="15">'[4]Discounts - kg'!$A$20:$IV$22</definedName>
    <definedName name="Kg_Dsc_IP_Min_IPF" localSheetId="15">'[4]Discounts - kg'!$A$23:$IV$24</definedName>
    <definedName name="Kg_Dsc_IP_Pct_Disct" localSheetId="15">'[4]Discounts - kg'!$A$32:$IV$50</definedName>
    <definedName name="Kg_Dsc_IPF_Pct_Disct" localSheetId="15">'[4]Discounts - kg'!$A$51:$IV$59</definedName>
    <definedName name="Kg_Dsc_Origin_Cntry" localSheetId="15">'[4]Discounts - kg'!$B$7:$AA$7</definedName>
    <definedName name="Kg_Incr_Shp_IE" localSheetId="15">'[4]Shipments - kg'!$A$162</definedName>
    <definedName name="Kg_Incr_Shp_IEF" localSheetId="15">'[4]Shipments - kg'!$A$163</definedName>
    <definedName name="Kg_Incr_Shp_IP" localSheetId="15">'[4]Shipments - kg'!$A$160</definedName>
    <definedName name="Kg_Incr_Shp_IPF" localSheetId="15">'[4]Shipments - kg'!$A$161</definedName>
    <definedName name="Kg_Rng_Cur_Disct_IE" localSheetId="15">'[4]Discounts - kg'!$B$72:$AA$74</definedName>
    <definedName name="Kg_Rng_Cur_Disct_IP" localSheetId="15">'[4]Discounts - kg'!$B$26:$AA$30</definedName>
    <definedName name="Kg_Rng_Disct_IE" localSheetId="15">'[4]Discounts - kg'!$B$78:$AA$84</definedName>
    <definedName name="Kg_Rng_Disct_IEF" localSheetId="15">'[4]Discounts - kg'!$B$94:$AA$98</definedName>
    <definedName name="Kg_Rng_Disct_IEHW" localSheetId="15">'[4]Discounts - kg'!$B$87:$AA$91</definedName>
    <definedName name="Kg_Rng_Disct_IP" localSheetId="15">'[4]Discounts - kg'!$B$34:$AA$42</definedName>
    <definedName name="Kg_Rng_Disct_IPF" localSheetId="15">'[4]Discounts - kg'!$B$52:$AA$56</definedName>
    <definedName name="Kg_Rng_Disct_IPHW" localSheetId="15">'[4]Discounts - kg'!$B$45:$AA$49</definedName>
    <definedName name="Kg_Rng_Disct_Min_IE" localSheetId="15">'[4]Discounts - kg'!$B$65:$AA$66</definedName>
    <definedName name="Kg_Rng_Disct_Min_IP" localSheetId="15">'[4]Discounts - kg'!$B$20:$AA$23</definedName>
    <definedName name="Kg_Rng_Shpmts_APPS_IE" localSheetId="15">'[4]Shipments - kg'!$C$119:$AB$129</definedName>
    <definedName name="Kg_Rng_Shpmts_APPS_IEF" localSheetId="15">'[4]Shipments - kg'!$C$131:$AB$135</definedName>
    <definedName name="Kg_Rng_Shpmts_APPS_IP" localSheetId="15">'[4]Shipments - kg'!$C$53:$AB$63</definedName>
    <definedName name="Kg_Rng_Shpmts_APPS_IPF" localSheetId="15">'[4]Shipments - kg'!$C$65:$AB$69</definedName>
    <definedName name="Kg_Rng_Shpmts_AWPS_IE" localSheetId="15">'[4]Shipments - kg'!$C$99:$AB$109</definedName>
    <definedName name="Kg_Rng_Shpmts_AWPS_IEF" localSheetId="15">'[4]Shipments - kg'!$C$111:$AB$115</definedName>
    <definedName name="Kg_Rng_Shpmts_AWPS_IP" localSheetId="15">'[4]Shipments - kg'!$C$34:$AB$44</definedName>
    <definedName name="Kg_Rng_Shpmts_AWPS_IPF" localSheetId="15">'[4]Shipments - kg'!$C$46:$AB$50</definedName>
    <definedName name="Kg_Rng_Shpmts_Incr_IE" localSheetId="15">'[4]Shipments - kg'!$C$75:$AB$86</definedName>
    <definedName name="Kg_Rng_Shpmts_Incr_IEF" localSheetId="15">'[4]Shipments - kg'!$C$88:$AB$92</definedName>
    <definedName name="Kg_Rng_Shpmts_Incr_IP" localSheetId="15">'[4]Shipments - kg'!$C$10:$AB$23</definedName>
    <definedName name="Kg_Rng_Shpmts_Incr_IPF" localSheetId="15">'[4]Shipments - kg'!$C$25:$AB$29</definedName>
    <definedName name="Kg_Shp_Cntry" localSheetId="15">'[4]Shipments - kg'!$A$1:$IV$8</definedName>
    <definedName name="Kg_Shp_IE_APPS" localSheetId="15">'[4]Shipments - kg'!$A$117:$IV$129</definedName>
    <definedName name="Kg_Shp_IE_AWPS" localSheetId="15">'[4]Shipments - kg'!$A$97:$IV$109</definedName>
    <definedName name="Kg_Shp_IE_Incr" localSheetId="15">'[4]Shipments - kg'!$A$72:$IV$86</definedName>
    <definedName name="Kg_Shp_IE_Tot" localSheetId="15">'[4]Shipments - kg'!$A$93:$IV$96</definedName>
    <definedName name="Kg_Shp_IEF_APPS" localSheetId="15">'[4]Shipments - kg'!$A$130:$IV$136</definedName>
    <definedName name="Kg_Shp_IEF_APPS_Hdr" localSheetId="15">'[4]Shipments - kg'!$A$117:$IV$118</definedName>
    <definedName name="Kg_Shp_IEF_AWPS" localSheetId="15">'[4]Shipments - kg'!$A$110:$IV$116</definedName>
    <definedName name="Kg_Shp_IEF_AWPS_Hdr" localSheetId="15">'[4]Shipments - kg'!$A$97:$IV$98</definedName>
    <definedName name="Kg_Shp_IEF_Incr" localSheetId="15">'[4]Shipments - kg'!$A$87:$IV$92</definedName>
    <definedName name="Kg_Shp_IEF_Incr_Hdr" localSheetId="15">'[4]Shipments - kg'!$A$72:$IV$73</definedName>
    <definedName name="Kg_Shp_IP_APPS" localSheetId="15">'[4]Shipments - kg'!$A$51:$IV$63</definedName>
    <definedName name="Kg_Shp_IP_AWPS" localSheetId="15">'[4]Shipments - kg'!$A$33:$IV$44</definedName>
    <definedName name="Kg_Shp_IP_Incr" localSheetId="15">'[4]Shipments - kg'!$A$9:$IV$23</definedName>
    <definedName name="Kg_Shp_IP_Tot" localSheetId="15">'[4]Shipments - kg'!$A$30:$IV$32</definedName>
    <definedName name="Kg_Shp_IPF_APPS" localSheetId="15">'[4]Shipments - kg'!$A$64:$IV$71</definedName>
    <definedName name="Kg_Shp_IPF_APPS_Hdr" localSheetId="15">'[4]Shipments - kg'!$A$51:$IV$52</definedName>
    <definedName name="Kg_Shp_IPF_AWPS" localSheetId="15">'[4]Shipments - kg'!$A$45:$IV$50</definedName>
    <definedName name="Kg_Shp_IPF_AWPS_Hdr" localSheetId="15">'[4]Shipments - kg'!$A$33:$IV$33</definedName>
    <definedName name="Kg_Shp_IPF_Incr" localSheetId="15">'[4]Shipments - kg'!$A$24:$IV$29</definedName>
    <definedName name="Kg_Shp_IPF_Incr_Hdr" localSheetId="15">'[4]Shipments - kg'!$A$9:$IV$9</definedName>
    <definedName name="Kg_Shp_Origin_Cntry" localSheetId="15">'[4]Shipments - kg'!$C$6:$AB$6</definedName>
    <definedName name="Kg_Shpmt_Cntry" localSheetId="15">'[4]Shipments - kg'!$AD$140</definedName>
    <definedName name="Kg_Shpmt_Disct" localSheetId="15">'[4]Discounts - kg'!$A$200</definedName>
    <definedName name="Kg_Shpmts" localSheetId="15">'[4]Shipments - kg'!$A$9:$IV$135</definedName>
    <definedName name="Kg_Shpmts_AWPS_Reset" localSheetId="15">'[4]Shipments - kg'!$A$500</definedName>
    <definedName name="Kg_Shpmts_AWPS_Reset1" localSheetId="15">'[4]Shipments - kg'!$A$501</definedName>
    <definedName name="Kilograms" localSheetId="15">[4]Request!$P$25</definedName>
    <definedName name="Lb_Apprv_Dt" localSheetId="15">'[4]Approved Discts-lb'!$F$3</definedName>
    <definedName name="Lb_APPS_Chk" localSheetId="15">'[4]Shipments - lb'!$A$1138</definedName>
    <definedName name="Lb_AWPS_Chk" localSheetId="15">'[4]Shipments - lb'!$A$1117</definedName>
    <definedName name="Lb_Cntry_Disct" localSheetId="15">'[4]Discounts - lb'!$AB$108</definedName>
    <definedName name="lb_Disc_Edit_Check" localSheetId="15">'[4]Approved Discts-lb'!$AF$259</definedName>
    <definedName name="Lb_Discts" localSheetId="15">'[4]Discounts - lb'!$A$16:$IV$98</definedName>
    <definedName name="Lb_Dsc_Cntry" localSheetId="15">'[4]Discounts - lb'!$A$1:$IV$15</definedName>
    <definedName name="Lb_Dsc_IE_Cur_Disct" localSheetId="15">'[4]Discounts - lb'!$A$68:$IV$75</definedName>
    <definedName name="Lb_Dsc_IE_Hdr" localSheetId="15">'[4]Discounts - lb'!$A$60:$IV$62</definedName>
    <definedName name="Lb_Dsc_IE_Min_Hdr" localSheetId="15">'[4]Discounts - lb'!$A$63:$IV$64</definedName>
    <definedName name="Lb_Dsc_IE_Min_IE" localSheetId="15">'[4]Discounts - lb'!$A$65:$IV$65</definedName>
    <definedName name="Lb_Dsc_IE_Min_IEF" localSheetId="15">'[4]Discounts - lb'!$A$66:$IV$67</definedName>
    <definedName name="Lb_Dsc_IE_Pct_Disct" localSheetId="15">'[4]Discounts - lb'!$A$76:$IV$92</definedName>
    <definedName name="Lb_Dsc_IEF_Pct_Disct" localSheetId="15">'[4]Discounts - lb'!$A$93:$IV$99</definedName>
    <definedName name="Lb_Dsc_IEF8" localSheetId="15">'[4]Discounts - lb'!$A$94:$IV$94</definedName>
    <definedName name="Lb_Dsc_IP_Cur_Disct" localSheetId="15">'[4]Discounts - lb'!$A$25:$IV$31</definedName>
    <definedName name="Lb_Dsc_IP_Hdr" localSheetId="15">'[4]Discounts - lb'!$A$16:$IV$17</definedName>
    <definedName name="Lb_Dsc_IP_Min_Hdr" localSheetId="15">'[4]Discounts - lb'!$A$18:$IV$19</definedName>
    <definedName name="Lb_Dsc_IP_Min_IP" localSheetId="15">'[4]Discounts - lb'!$A$20:$IV$22</definedName>
    <definedName name="Lb_Dsc_IP_Min_IPF" localSheetId="15">'[4]Discounts - lb'!$A$23:$IV$24</definedName>
    <definedName name="Lb_Dsc_IP_Pct_Disct" localSheetId="15">'[4]Discounts - lb'!$A$32:$IV$50</definedName>
    <definedName name="Lb_Dsc_IPF_Pct_Disct" localSheetId="15">'[4]Discounts - lb'!$A$51:$IV$59</definedName>
    <definedName name="Lb_Dsc_IPF8" localSheetId="15">'[4]Discounts - lb'!$A$52:$IV$52</definedName>
    <definedName name="Lb_Dsc_Origin_Cntry" localSheetId="15">'[4]Discounts - lb'!$B$7:$AA$7</definedName>
    <definedName name="Lb_Incr_Shp_IE" localSheetId="15">'[4]Shipments - lb'!$A$162</definedName>
    <definedName name="Lb_Incr_Shp_IEF" localSheetId="15">'[4]Shipments - lb'!$A$163</definedName>
    <definedName name="Lb_Incr_Shp_IP" localSheetId="15">'[4]Shipments - lb'!$A$160</definedName>
    <definedName name="Lb_Incr_Shp_IPF" localSheetId="15">'[4]Shipments - lb'!$A$161</definedName>
    <definedName name="Lb_Rng_Cur_Disct_IE" localSheetId="15">'[4]Discounts - lb'!$B$72:$AA$74</definedName>
    <definedName name="Lb_Rng_Cur_Disct_IP" localSheetId="15">'[4]Discounts - lb'!$B$26:$AA$30</definedName>
    <definedName name="Lb_Rng_Disct_IE" localSheetId="15">'[4]Discounts - lb'!$B$78:$AA$84</definedName>
    <definedName name="Lb_Rng_Disct_IEF" localSheetId="15">'[4]Discounts - lb'!$B$94:$AA$98</definedName>
    <definedName name="Lb_Rng_Disct_IEHW" localSheetId="15">'[4]Discounts - lb'!$B$87:$AA$91</definedName>
    <definedName name="Lb_Rng_Disct_IP" localSheetId="15">'[4]Discounts - lb'!$B$34:$AA$42</definedName>
    <definedName name="Lb_Rng_Disct_IPF" localSheetId="15">'[4]Discounts - lb'!$B$52:$AA$56</definedName>
    <definedName name="Lb_Rng_Disct_IPHW" localSheetId="15">'[4]Discounts - lb'!$B$45:$AA$49</definedName>
    <definedName name="Lb_Rng_Disct_Min_IE" localSheetId="15">'[4]Discounts - lb'!$B$65:$AA$66</definedName>
    <definedName name="Lb_Rng_Disct_Min_IP" localSheetId="15">'[4]Discounts - lb'!$B$20:$AA$23</definedName>
    <definedName name="Lb_Rng_Shpmts_APPS_IE" localSheetId="15">'[4]Shipments - lb'!$C$119:$AB$129</definedName>
    <definedName name="Lb_Rng_Shpmts_APPS_IEF" localSheetId="15">'[4]Shipments - lb'!$C$131:$AB$135</definedName>
    <definedName name="Lb_Rng_Shpmts_APPS_IP" localSheetId="15">'[4]Shipments - lb'!$C$53:$AB$63</definedName>
    <definedName name="Lb_Rng_Shpmts_APPS_IPF" localSheetId="15">'[4]Shipments - lb'!$C$65:$AB$69</definedName>
    <definedName name="Lb_Rng_Shpmts_AWPS_IE" localSheetId="15">'[4]Shipments - lb'!$C$99:$AB$109</definedName>
    <definedName name="Lb_Rng_Shpmts_AWPS_IEF" localSheetId="15">'[4]Shipments - lb'!$C$111:$AB$115</definedName>
    <definedName name="Lb_Rng_Shpmts_AWPS_IP" localSheetId="15">'[4]Shipments - lb'!$C$34:$AB$44</definedName>
    <definedName name="Lb_Rng_Shpmts_AWPS_IPF" localSheetId="15">'[4]Shipments - lb'!$C$46:$AB$50</definedName>
    <definedName name="Lb_Rng_Shpmts_Incr_IE" localSheetId="15">'[4]Shipments - lb'!$C$75:$AB$86</definedName>
    <definedName name="Lb_Rng_Shpmts_Incr_IEF" localSheetId="15">'[4]Shipments - lb'!$C$88:$AB$92</definedName>
    <definedName name="Lb_Rng_Shpmts_Incr_IP" localSheetId="15">'[4]Shipments - lb'!$C$10:$AB$23</definedName>
    <definedName name="Lb_Rng_Shpmts_Incr_IPF" localSheetId="15">'[4]Shipments - lb'!$C$25:$AB$29</definedName>
    <definedName name="Lb_Shp_Cntry" localSheetId="15">'[4]Shipments - lb'!$A$1:$IV$8</definedName>
    <definedName name="Lb_Shp_IE_APPS" localSheetId="15">'[4]Shipments - lb'!$A$117:$IV$129</definedName>
    <definedName name="Lb_Shp_IE_AWPS" localSheetId="15">'[4]Shipments - lb'!$A$97:$IV$109</definedName>
    <definedName name="Lb_Shp_IE_Incr" localSheetId="15">'[4]Shipments - lb'!$A$72:$IV$86</definedName>
    <definedName name="Lb_Shp_IE_Tot" localSheetId="15">'[4]Shipments - lb'!$A$93:$IV$96</definedName>
    <definedName name="Lb_Shp_IEF_APPS" localSheetId="15">'[4]Shipments - lb'!$A$130:$IV$136</definedName>
    <definedName name="Lb_Shp_IEF_APPS_Hdr" localSheetId="15">'[4]Shipments - lb'!$A$117:$IV$118</definedName>
    <definedName name="Lb_Shp_IEF_AWPS" localSheetId="15">'[4]Shipments - lb'!$A$110:$IV$116</definedName>
    <definedName name="Lb_Shp_IEF_AWPS_Hdr" localSheetId="15">'[4]Shipments - lb'!$A$97:$IV$98</definedName>
    <definedName name="Lb_Shp_IEF_Incr" localSheetId="15">'[4]Shipments - lb'!$A$87:$IV$92</definedName>
    <definedName name="Lb_Shp_IEF_Incr_Hdr" localSheetId="15">'[4]Shipments - lb'!$A$72:$IV$73</definedName>
    <definedName name="Lb_Shp_IEF8_APPS" localSheetId="15">'[4]Shipments - lb'!$A$131:$IV$131</definedName>
    <definedName name="Lb_Shp_IEF8_AWPS" localSheetId="15">'[4]Shipments - lb'!$A$111:$IV$111</definedName>
    <definedName name="Lb_Shp_IEF8_Incr" localSheetId="15">'[4]Shipments - lb'!$A$88:$IV$88</definedName>
    <definedName name="Lb_Shp_IP_APPS" localSheetId="15">'[4]Shipments - lb'!$A$51:$IV$63</definedName>
    <definedName name="Lb_Shp_IP_AWPS" localSheetId="15">'[4]Shipments - lb'!$A$33:$IV$44</definedName>
    <definedName name="Lb_Shp_IP_Incr" localSheetId="15">'[4]Shipments - lb'!$A$9:$IV$23</definedName>
    <definedName name="Lb_Shp_IP_Tot" localSheetId="15">'[4]Shipments - lb'!$A$30:$IV$32</definedName>
    <definedName name="Lb_Shp_IPF_APPS" localSheetId="15">'[4]Shipments - lb'!$A$64:$IV$71</definedName>
    <definedName name="Lb_Shp_IPF_APPS_Hdr" localSheetId="15">'[4]Shipments - lb'!$A$51:$IV$52</definedName>
    <definedName name="Lb_Shp_IPF_AWPS" localSheetId="15">'[4]Shipments - lb'!$A$45:$IV$50</definedName>
    <definedName name="Lb_Shp_IPF_AWPS_Hdr" localSheetId="15">'[4]Shipments - lb'!$A$33:$IV$33</definedName>
    <definedName name="Lb_Shp_IPF_Incr" localSheetId="15">'[4]Shipments - lb'!$A$24:$IV$29</definedName>
    <definedName name="Lb_Shp_IPF_Incr_Hdr" localSheetId="15">'[4]Shipments - lb'!$A$9:$IV$9</definedName>
    <definedName name="Lb_Shp_IPF8_APPS" localSheetId="15">'[4]Shipments - lb'!$A$65:$IV$65</definedName>
    <definedName name="Lb_Shp_IPF8_AWPS" localSheetId="15">'[4]Shipments - lb'!$A$46:$IV$46</definedName>
    <definedName name="Lb_Shp_IPF8_Incr" localSheetId="15">'[4]Shipments - lb'!$A$25:$IV$25</definedName>
    <definedName name="Lb_Shp_Origin_Cntry" localSheetId="15">'[4]Shipments - lb'!$C$6:$AB$6</definedName>
    <definedName name="Lb_Shpmt_Cntry" localSheetId="15">'[4]Shipments - lb'!$AD$140</definedName>
    <definedName name="Lb_Shpmt_Disct" localSheetId="15">'[4]Discounts - lb'!$A$200</definedName>
    <definedName name="Lb_Shpmts" localSheetId="15">'[4]Shipments - lb'!$A$9:$IV$135</definedName>
    <definedName name="Lb_Shpmts_AWPS_Reset" localSheetId="15">'[4]Shipments - lb'!$A$500</definedName>
    <definedName name="Lb_Shpmts_AWPS_Reset1" localSheetId="15">'[4]Shipments - lb'!$A$501</definedName>
    <definedName name="LocalAccts" localSheetId="15">[4]TempVariables!$F$2</definedName>
    <definedName name="Locations" localSheetId="15">[4]Request!$C$124</definedName>
    <definedName name="LOOKUP" localSheetId="15">#REF!</definedName>
    <definedName name="Major_Origin_Cities" localSheetId="15">[4]Request!$E$124</definedName>
    <definedName name="MBG" localSheetId="15">[4]Request!$G$42</definedName>
    <definedName name="MBG_NotReq" localSheetId="15">[4]Request!$P$44</definedName>
    <definedName name="MBG_Option" localSheetId="15">[4]Request!$M$44</definedName>
    <definedName name="MBG_Req" localSheetId="15">[4]Request!$Q$44</definedName>
    <definedName name="MINTABLE" localSheetId="15">[11]SURCHARGES!$H$9:$U$15</definedName>
    <definedName name="ModelDate" localSheetId="15">[4]Request!$K$1</definedName>
    <definedName name="NatlAccts" localSheetId="15">[4]TempVariables!$A$2</definedName>
    <definedName name="NDAAll" localSheetId="15">'[11]Customer Info'!$V$9</definedName>
    <definedName name="Old_Payor_No" localSheetId="15">[4]Request!$E$56</definedName>
    <definedName name="Old_Shipper_No" localSheetId="15">[4]Request!$E$54</definedName>
    <definedName name="Op_Months" localSheetId="15">'[4]Shipments - current'!$B$1</definedName>
    <definedName name="Op_Scenario" localSheetId="15">[4]Request!$P$74</definedName>
    <definedName name="OpQ" localSheetId="15">[4]Request!$L$74</definedName>
    <definedName name="OptionType" localSheetId="15">[7]control!$F$27:$F$29</definedName>
    <definedName name="Orig_Region_1" localSheetId="15">[4]Request!$A$125</definedName>
    <definedName name="Orig_Region_10" localSheetId="15">[4]Request!$A$134</definedName>
    <definedName name="Orig_Region_11" localSheetId="15">[4]Request!$A$135</definedName>
    <definedName name="Orig_Region_12" localSheetId="15">[4]Request!$A$136</definedName>
    <definedName name="Orig_Region_13" localSheetId="15">[4]Request!$A$137</definedName>
    <definedName name="Orig_Region_14" localSheetId="15">[4]Request!$A$138</definedName>
    <definedName name="Orig_Region_15" localSheetId="15">[4]Request!$A$139</definedName>
    <definedName name="Orig_Region_16" localSheetId="15">[4]Request!$A$140</definedName>
    <definedName name="Orig_Region_17" localSheetId="15">[4]Request!$A$141</definedName>
    <definedName name="Orig_Region_18" localSheetId="15">[4]Request!$A$142</definedName>
    <definedName name="Orig_Region_19" localSheetId="15">[4]Request!$A$143</definedName>
    <definedName name="Orig_Region_2" localSheetId="15">[4]Request!$A$126</definedName>
    <definedName name="Orig_Region_20" localSheetId="15">[4]Request!$A$144</definedName>
    <definedName name="Orig_Region_21" localSheetId="15">[4]Request!$A$145</definedName>
    <definedName name="Orig_Region_22" localSheetId="15">[4]Request!$A$146</definedName>
    <definedName name="Orig_Region_23" localSheetId="15">[4]Request!$A$147</definedName>
    <definedName name="Orig_Region_24" localSheetId="15">[4]Request!$A$148</definedName>
    <definedName name="Orig_Region_25" localSheetId="15">[4]Request!$A$149</definedName>
    <definedName name="Orig_Region_26" localSheetId="15">[4]Request!$A$150</definedName>
    <definedName name="Orig_Region_3" localSheetId="15">[4]Request!$A$127</definedName>
    <definedName name="Orig_Region_4" localSheetId="15">[4]Request!$A$128</definedName>
    <definedName name="Orig_Region_5" localSheetId="15">[4]Request!$A$129</definedName>
    <definedName name="Orig_Region_6" localSheetId="15">[4]Request!$A$130</definedName>
    <definedName name="Orig_Region_7" localSheetId="15">[4]Request!$A$131</definedName>
    <definedName name="Orig_Region_8" localSheetId="15">[4]Request!$A$132</definedName>
    <definedName name="Orig_Region_9" localSheetId="15">[4]Request!$A$133</definedName>
    <definedName name="Orig1" localSheetId="15">[4]Request!$L$125</definedName>
    <definedName name="Orig10" localSheetId="15">[4]Request!$L$134</definedName>
    <definedName name="Orig11" localSheetId="15">[4]Request!$L$135</definedName>
    <definedName name="Orig12" localSheetId="15">[4]Request!$L$136</definedName>
    <definedName name="Orig13" localSheetId="15">[4]Request!$L$137</definedName>
    <definedName name="Orig14" localSheetId="15">[4]Request!$L$138</definedName>
    <definedName name="Orig15" localSheetId="15">[4]Request!$L$139</definedName>
    <definedName name="Orig16" localSheetId="15">[4]Request!$L$140</definedName>
    <definedName name="Orig17" localSheetId="15">[4]Request!$L$141</definedName>
    <definedName name="Orig18" localSheetId="15">[4]Request!$L$142</definedName>
    <definedName name="Orig19" localSheetId="15">[4]Request!$L$143</definedName>
    <definedName name="Orig2" localSheetId="15">[4]Request!$L$126</definedName>
    <definedName name="Orig20" localSheetId="15">[4]Request!$L$144</definedName>
    <definedName name="Orig21" localSheetId="15">[4]Request!$L$145</definedName>
    <definedName name="Orig22" localSheetId="15">[4]Request!$L$146</definedName>
    <definedName name="Orig23" localSheetId="15">[4]Request!$L$147</definedName>
    <definedName name="Orig24" localSheetId="15">[4]Request!$L$148</definedName>
    <definedName name="Orig25" localSheetId="15">[4]Request!$L$149</definedName>
    <definedName name="Orig26" localSheetId="15">[4]Request!$L$150</definedName>
    <definedName name="Orig3" localSheetId="15">[4]Request!$L$127</definedName>
    <definedName name="Orig4" localSheetId="15">[4]Request!$L$128</definedName>
    <definedName name="Orig5" localSheetId="15">[4]Request!$L$129</definedName>
    <definedName name="Orig6" localSheetId="15">[4]Request!$L$130</definedName>
    <definedName name="Orig7" localSheetId="15">[4]Request!$L$131</definedName>
    <definedName name="Orig8" localSheetId="15">[4]Request!$L$132</definedName>
    <definedName name="Orig9" localSheetId="15">[4]Request!$L$133</definedName>
    <definedName name="Origin" localSheetId="15">[4]Request!$B$124</definedName>
    <definedName name="Origin_Countries" localSheetId="15">[4]Request!$L$125:$L$150</definedName>
    <definedName name="Origin_Country_Code" localSheetId="15">[4]Countries!$G$4:$H$224</definedName>
    <definedName name="Origin_Country_Name_Code" localSheetId="15">[4]Countries!$B$4:$C$224</definedName>
    <definedName name="Origin_Scenario" localSheetId="15">[4]Request!$E$76</definedName>
    <definedName name="parcels" localSheetId="15">#REF!</definedName>
    <definedName name="Password" localSheetId="15">[4]TempVariables!$O$3</definedName>
    <definedName name="Payor_Acct1" localSheetId="15">[4]Request!$I$23</definedName>
    <definedName name="Payor_Acct2" localSheetId="15">[4]Request!$I$25</definedName>
    <definedName name="Payor_Acct3" localSheetId="15">[4]Request!$I$27</definedName>
    <definedName name="Payor_Country" localSheetId="15">[4]Request!$M$19</definedName>
    <definedName name="Payor_Table" localSheetId="15">[4]Countries!$HI$4:$HR$101</definedName>
    <definedName name="PayorRgn" localSheetId="15">[4]Request!$P$15</definedName>
    <definedName name="PNH" localSheetId="15">#REF!</definedName>
    <definedName name="Pricing_Requested" localSheetId="15">[4]Request!$A$33</definedName>
    <definedName name="Product" localSheetId="15">[7]control!$N$27:$N$38</definedName>
    <definedName name="Provinces_Cities" localSheetId="15">[4]Request!$E$125:$E$150</definedName>
    <definedName name="Range1" localSheetId="15">#REF!</definedName>
    <definedName name="Region" localSheetId="15">[4]Request!$O$16</definedName>
    <definedName name="Region_Rev" localSheetId="15">[4]Request!$E$112:$E$116</definedName>
    <definedName name="RO" localSheetId="15">#REF!</definedName>
    <definedName name="road" localSheetId="15">#REF!</definedName>
    <definedName name="RTH" localSheetId="15">#REF!</definedName>
    <definedName name="Sales_AE" localSheetId="15">[4]Request!$B$21</definedName>
    <definedName name="Sales_Manager" localSheetId="15">[4]Request!$B$19</definedName>
    <definedName name="SDAALL" localSheetId="15">'[11]Customer Info'!$V$15</definedName>
    <definedName name="Service_IE" localSheetId="15">[4]Request!$R$46</definedName>
    <definedName name="Service_IE_IEF" localSheetId="15">[4]Request!$R$47</definedName>
    <definedName name="Service_IEF" localSheetId="15">[4]Request!$S$46</definedName>
    <definedName name="Service_IP" localSheetId="15">[4]Request!$P$46</definedName>
    <definedName name="Service_IP_IPF" localSheetId="15">[4]Request!$P$47</definedName>
    <definedName name="Service_IPF" localSheetId="15">[4]Request!$Q$46</definedName>
    <definedName name="Service_Type" localSheetId="15">[4]Request!$L$48</definedName>
    <definedName name="Services_Requested" localSheetId="15">[4]Request!$A$42</definedName>
    <definedName name="Ship_Locations" localSheetId="15">[4]Request!$M$125:$M$150</definedName>
    <definedName name="Ship_Tender" localSheetId="15">[4]Request!$E$68</definedName>
    <definedName name="Show9DigitAccts" localSheetId="15">[4]TempVariables!$J$3</definedName>
    <definedName name="SlsChan" localSheetId="15">[7]control!$B$27:$B$28</definedName>
    <definedName name="Spec_Op" localSheetId="15">[4]Request!$A$72</definedName>
    <definedName name="StartMonth" localSheetId="15">[4]TempVariables!$G$3</definedName>
    <definedName name="Strategy" localSheetId="15">[4]Request!$A$108</definedName>
    <definedName name="SurchargeType" localSheetId="15">[7]control!$I$27:$I$32</definedName>
    <definedName name="TABLE" localSheetId="15">#REF!</definedName>
    <definedName name="TempVariables" localSheetId="15">[4]TempVariables!$A$1</definedName>
    <definedName name="Tier" localSheetId="15">'[12]Portfolio Discount'!#REF!</definedName>
    <definedName name="Tot_Annual_Rev" localSheetId="15">[4]Request!$E$117</definedName>
    <definedName name="USAcctsOnly" localSheetId="15">[4]TempVariables!$I$3</definedName>
    <definedName name="UserID" localSheetId="15">[4]TempVariables!$N$3</definedName>
    <definedName name="Value_2K" localSheetId="15">[4]Request!$E$88</definedName>
    <definedName name="values" localSheetId="15">[4]Request!$L$16:$O$150</definedName>
    <definedName name="WtMetric" localSheetId="15">[4]Request!$B$25</definedName>
    <definedName name="YN" localSheetId="15">[7]control!$P$27:$P$28</definedName>
    <definedName name="zone" localSheetId="15">#REF!</definedName>
    <definedName name="ZonedOut" localSheetId="15">[7]rates_input!$R$5:$Z$8</definedName>
    <definedName name="ZonedOut1" localSheetId="15">[7]rates_input!$I$6:$Z$8</definedName>
    <definedName name="ZonedOut2" localSheetId="15">[7]rates_input!$I$7:$Z$8</definedName>
    <definedName name="ZONELU" localSheetId="15">[11]SURCHARGES!$B$9:$D$59</definedName>
    <definedName name="Zones" localSheetId="15">#REF!,#REF!,#REF!,#REF!</definedName>
    <definedName name="Zones_New" localSheetId="15">[7]zones_input!$B$1:$G$65536</definedName>
    <definedName name="_Fill" localSheetId="16" hidden="1">[2]Express!#REF!</definedName>
    <definedName name="_Key1" localSheetId="16" hidden="1">#REF!</definedName>
    <definedName name="_Loc1" localSheetId="16">[3]Request!$M$125</definedName>
    <definedName name="_Loc10" localSheetId="16">[4]Request!$M$134</definedName>
    <definedName name="_Loc11" localSheetId="16">[4]Request!$M$135</definedName>
    <definedName name="_Loc12" localSheetId="16">[4]Request!$M$136</definedName>
    <definedName name="_Loc13" localSheetId="16">[4]Request!$M$137</definedName>
    <definedName name="_Loc14" localSheetId="16">[4]Request!$M$138</definedName>
    <definedName name="_Loc15" localSheetId="16">[4]Request!$M$139</definedName>
    <definedName name="_Loc16" localSheetId="16">[4]Request!$M$140</definedName>
    <definedName name="_Loc17" localSheetId="16">[4]Request!$M$141</definedName>
    <definedName name="_Loc18" localSheetId="16">[4]Request!$M$142</definedName>
    <definedName name="_Loc19" localSheetId="16">[4]Request!$M$143</definedName>
    <definedName name="_Loc2" localSheetId="16">[4]Request!$M$126</definedName>
    <definedName name="_Loc20" localSheetId="16">[4]Request!$M$144</definedName>
    <definedName name="_Loc21" localSheetId="16">[4]Request!$M$145</definedName>
    <definedName name="_Loc22" localSheetId="16">[4]Request!$M$146</definedName>
    <definedName name="_Loc23" localSheetId="16">[4]Request!$M$147</definedName>
    <definedName name="_Loc24" localSheetId="16">[4]Request!$M$148</definedName>
    <definedName name="_Loc25" localSheetId="16">[4]Request!$M$149</definedName>
    <definedName name="_Loc26" localSheetId="16">[4]Request!$M$150</definedName>
    <definedName name="_Loc3" localSheetId="16">[4]Request!$M$127</definedName>
    <definedName name="_Loc4" localSheetId="16">[4]Request!$M$128</definedName>
    <definedName name="_Loc5" localSheetId="16">[4]Request!$M$129</definedName>
    <definedName name="_Loc6" localSheetId="16">[4]Request!$M$130</definedName>
    <definedName name="_Loc7" localSheetId="16">[4]Request!$M$131</definedName>
    <definedName name="_Loc8" localSheetId="16">[4]Request!$M$132</definedName>
    <definedName name="_Loc9" localSheetId="16">[4]Request!$M$133</definedName>
    <definedName name="_Sort" localSheetId="16" hidden="1">[1]Express!#REF!</definedName>
    <definedName name="a" localSheetId="16" hidden="1">[1]Express!#REF!</definedName>
    <definedName name="Account" localSheetId="16">[4]Request!$B$17</definedName>
    <definedName name="Acct_number" localSheetId="16">[5]Summary!$E$2</definedName>
    <definedName name="AFD" localSheetId="16">#REF!</definedName>
    <definedName name="Agent" localSheetId="16">[4]Request!$A$60</definedName>
    <definedName name="Agent_Comm" localSheetId="16">[4]Request!$E$64</definedName>
    <definedName name="Agent_Delivery" localSheetId="16">[4]Request!$O$62</definedName>
    <definedName name="Agent_Involved" localSheetId="16">[4]Request!$P$62</definedName>
    <definedName name="Agent_Pickup" localSheetId="16">[4]Request!$N$62</definedName>
    <definedName name="Agent_Services" localSheetId="16">[4]Request!$E$66</definedName>
    <definedName name="AgentQ" localSheetId="16">[4]Request!$L$62</definedName>
    <definedName name="AllDiscountArea" localSheetId="16">[6]Discounts!$D$15:$Q$16,[6]Discounts!$S$15:$T$16,[6]Discounts!$D$22:$M$22,[6]Discounts!$O$22:$P$22,[6]Discounts!$T$22:$T$22,[6]Discounts!$D$29:$D$30,[6]Discounts!$F$29:$Q$30,[6]Discounts!$T$29:$T$30,[6]Discounts!$D$36:$D$36,[6]Discounts!$F$36:$M$36,[6]Discounts!$O$36:$P$36,[6]Discounts!$T$36:$T$36</definedName>
    <definedName name="Alph_countries" localSheetId="16">[7]zones_input!$A$2:$A$214</definedName>
    <definedName name="anakg" localSheetId="16">'[4]Shipments - kg current'!$D$1</definedName>
    <definedName name="analb" localSheetId="16">'[4]Shipments - lb current'!$D$1</definedName>
    <definedName name="ApDsctKgADNR" localSheetId="16">#REF!</definedName>
    <definedName name="ApDsctKgComm" localSheetId="16">#REF!</definedName>
    <definedName name="ApDsctKgH1" localSheetId="16">#REF!</definedName>
    <definedName name="ApDsctKgH2" localSheetId="16">#REF!</definedName>
    <definedName name="ApDsctKgIEAppCurDisct" localSheetId="16">#REF!</definedName>
    <definedName name="ApDsctKgIEAppMin" localSheetId="16">#REF!</definedName>
    <definedName name="ApDsctKgIEReqCurDisct" localSheetId="16">#REF!</definedName>
    <definedName name="ApDsctKgIEReqMin" localSheetId="16">#REF!</definedName>
    <definedName name="ApDsctKgIERestore" localSheetId="16">#REF!</definedName>
    <definedName name="ApDsctKgIPAppCurDisct" localSheetId="16">#REF!</definedName>
    <definedName name="ApDsctKgIPAppMin" localSheetId="16">#REF!</definedName>
    <definedName name="ApDsctKgIPReqCurDisct" localSheetId="16">#REF!</definedName>
    <definedName name="ApDsctKgIPReqMin" localSheetId="16">#REF!</definedName>
    <definedName name="ApDsctKgIPRestore" localSheetId="16">#REF!</definedName>
    <definedName name="ApDsctKgLR" localSheetId="16">#REF!</definedName>
    <definedName name="ApDsctKgLR1" localSheetId="16">#REF!</definedName>
    <definedName name="ApDsctKgQ1" localSheetId="16">#REF!</definedName>
    <definedName name="ApDsctKgQ10" localSheetId="16">#REF!</definedName>
    <definedName name="ApDsctKgQ2" localSheetId="16">#REF!</definedName>
    <definedName name="ApDsctKgQ3" localSheetId="16">#REF!</definedName>
    <definedName name="ApDsctKgQ4" localSheetId="16">#REF!</definedName>
    <definedName name="ApDsctKgQ5" localSheetId="16">#REF!</definedName>
    <definedName name="ApDsctKgQ6" localSheetId="16">#REF!</definedName>
    <definedName name="ApDsctKgQ7" localSheetId="16">#REF!</definedName>
    <definedName name="ApDsctKgQ8" localSheetId="16">#REF!</definedName>
    <definedName name="ApDsctKgQ9" localSheetId="16">#REF!</definedName>
    <definedName name="ApDsctKgRMIE" localSheetId="16">#REF!</definedName>
    <definedName name="ApDsctKgRMIP" localSheetId="16">#REF!</definedName>
    <definedName name="ApDsctKgSIE" localSheetId="16">#REF!</definedName>
    <definedName name="ApDsctKgSIP" localSheetId="16">#REF!</definedName>
    <definedName name="ApDsctLbADNR" localSheetId="16">'[4]Approved Discts-lb'!$F$7:$AE$7</definedName>
    <definedName name="ApDsctLbComm" localSheetId="16">'[4]Approved Discts-lb'!$F$159</definedName>
    <definedName name="ApDsctLbH1" localSheetId="16">'[4]Approved Discts-lb'!$F$3:$H$4</definedName>
    <definedName name="ApDsctLbH2" localSheetId="16">'[4]Approved Discts-lb'!$Z$3:$Z$4</definedName>
    <definedName name="ApDsctLbIEAppCurDisct" localSheetId="16">'[4]Approved Discts-lb'!$A$111:$AE$114</definedName>
    <definedName name="ApDsctLbIEAppMin" localSheetId="16">'[4]Approved Discts-lb'!$A$108:$AE$110</definedName>
    <definedName name="ApDsctLbIEReqCurDisct" localSheetId="16">'[4]Approved Discts-lb'!$A$85:$AE$88</definedName>
    <definedName name="ApDsctLbIEReqMin" localSheetId="16">'[4]Approved Discts-lb'!$B$82:$AE$84</definedName>
    <definedName name="ApDsctLbIERestore" localSheetId="16">'[4]Approved Discts-lb'!$F$364:$AE$387</definedName>
    <definedName name="ApDsctLbIPAppCurDisct" localSheetId="16">'[4]Approved Discts-lb'!$A$50:$AE$55</definedName>
    <definedName name="ApDsctLbIPAppMin" localSheetId="16">'[4]Approved Discts-lb'!$A$45:$AE$49</definedName>
    <definedName name="ApDsctLbIPReqCurDisct" localSheetId="16">'[4]Approved Discts-lb'!$A$18:$AE$23</definedName>
    <definedName name="ApDsctLbIPReqMin" localSheetId="16">'[4]Approved Discts-lb'!$A$13:$AE$17</definedName>
    <definedName name="ApDsctLbIPRestore" localSheetId="16">'[4]Approved Discts-lb'!$F$326:$AE$355</definedName>
    <definedName name="ApDsctLbLR" localSheetId="16">'[4]Approved Discts-lb'!$F$11:$AE$11</definedName>
    <definedName name="ApDsctLbLR1" localSheetId="16">'[4]Approved Discts-lb'!$F$81:$AE$81</definedName>
    <definedName name="ApDsctLbQ1" localSheetId="16">'[4]Approved Discts-lb'!$AG$134</definedName>
    <definedName name="ApDsctLbQ10" localSheetId="16">'[4]Approved Discts-lb'!$AG$154</definedName>
    <definedName name="ApDsctLbQ2" localSheetId="16">'[4]Approved Discts-lb'!$AG$136</definedName>
    <definedName name="ApDsctLbQ3" localSheetId="16">'[4]Approved Discts-lb'!$AG$138</definedName>
    <definedName name="ApDsctLbQ4" localSheetId="16">'[4]Approved Discts-lb'!$AG$141</definedName>
    <definedName name="ApDsctLbQ5" localSheetId="16">'[4]Approved Discts-lb'!$AG$143</definedName>
    <definedName name="ApDsctLbQ6" localSheetId="16">'[4]Approved Discts-lb'!$AG$145</definedName>
    <definedName name="ApDsctLbQ7" localSheetId="16">'[4]Approved Discts-lb'!$AG$147</definedName>
    <definedName name="ApDsctLbQ8" localSheetId="16">'[4]Approved Discts-lb'!$AG$149</definedName>
    <definedName name="ApDsctLbQ9" localSheetId="16">'[4]Approved Discts-lb'!$AG$151</definedName>
    <definedName name="ApDsctLbRMIE" localSheetId="16">'[4]Approved Discts-lb'!$F$109:$AE$132</definedName>
    <definedName name="ApDsctLbRMIP" localSheetId="16">'[4]Approved Discts-lb'!$F$46:$AE$75</definedName>
    <definedName name="ApDsctLbSIE" localSheetId="16">'[4]Approved Discts-lb'!$F$83:$AE$106</definedName>
    <definedName name="ApDsctLbSIP" localSheetId="16">'[4]Approved Discts-lb'!$F$14:$AE$43</definedName>
    <definedName name="Approval" localSheetId="16">[4]Request!$P$16</definedName>
    <definedName name="Bill_3P" localSheetId="16">[4]Request!$M$29</definedName>
    <definedName name="Bill_Consignee" localSheetId="16">[4]Request!$L$29</definedName>
    <definedName name="Billing_Option" localSheetId="16">[4]Request!$A$29</definedName>
    <definedName name="Business_Type" localSheetId="16">[4]Request!$G$31</definedName>
    <definedName name="BWE" localSheetId="16">[4]TempVariables!$K$3</definedName>
    <definedName name="Chk_Origin_Cntry" localSheetId="16">[4]Request!$L$151</definedName>
    <definedName name="Chk_Provinces_Cities" localSheetId="16">[4]Request!$S$151</definedName>
    <definedName name="Chk_Ship_Loc" localSheetId="16">[4]Request!$R$151</definedName>
    <definedName name="Clearance_Reqd" localSheetId="16">[4]Request!$A$82</definedName>
    <definedName name="Commodity1" localSheetId="16">[4]Request!$I$48</definedName>
    <definedName name="Commodity2" localSheetId="16">[4]Request!$I$49</definedName>
    <definedName name="Competitor" localSheetId="16">[4]Request!$I$54</definedName>
    <definedName name="CONTDE" localSheetId="16">#REF!</definedName>
    <definedName name="CONTFD" localSheetId="16">#REF!</definedName>
    <definedName name="CONTFE" localSheetId="16">#REF!</definedName>
    <definedName name="CONTPD" localSheetId="16">#REF!</definedName>
    <definedName name="CONTPE" localSheetId="16">#REF!</definedName>
    <definedName name="countries" localSheetId="16">[7]zones_input!$A$2:$C$202</definedName>
    <definedName name="country_selection" localSheetId="16">[7]control!$S$4:$S$5</definedName>
    <definedName name="CSource" localSheetId="16">[7]control!$D$27:$D$29</definedName>
    <definedName name="Cur_Disct" localSheetId="16">[4]Request!$P$19</definedName>
    <definedName name="Curr_and_Incr" localSheetId="16">[4]Request!$R$32</definedName>
    <definedName name="Curr_Incr" localSheetId="16">[4]Request!$M$32</definedName>
    <definedName name="Current" localSheetId="16">'[4]Shipments - current'!$E$4:$Z$65536</definedName>
    <definedName name="Current_Only" localSheetId="16">[4]Request!$P$32</definedName>
    <definedName name="CurrentDetail" localSheetId="16">'[4]Shipments - current'!$A$3</definedName>
    <definedName name="CurrentDetailEnd" localSheetId="16">'[4]Shipments - current'!$AH$3</definedName>
    <definedName name="Cust_Clear" localSheetId="16">[4]Request!$P$84</definedName>
    <definedName name="CustClearQ" localSheetId="16">[4]Request!$L$84</definedName>
    <definedName name="Customer" localSheetId="16">[8]Summary!$B$1</definedName>
    <definedName name="Date1" localSheetId="16">[4]Request!$P$17</definedName>
    <definedName name="Date2" localSheetId="16">[4]Request!$Q$17</definedName>
    <definedName name="Declared_Value" localSheetId="16">[4]Request!$E$89</definedName>
    <definedName name="Dest_Countries" localSheetId="16">[4]Request!$N$125:$N$150</definedName>
    <definedName name="Dest_Country_Copy" localSheetId="16">[4]Request!$R$19</definedName>
    <definedName name="Dest_Scenario" localSheetId="16">[4]Request!$E$78</definedName>
    <definedName name="Dest1" localSheetId="16">[4]Request!$N$125</definedName>
    <definedName name="Dest10" localSheetId="16">[4]Request!$N$134</definedName>
    <definedName name="Dest11" localSheetId="16">[4]Request!$N$135</definedName>
    <definedName name="Dest12" localSheetId="16">[4]Request!$N$136</definedName>
    <definedName name="Dest13" localSheetId="16">[4]Request!$N$137</definedName>
    <definedName name="Dest14" localSheetId="16">[4]Request!$N$138</definedName>
    <definedName name="Dest15" localSheetId="16">[4]Request!$N$139</definedName>
    <definedName name="Dest16" localSheetId="16">[4]Request!$N$140</definedName>
    <definedName name="Dest17" localSheetId="16">[4]Request!$N$141</definedName>
    <definedName name="Dest18" localSheetId="16">[4]Request!$N$142</definedName>
    <definedName name="Dest19" localSheetId="16">[4]Request!$N$143</definedName>
    <definedName name="Dest2" localSheetId="16">[4]Request!$N$126</definedName>
    <definedName name="Dest20" localSheetId="16">[4]Request!$N$144</definedName>
    <definedName name="Dest21" localSheetId="16">[4]Request!$N$145</definedName>
    <definedName name="Dest22" localSheetId="16">[4]Request!$N$146</definedName>
    <definedName name="Dest23" localSheetId="16">[4]Request!$N$147</definedName>
    <definedName name="Dest24" localSheetId="16">[4]Request!$N$148</definedName>
    <definedName name="Dest25" localSheetId="16">[4]Request!$N$149</definedName>
    <definedName name="Dest26" localSheetId="16">[4]Request!$N$150</definedName>
    <definedName name="Dest3" localSheetId="16">[4]Request!$N$127</definedName>
    <definedName name="Dest4" localSheetId="16">[4]Request!$N$128</definedName>
    <definedName name="Dest5" localSheetId="16">[4]Request!$N$129</definedName>
    <definedName name="Dest6" localSheetId="16">[4]Request!$N$130</definedName>
    <definedName name="Dest7" localSheetId="16">[4]Request!$N$131</definedName>
    <definedName name="Dest8" localSheetId="16">[4]Request!$N$132</definedName>
    <definedName name="Dest9" localSheetId="16">[4]Request!$N$133</definedName>
    <definedName name="Division" localSheetId="16">[7]control!$O$27:$O$28</definedName>
    <definedName name="DOT" localSheetId="16">[7]control!$L$27:$L$29</definedName>
    <definedName name="dox" localSheetId="16">#REF!</definedName>
    <definedName name="dsfd" localSheetId="16">#REF!</definedName>
    <definedName name="EndMonth" localSheetId="16">[4]TempVariables!$H$3</definedName>
    <definedName name="ExDocDisc" localSheetId="16">[6]Discounts!$D$15:$Q$15,[6]Discounts!$S$15:$T$15</definedName>
    <definedName name="ExNDocDisc" localSheetId="16">[6]Discounts!$D$16:$Q$16,[6]Discounts!$S$16:$T$16,[6]Discounts!$D$22:$M$22,[6]Discounts!$O$22:$P$22,[6]Discounts!$T$22:$T$22</definedName>
    <definedName name="Expt638" localSheetId="16">#REF!</definedName>
    <definedName name="ExptPrepaid" localSheetId="16">'[10]Expt Disc prepaid'!#REF!</definedName>
    <definedName name="FDX" localSheetId="16">[4]Request!$A$50</definedName>
    <definedName name="FDX_Shpmts" localSheetId="16">[4]Request!$P$52</definedName>
    <definedName name="FXShpQ" localSheetId="16">[4]Request!$L$52</definedName>
    <definedName name="GroundWB" localSheetId="16">'[11]Customer Info'!$Y$20:$AB$26</definedName>
    <definedName name="GrpExcl_ll" localSheetId="16">[4]TempVariables!$D$2</definedName>
    <definedName name="GrpExcl_ul" localSheetId="16">[4]TempVariables!$E$2</definedName>
    <definedName name="GrpIncl_ll" localSheetId="16">[4]TempVariables!$B$2</definedName>
    <definedName name="GrpIncl_ul" localSheetId="16">[4]TempVariables!$C$2</definedName>
    <definedName name="Header" localSheetId="16">'[9]Expt Disc prepaid'!#REF!</definedName>
    <definedName name="home" localSheetId="16">[4]Request!$B$17</definedName>
    <definedName name="ImDocDisc" localSheetId="16">[6]Discounts!$D$29,[6]Discounts!$F$29:$Q$29,[6]Discounts!$T$29</definedName>
    <definedName name="IMListRates" localSheetId="16">#REF!</definedName>
    <definedName name="ImNDocDisc" localSheetId="16">[6]Discounts!$D$30:$D$30,[6]Discounts!$F$30:$Q$30,[6]Discounts!$T$30:$T$30,[6]Discounts!$D$36:$D$36,[6]Discounts!$F$36:$M$36,[6]Discounts!$O$36:$P$36,[6]Discounts!$T$36:$T$36</definedName>
    <definedName name="Import" localSheetId="16">[4]Request!$Q$33</definedName>
    <definedName name="Import_Pricing" localSheetId="16">#REF!</definedName>
    <definedName name="Impt_Inbnd" localSheetId="16">[4]Request!$L$33</definedName>
    <definedName name="ImptCheck" localSheetId="16">[4]Request!$Q$19</definedName>
    <definedName name="Inbound" localSheetId="16">[4]Request!$P$33</definedName>
    <definedName name="Inbound_Pricing" localSheetId="16">#REF!</definedName>
    <definedName name="Incremental_Only" localSheetId="16">[4]Request!$Q$32</definedName>
    <definedName name="IZ" localSheetId="16">#REF!</definedName>
    <definedName name="Kg_Apprv_Dt" localSheetId="16">#REF!</definedName>
    <definedName name="Kg_APPS_Chk" localSheetId="16">'[4]Shipments - kg'!$A$1138</definedName>
    <definedName name="Kg_AWPS_Chk" localSheetId="16">'[4]Shipments - kg'!$A$1117</definedName>
    <definedName name="Kg_Cntry_Disct" localSheetId="16">'[4]Discounts - kg'!$AB$108</definedName>
    <definedName name="kg_Disc_Edit_Check" localSheetId="16">#REF!</definedName>
    <definedName name="Kg_Discts" localSheetId="16">'[4]Discounts - kg'!$A$16:$IV$98</definedName>
    <definedName name="Kg_Dsc_Cntry" localSheetId="16">'[4]Discounts - kg'!$A$1:$IV$15</definedName>
    <definedName name="Kg_Dsc_IE_Cur_Disct" localSheetId="16">'[4]Discounts - kg'!$A$68:$IV$75</definedName>
    <definedName name="Kg_Dsc_IE_Hdr" localSheetId="16">'[4]Discounts - kg'!$A$60:$IV$62</definedName>
    <definedName name="Kg_Dsc_IE_Min_Hdr" localSheetId="16">'[4]Discounts - kg'!$A$63:$IV$64</definedName>
    <definedName name="Kg_Dsc_IE_Min_IE" localSheetId="16">'[4]Discounts - kg'!$A$65:$IV$65</definedName>
    <definedName name="Kg_Dsc_IE_Min_IEF" localSheetId="16">'[4]Discounts - kg'!$A$66:$IV$67</definedName>
    <definedName name="Kg_Dsc_IE_Pct_Disct" localSheetId="16">'[4]Discounts - kg'!$A$76:$IV$92</definedName>
    <definedName name="Kg_Dsc_IEF_Pct_Disct" localSheetId="16">'[4]Discounts - kg'!$A$93:$IV$99</definedName>
    <definedName name="Kg_Dsc_IP_Cur_Disct" localSheetId="16">'[4]Discounts - kg'!$A$25:$IV$31</definedName>
    <definedName name="Kg_Dsc_IP_Hdr" localSheetId="16">'[4]Discounts - kg'!$A$16:$IV$17</definedName>
    <definedName name="Kg_Dsc_IP_Min_Hdr" localSheetId="16">'[4]Discounts - kg'!$A$18:$IV$19</definedName>
    <definedName name="Kg_Dsc_IP_Min_IP" localSheetId="16">'[4]Discounts - kg'!$A$20:$IV$22</definedName>
    <definedName name="Kg_Dsc_IP_Min_IPF" localSheetId="16">'[4]Discounts - kg'!$A$23:$IV$24</definedName>
    <definedName name="Kg_Dsc_IP_Pct_Disct" localSheetId="16">'[4]Discounts - kg'!$A$32:$IV$50</definedName>
    <definedName name="Kg_Dsc_IPF_Pct_Disct" localSheetId="16">'[4]Discounts - kg'!$A$51:$IV$59</definedName>
    <definedName name="Kg_Dsc_Origin_Cntry" localSheetId="16">'[4]Discounts - kg'!$B$7:$AA$7</definedName>
    <definedName name="Kg_Incr_Shp_IE" localSheetId="16">'[4]Shipments - kg'!$A$162</definedName>
    <definedName name="Kg_Incr_Shp_IEF" localSheetId="16">'[4]Shipments - kg'!$A$163</definedName>
    <definedName name="Kg_Incr_Shp_IP" localSheetId="16">'[4]Shipments - kg'!$A$160</definedName>
    <definedName name="Kg_Incr_Shp_IPF" localSheetId="16">'[4]Shipments - kg'!$A$161</definedName>
    <definedName name="Kg_Rng_Cur_Disct_IE" localSheetId="16">'[4]Discounts - kg'!$B$72:$AA$74</definedName>
    <definedName name="Kg_Rng_Cur_Disct_IP" localSheetId="16">'[4]Discounts - kg'!$B$26:$AA$30</definedName>
    <definedName name="Kg_Rng_Disct_IE" localSheetId="16">'[4]Discounts - kg'!$B$78:$AA$84</definedName>
    <definedName name="Kg_Rng_Disct_IEF" localSheetId="16">'[4]Discounts - kg'!$B$94:$AA$98</definedName>
    <definedName name="Kg_Rng_Disct_IEHW" localSheetId="16">'[4]Discounts - kg'!$B$87:$AA$91</definedName>
    <definedName name="Kg_Rng_Disct_IP" localSheetId="16">'[4]Discounts - kg'!$B$34:$AA$42</definedName>
    <definedName name="Kg_Rng_Disct_IPF" localSheetId="16">'[4]Discounts - kg'!$B$52:$AA$56</definedName>
    <definedName name="Kg_Rng_Disct_IPHW" localSheetId="16">'[4]Discounts - kg'!$B$45:$AA$49</definedName>
    <definedName name="Kg_Rng_Disct_Min_IE" localSheetId="16">'[4]Discounts - kg'!$B$65:$AA$66</definedName>
    <definedName name="Kg_Rng_Disct_Min_IP" localSheetId="16">'[4]Discounts - kg'!$B$20:$AA$23</definedName>
    <definedName name="Kg_Rng_Shpmts_APPS_IE" localSheetId="16">'[4]Shipments - kg'!$C$119:$AB$129</definedName>
    <definedName name="Kg_Rng_Shpmts_APPS_IEF" localSheetId="16">'[4]Shipments - kg'!$C$131:$AB$135</definedName>
    <definedName name="Kg_Rng_Shpmts_APPS_IP" localSheetId="16">'[4]Shipments - kg'!$C$53:$AB$63</definedName>
    <definedName name="Kg_Rng_Shpmts_APPS_IPF" localSheetId="16">'[4]Shipments - kg'!$C$65:$AB$69</definedName>
    <definedName name="Kg_Rng_Shpmts_AWPS_IE" localSheetId="16">'[4]Shipments - kg'!$C$99:$AB$109</definedName>
    <definedName name="Kg_Rng_Shpmts_AWPS_IEF" localSheetId="16">'[4]Shipments - kg'!$C$111:$AB$115</definedName>
    <definedName name="Kg_Rng_Shpmts_AWPS_IP" localSheetId="16">'[4]Shipments - kg'!$C$34:$AB$44</definedName>
    <definedName name="Kg_Rng_Shpmts_AWPS_IPF" localSheetId="16">'[4]Shipments - kg'!$C$46:$AB$50</definedName>
    <definedName name="Kg_Rng_Shpmts_Incr_IE" localSheetId="16">'[4]Shipments - kg'!$C$75:$AB$86</definedName>
    <definedName name="Kg_Rng_Shpmts_Incr_IEF" localSheetId="16">'[4]Shipments - kg'!$C$88:$AB$92</definedName>
    <definedName name="Kg_Rng_Shpmts_Incr_IP" localSheetId="16">'[4]Shipments - kg'!$C$10:$AB$23</definedName>
    <definedName name="Kg_Rng_Shpmts_Incr_IPF" localSheetId="16">'[4]Shipments - kg'!$C$25:$AB$29</definedName>
    <definedName name="Kg_Shp_Cntry" localSheetId="16">'[4]Shipments - kg'!$A$1:$IV$8</definedName>
    <definedName name="Kg_Shp_IE_APPS" localSheetId="16">'[4]Shipments - kg'!$A$117:$IV$129</definedName>
    <definedName name="Kg_Shp_IE_AWPS" localSheetId="16">'[4]Shipments - kg'!$A$97:$IV$109</definedName>
    <definedName name="Kg_Shp_IE_Incr" localSheetId="16">'[4]Shipments - kg'!$A$72:$IV$86</definedName>
    <definedName name="Kg_Shp_IE_Tot" localSheetId="16">'[4]Shipments - kg'!$A$93:$IV$96</definedName>
    <definedName name="Kg_Shp_IEF_APPS" localSheetId="16">'[4]Shipments - kg'!$A$130:$IV$136</definedName>
    <definedName name="Kg_Shp_IEF_APPS_Hdr" localSheetId="16">'[4]Shipments - kg'!$A$117:$IV$118</definedName>
    <definedName name="Kg_Shp_IEF_AWPS" localSheetId="16">'[4]Shipments - kg'!$A$110:$IV$116</definedName>
    <definedName name="Kg_Shp_IEF_AWPS_Hdr" localSheetId="16">'[4]Shipments - kg'!$A$97:$IV$98</definedName>
    <definedName name="Kg_Shp_IEF_Incr" localSheetId="16">'[4]Shipments - kg'!$A$87:$IV$92</definedName>
    <definedName name="Kg_Shp_IEF_Incr_Hdr" localSheetId="16">'[4]Shipments - kg'!$A$72:$IV$73</definedName>
    <definedName name="Kg_Shp_IP_APPS" localSheetId="16">'[4]Shipments - kg'!$A$51:$IV$63</definedName>
    <definedName name="Kg_Shp_IP_AWPS" localSheetId="16">'[4]Shipments - kg'!$A$33:$IV$44</definedName>
    <definedName name="Kg_Shp_IP_Incr" localSheetId="16">'[4]Shipments - kg'!$A$9:$IV$23</definedName>
    <definedName name="Kg_Shp_IP_Tot" localSheetId="16">'[4]Shipments - kg'!$A$30:$IV$32</definedName>
    <definedName name="Kg_Shp_IPF_APPS" localSheetId="16">'[4]Shipments - kg'!$A$64:$IV$71</definedName>
    <definedName name="Kg_Shp_IPF_APPS_Hdr" localSheetId="16">'[4]Shipments - kg'!$A$51:$IV$52</definedName>
    <definedName name="Kg_Shp_IPF_AWPS" localSheetId="16">'[4]Shipments - kg'!$A$45:$IV$50</definedName>
    <definedName name="Kg_Shp_IPF_AWPS_Hdr" localSheetId="16">'[4]Shipments - kg'!$A$33:$IV$33</definedName>
    <definedName name="Kg_Shp_IPF_Incr" localSheetId="16">'[4]Shipments - kg'!$A$24:$IV$29</definedName>
    <definedName name="Kg_Shp_IPF_Incr_Hdr" localSheetId="16">'[4]Shipments - kg'!$A$9:$IV$9</definedName>
    <definedName name="Kg_Shp_Origin_Cntry" localSheetId="16">'[4]Shipments - kg'!$C$6:$AB$6</definedName>
    <definedName name="Kg_Shpmt_Cntry" localSheetId="16">'[4]Shipments - kg'!$AD$140</definedName>
    <definedName name="Kg_Shpmt_Disct" localSheetId="16">'[4]Discounts - kg'!$A$200</definedName>
    <definedName name="Kg_Shpmts" localSheetId="16">'[4]Shipments - kg'!$A$9:$IV$135</definedName>
    <definedName name="Kg_Shpmts_AWPS_Reset" localSheetId="16">'[4]Shipments - kg'!$A$500</definedName>
    <definedName name="Kg_Shpmts_AWPS_Reset1" localSheetId="16">'[4]Shipments - kg'!$A$501</definedName>
    <definedName name="Kilograms" localSheetId="16">[4]Request!$P$25</definedName>
    <definedName name="Lb_Apprv_Dt" localSheetId="16">'[4]Approved Discts-lb'!$F$3</definedName>
    <definedName name="Lb_APPS_Chk" localSheetId="16">'[4]Shipments - lb'!$A$1138</definedName>
    <definedName name="Lb_AWPS_Chk" localSheetId="16">'[4]Shipments - lb'!$A$1117</definedName>
    <definedName name="Lb_Cntry_Disct" localSheetId="16">'[4]Discounts - lb'!$AB$108</definedName>
    <definedName name="lb_Disc_Edit_Check" localSheetId="16">'[4]Approved Discts-lb'!$AF$259</definedName>
    <definedName name="Lb_Discts" localSheetId="16">'[4]Discounts - lb'!$A$16:$IV$98</definedName>
    <definedName name="Lb_Dsc_Cntry" localSheetId="16">'[4]Discounts - lb'!$A$1:$IV$15</definedName>
    <definedName name="Lb_Dsc_IE_Cur_Disct" localSheetId="16">'[4]Discounts - lb'!$A$68:$IV$75</definedName>
    <definedName name="Lb_Dsc_IE_Hdr" localSheetId="16">'[4]Discounts - lb'!$A$60:$IV$62</definedName>
    <definedName name="Lb_Dsc_IE_Min_Hdr" localSheetId="16">'[4]Discounts - lb'!$A$63:$IV$64</definedName>
    <definedName name="Lb_Dsc_IE_Min_IE" localSheetId="16">'[4]Discounts - lb'!$A$65:$IV$65</definedName>
    <definedName name="Lb_Dsc_IE_Min_IEF" localSheetId="16">'[4]Discounts - lb'!$A$66:$IV$67</definedName>
    <definedName name="Lb_Dsc_IE_Pct_Disct" localSheetId="16">'[4]Discounts - lb'!$A$76:$IV$92</definedName>
    <definedName name="Lb_Dsc_IEF_Pct_Disct" localSheetId="16">'[4]Discounts - lb'!$A$93:$IV$99</definedName>
    <definedName name="Lb_Dsc_IEF8" localSheetId="16">'[4]Discounts - lb'!$A$94:$IV$94</definedName>
    <definedName name="Lb_Dsc_IP_Cur_Disct" localSheetId="16">'[4]Discounts - lb'!$A$25:$IV$31</definedName>
    <definedName name="Lb_Dsc_IP_Hdr" localSheetId="16">'[4]Discounts - lb'!$A$16:$IV$17</definedName>
    <definedName name="Lb_Dsc_IP_Min_Hdr" localSheetId="16">'[4]Discounts - lb'!$A$18:$IV$19</definedName>
    <definedName name="Lb_Dsc_IP_Min_IP" localSheetId="16">'[4]Discounts - lb'!$A$20:$IV$22</definedName>
    <definedName name="Lb_Dsc_IP_Min_IPF" localSheetId="16">'[4]Discounts - lb'!$A$23:$IV$24</definedName>
    <definedName name="Lb_Dsc_IP_Pct_Disct" localSheetId="16">'[4]Discounts - lb'!$A$32:$IV$50</definedName>
    <definedName name="Lb_Dsc_IPF_Pct_Disct" localSheetId="16">'[4]Discounts - lb'!$A$51:$IV$59</definedName>
    <definedName name="Lb_Dsc_IPF8" localSheetId="16">'[4]Discounts - lb'!$A$52:$IV$52</definedName>
    <definedName name="Lb_Dsc_Origin_Cntry" localSheetId="16">'[4]Discounts - lb'!$B$7:$AA$7</definedName>
    <definedName name="Lb_Incr_Shp_IE" localSheetId="16">'[4]Shipments - lb'!$A$162</definedName>
    <definedName name="Lb_Incr_Shp_IEF" localSheetId="16">'[4]Shipments - lb'!$A$163</definedName>
    <definedName name="Lb_Incr_Shp_IP" localSheetId="16">'[4]Shipments - lb'!$A$160</definedName>
    <definedName name="Lb_Incr_Shp_IPF" localSheetId="16">'[4]Shipments - lb'!$A$161</definedName>
    <definedName name="Lb_Rng_Cur_Disct_IE" localSheetId="16">'[4]Discounts - lb'!$B$72:$AA$74</definedName>
    <definedName name="Lb_Rng_Cur_Disct_IP" localSheetId="16">'[4]Discounts - lb'!$B$26:$AA$30</definedName>
    <definedName name="Lb_Rng_Disct_IE" localSheetId="16">'[4]Discounts - lb'!$B$78:$AA$84</definedName>
    <definedName name="Lb_Rng_Disct_IEF" localSheetId="16">'[4]Discounts - lb'!$B$94:$AA$98</definedName>
    <definedName name="Lb_Rng_Disct_IEHW" localSheetId="16">'[4]Discounts - lb'!$B$87:$AA$91</definedName>
    <definedName name="Lb_Rng_Disct_IP" localSheetId="16">'[4]Discounts - lb'!$B$34:$AA$42</definedName>
    <definedName name="Lb_Rng_Disct_IPF" localSheetId="16">'[4]Discounts - lb'!$B$52:$AA$56</definedName>
    <definedName name="Lb_Rng_Disct_IPHW" localSheetId="16">'[4]Discounts - lb'!$B$45:$AA$49</definedName>
    <definedName name="Lb_Rng_Disct_Min_IE" localSheetId="16">'[4]Discounts - lb'!$B$65:$AA$66</definedName>
    <definedName name="Lb_Rng_Disct_Min_IP" localSheetId="16">'[4]Discounts - lb'!$B$20:$AA$23</definedName>
    <definedName name="Lb_Rng_Shpmts_APPS_IE" localSheetId="16">'[4]Shipments - lb'!$C$119:$AB$129</definedName>
    <definedName name="Lb_Rng_Shpmts_APPS_IEF" localSheetId="16">'[4]Shipments - lb'!$C$131:$AB$135</definedName>
    <definedName name="Lb_Rng_Shpmts_APPS_IP" localSheetId="16">'[4]Shipments - lb'!$C$53:$AB$63</definedName>
    <definedName name="Lb_Rng_Shpmts_APPS_IPF" localSheetId="16">'[4]Shipments - lb'!$C$65:$AB$69</definedName>
    <definedName name="Lb_Rng_Shpmts_AWPS_IE" localSheetId="16">'[4]Shipments - lb'!$C$99:$AB$109</definedName>
    <definedName name="Lb_Rng_Shpmts_AWPS_IEF" localSheetId="16">'[4]Shipments - lb'!$C$111:$AB$115</definedName>
    <definedName name="Lb_Rng_Shpmts_AWPS_IP" localSheetId="16">'[4]Shipments - lb'!$C$34:$AB$44</definedName>
    <definedName name="Lb_Rng_Shpmts_AWPS_IPF" localSheetId="16">'[4]Shipments - lb'!$C$46:$AB$50</definedName>
    <definedName name="Lb_Rng_Shpmts_Incr_IE" localSheetId="16">'[4]Shipments - lb'!$C$75:$AB$86</definedName>
    <definedName name="Lb_Rng_Shpmts_Incr_IEF" localSheetId="16">'[4]Shipments - lb'!$C$88:$AB$92</definedName>
    <definedName name="Lb_Rng_Shpmts_Incr_IP" localSheetId="16">'[4]Shipments - lb'!$C$10:$AB$23</definedName>
    <definedName name="Lb_Rng_Shpmts_Incr_IPF" localSheetId="16">'[4]Shipments - lb'!$C$25:$AB$29</definedName>
    <definedName name="Lb_Shp_Cntry" localSheetId="16">'[4]Shipments - lb'!$A$1:$IV$8</definedName>
    <definedName name="Lb_Shp_IE_APPS" localSheetId="16">'[4]Shipments - lb'!$A$117:$IV$129</definedName>
    <definedName name="Lb_Shp_IE_AWPS" localSheetId="16">'[4]Shipments - lb'!$A$97:$IV$109</definedName>
    <definedName name="Lb_Shp_IE_Incr" localSheetId="16">'[4]Shipments - lb'!$A$72:$IV$86</definedName>
    <definedName name="Lb_Shp_IE_Tot" localSheetId="16">'[4]Shipments - lb'!$A$93:$IV$96</definedName>
    <definedName name="Lb_Shp_IEF_APPS" localSheetId="16">'[4]Shipments - lb'!$A$130:$IV$136</definedName>
    <definedName name="Lb_Shp_IEF_APPS_Hdr" localSheetId="16">'[4]Shipments - lb'!$A$117:$IV$118</definedName>
    <definedName name="Lb_Shp_IEF_AWPS" localSheetId="16">'[4]Shipments - lb'!$A$110:$IV$116</definedName>
    <definedName name="Lb_Shp_IEF_AWPS_Hdr" localSheetId="16">'[4]Shipments - lb'!$A$97:$IV$98</definedName>
    <definedName name="Lb_Shp_IEF_Incr" localSheetId="16">'[4]Shipments - lb'!$A$87:$IV$92</definedName>
    <definedName name="Lb_Shp_IEF_Incr_Hdr" localSheetId="16">'[4]Shipments - lb'!$A$72:$IV$73</definedName>
    <definedName name="Lb_Shp_IEF8_APPS" localSheetId="16">'[4]Shipments - lb'!$A$131:$IV$131</definedName>
    <definedName name="Lb_Shp_IEF8_AWPS" localSheetId="16">'[4]Shipments - lb'!$A$111:$IV$111</definedName>
    <definedName name="Lb_Shp_IEF8_Incr" localSheetId="16">'[4]Shipments - lb'!$A$88:$IV$88</definedName>
    <definedName name="Lb_Shp_IP_APPS" localSheetId="16">'[4]Shipments - lb'!$A$51:$IV$63</definedName>
    <definedName name="Lb_Shp_IP_AWPS" localSheetId="16">'[4]Shipments - lb'!$A$33:$IV$44</definedName>
    <definedName name="Lb_Shp_IP_Incr" localSheetId="16">'[4]Shipments - lb'!$A$9:$IV$23</definedName>
    <definedName name="Lb_Shp_IP_Tot" localSheetId="16">'[4]Shipments - lb'!$A$30:$IV$32</definedName>
    <definedName name="Lb_Shp_IPF_APPS" localSheetId="16">'[4]Shipments - lb'!$A$64:$IV$71</definedName>
    <definedName name="Lb_Shp_IPF_APPS_Hdr" localSheetId="16">'[4]Shipments - lb'!$A$51:$IV$52</definedName>
    <definedName name="Lb_Shp_IPF_AWPS" localSheetId="16">'[4]Shipments - lb'!$A$45:$IV$50</definedName>
    <definedName name="Lb_Shp_IPF_AWPS_Hdr" localSheetId="16">'[4]Shipments - lb'!$A$33:$IV$33</definedName>
    <definedName name="Lb_Shp_IPF_Incr" localSheetId="16">'[4]Shipments - lb'!$A$24:$IV$29</definedName>
    <definedName name="Lb_Shp_IPF_Incr_Hdr" localSheetId="16">'[4]Shipments - lb'!$A$9:$IV$9</definedName>
    <definedName name="Lb_Shp_IPF8_APPS" localSheetId="16">'[4]Shipments - lb'!$A$65:$IV$65</definedName>
    <definedName name="Lb_Shp_IPF8_AWPS" localSheetId="16">'[4]Shipments - lb'!$A$46:$IV$46</definedName>
    <definedName name="Lb_Shp_IPF8_Incr" localSheetId="16">'[4]Shipments - lb'!$A$25:$IV$25</definedName>
    <definedName name="Lb_Shp_Origin_Cntry" localSheetId="16">'[4]Shipments - lb'!$C$6:$AB$6</definedName>
    <definedName name="Lb_Shpmt_Cntry" localSheetId="16">'[4]Shipments - lb'!$AD$140</definedName>
    <definedName name="Lb_Shpmt_Disct" localSheetId="16">'[4]Discounts - lb'!$A$200</definedName>
    <definedName name="Lb_Shpmts" localSheetId="16">'[4]Shipments - lb'!$A$9:$IV$135</definedName>
    <definedName name="Lb_Shpmts_AWPS_Reset" localSheetId="16">'[4]Shipments - lb'!$A$500</definedName>
    <definedName name="Lb_Shpmts_AWPS_Reset1" localSheetId="16">'[4]Shipments - lb'!$A$501</definedName>
    <definedName name="LocalAccts" localSheetId="16">[4]TempVariables!$F$2</definedName>
    <definedName name="Locations" localSheetId="16">[4]Request!$C$124</definedName>
    <definedName name="LOOKUP" localSheetId="16">#REF!</definedName>
    <definedName name="Major_Origin_Cities" localSheetId="16">[4]Request!$E$124</definedName>
    <definedName name="MBG" localSheetId="16">[4]Request!$G$42</definedName>
    <definedName name="MBG_NotReq" localSheetId="16">[4]Request!$P$44</definedName>
    <definedName name="MBG_Option" localSheetId="16">[4]Request!$M$44</definedName>
    <definedName name="MBG_Req" localSheetId="16">[4]Request!$Q$44</definedName>
    <definedName name="MINTABLE" localSheetId="16">[11]SURCHARGES!$H$9:$U$15</definedName>
    <definedName name="ModelDate" localSheetId="16">[4]Request!$K$1</definedName>
    <definedName name="NatlAccts" localSheetId="16">[4]TempVariables!$A$2</definedName>
    <definedName name="NDAAll" localSheetId="16">'[11]Customer Info'!$V$9</definedName>
    <definedName name="Old_Payor_No" localSheetId="16">[4]Request!$E$56</definedName>
    <definedName name="Old_Shipper_No" localSheetId="16">[4]Request!$E$54</definedName>
    <definedName name="Op_Months" localSheetId="16">'[4]Shipments - current'!$B$1</definedName>
    <definedName name="Op_Scenario" localSheetId="16">[4]Request!$P$74</definedName>
    <definedName name="OpQ" localSheetId="16">[4]Request!$L$74</definedName>
    <definedName name="OptionType" localSheetId="16">[7]control!$F$27:$F$29</definedName>
    <definedName name="Orig_Region_1" localSheetId="16">[4]Request!$A$125</definedName>
    <definedName name="Orig_Region_10" localSheetId="16">[4]Request!$A$134</definedName>
    <definedName name="Orig_Region_11" localSheetId="16">[4]Request!$A$135</definedName>
    <definedName name="Orig_Region_12" localSheetId="16">[4]Request!$A$136</definedName>
    <definedName name="Orig_Region_13" localSheetId="16">[4]Request!$A$137</definedName>
    <definedName name="Orig_Region_14" localSheetId="16">[4]Request!$A$138</definedName>
    <definedName name="Orig_Region_15" localSheetId="16">[4]Request!$A$139</definedName>
    <definedName name="Orig_Region_16" localSheetId="16">[4]Request!$A$140</definedName>
    <definedName name="Orig_Region_17" localSheetId="16">[4]Request!$A$141</definedName>
    <definedName name="Orig_Region_18" localSheetId="16">[4]Request!$A$142</definedName>
    <definedName name="Orig_Region_19" localSheetId="16">[4]Request!$A$143</definedName>
    <definedName name="Orig_Region_2" localSheetId="16">[4]Request!$A$126</definedName>
    <definedName name="Orig_Region_20" localSheetId="16">[4]Request!$A$144</definedName>
    <definedName name="Orig_Region_21" localSheetId="16">[4]Request!$A$145</definedName>
    <definedName name="Orig_Region_22" localSheetId="16">[4]Request!$A$146</definedName>
    <definedName name="Orig_Region_23" localSheetId="16">[4]Request!$A$147</definedName>
    <definedName name="Orig_Region_24" localSheetId="16">[4]Request!$A$148</definedName>
    <definedName name="Orig_Region_25" localSheetId="16">[4]Request!$A$149</definedName>
    <definedName name="Orig_Region_26" localSheetId="16">[4]Request!$A$150</definedName>
    <definedName name="Orig_Region_3" localSheetId="16">[4]Request!$A$127</definedName>
    <definedName name="Orig_Region_4" localSheetId="16">[4]Request!$A$128</definedName>
    <definedName name="Orig_Region_5" localSheetId="16">[4]Request!$A$129</definedName>
    <definedName name="Orig_Region_6" localSheetId="16">[4]Request!$A$130</definedName>
    <definedName name="Orig_Region_7" localSheetId="16">[4]Request!$A$131</definedName>
    <definedName name="Orig_Region_8" localSheetId="16">[4]Request!$A$132</definedName>
    <definedName name="Orig_Region_9" localSheetId="16">[4]Request!$A$133</definedName>
    <definedName name="Orig1" localSheetId="16">[4]Request!$L$125</definedName>
    <definedName name="Orig10" localSheetId="16">[4]Request!$L$134</definedName>
    <definedName name="Orig11" localSheetId="16">[4]Request!$L$135</definedName>
    <definedName name="Orig12" localSheetId="16">[4]Request!$L$136</definedName>
    <definedName name="Orig13" localSheetId="16">[4]Request!$L$137</definedName>
    <definedName name="Orig14" localSheetId="16">[4]Request!$L$138</definedName>
    <definedName name="Orig15" localSheetId="16">[4]Request!$L$139</definedName>
    <definedName name="Orig16" localSheetId="16">[4]Request!$L$140</definedName>
    <definedName name="Orig17" localSheetId="16">[4]Request!$L$141</definedName>
    <definedName name="Orig18" localSheetId="16">[4]Request!$L$142</definedName>
    <definedName name="Orig19" localSheetId="16">[4]Request!$L$143</definedName>
    <definedName name="Orig2" localSheetId="16">[4]Request!$L$126</definedName>
    <definedName name="Orig20" localSheetId="16">[4]Request!$L$144</definedName>
    <definedName name="Orig21" localSheetId="16">[4]Request!$L$145</definedName>
    <definedName name="Orig22" localSheetId="16">[4]Request!$L$146</definedName>
    <definedName name="Orig23" localSheetId="16">[4]Request!$L$147</definedName>
    <definedName name="Orig24" localSheetId="16">[4]Request!$L$148</definedName>
    <definedName name="Orig25" localSheetId="16">[4]Request!$L$149</definedName>
    <definedName name="Orig26" localSheetId="16">[4]Request!$L$150</definedName>
    <definedName name="Orig3" localSheetId="16">[4]Request!$L$127</definedName>
    <definedName name="Orig4" localSheetId="16">[4]Request!$L$128</definedName>
    <definedName name="Orig5" localSheetId="16">[4]Request!$L$129</definedName>
    <definedName name="Orig6" localSheetId="16">[4]Request!$L$130</definedName>
    <definedName name="Orig7" localSheetId="16">[4]Request!$L$131</definedName>
    <definedName name="Orig8" localSheetId="16">[4]Request!$L$132</definedName>
    <definedName name="Orig9" localSheetId="16">[4]Request!$L$133</definedName>
    <definedName name="Origin" localSheetId="16">[4]Request!$B$124</definedName>
    <definedName name="Origin_Countries" localSheetId="16">[4]Request!$L$125:$L$150</definedName>
    <definedName name="Origin_Country_Code" localSheetId="16">[4]Countries!$G$4:$H$224</definedName>
    <definedName name="Origin_Country_Name_Code" localSheetId="16">[4]Countries!$B$4:$C$224</definedName>
    <definedName name="Origin_Scenario" localSheetId="16">[4]Request!$E$76</definedName>
    <definedName name="parcels" localSheetId="16">#REF!</definedName>
    <definedName name="Password" localSheetId="16">[4]TempVariables!$O$3</definedName>
    <definedName name="Payor_Acct1" localSheetId="16">[4]Request!$I$23</definedName>
    <definedName name="Payor_Acct2" localSheetId="16">[4]Request!$I$25</definedName>
    <definedName name="Payor_Acct3" localSheetId="16">[4]Request!$I$27</definedName>
    <definedName name="Payor_Country" localSheetId="16">[4]Request!$M$19</definedName>
    <definedName name="Payor_Table" localSheetId="16">[4]Countries!$HI$4:$HR$101</definedName>
    <definedName name="PayorRgn" localSheetId="16">[4]Request!$P$15</definedName>
    <definedName name="PNH" localSheetId="16">#REF!</definedName>
    <definedName name="Pricing_Requested" localSheetId="16">[4]Request!$A$33</definedName>
    <definedName name="Product" localSheetId="16">[7]control!$N$27:$N$38</definedName>
    <definedName name="Provinces_Cities" localSheetId="16">[4]Request!$E$125:$E$150</definedName>
    <definedName name="Range1" localSheetId="16">#REF!</definedName>
    <definedName name="Region" localSheetId="16">[4]Request!$O$16</definedName>
    <definedName name="Region_Rev" localSheetId="16">[4]Request!$E$112:$E$116</definedName>
    <definedName name="RO" localSheetId="16">#REF!</definedName>
    <definedName name="road" localSheetId="16">#REF!</definedName>
    <definedName name="RTH" localSheetId="16">#REF!</definedName>
    <definedName name="Sales_AE" localSheetId="16">[4]Request!$B$21</definedName>
    <definedName name="Sales_Manager" localSheetId="16">[4]Request!$B$19</definedName>
    <definedName name="SDAALL" localSheetId="16">'[11]Customer Info'!$V$15</definedName>
    <definedName name="Service_IE" localSheetId="16">[4]Request!$R$46</definedName>
    <definedName name="Service_IE_IEF" localSheetId="16">[4]Request!$R$47</definedName>
    <definedName name="Service_IEF" localSheetId="16">[4]Request!$S$46</definedName>
    <definedName name="Service_IP" localSheetId="16">[4]Request!$P$46</definedName>
    <definedName name="Service_IP_IPF" localSheetId="16">[4]Request!$P$47</definedName>
    <definedName name="Service_IPF" localSheetId="16">[4]Request!$Q$46</definedName>
    <definedName name="Service_Type" localSheetId="16">[4]Request!$L$48</definedName>
    <definedName name="Services_Requested" localSheetId="16">[4]Request!$A$42</definedName>
    <definedName name="Ship_Locations" localSheetId="16">[4]Request!$M$125:$M$150</definedName>
    <definedName name="Ship_Tender" localSheetId="16">[4]Request!$E$68</definedName>
    <definedName name="Show9DigitAccts" localSheetId="16">[4]TempVariables!$J$3</definedName>
    <definedName name="SlsChan" localSheetId="16">[7]control!$B$27:$B$28</definedName>
    <definedName name="Spec_Op" localSheetId="16">[4]Request!$A$72</definedName>
    <definedName name="StartMonth" localSheetId="16">[4]TempVariables!$G$3</definedName>
    <definedName name="Strategy" localSheetId="16">[4]Request!$A$108</definedName>
    <definedName name="SurchargeType" localSheetId="16">[7]control!$I$27:$I$32</definedName>
    <definedName name="TABLE" localSheetId="16">#REF!</definedName>
    <definedName name="TempVariables" localSheetId="16">[4]TempVariables!$A$1</definedName>
    <definedName name="Tier" localSheetId="16">'[12]Portfolio Discount'!#REF!</definedName>
    <definedName name="Tot_Annual_Rev" localSheetId="16">[4]Request!$E$117</definedName>
    <definedName name="USAcctsOnly" localSheetId="16">[4]TempVariables!$I$3</definedName>
    <definedName name="UserID" localSheetId="16">[4]TempVariables!$N$3</definedName>
    <definedName name="Value_2K" localSheetId="16">[4]Request!$E$88</definedName>
    <definedName name="values" localSheetId="16">[4]Request!$L$16:$O$150</definedName>
    <definedName name="WtMetric" localSheetId="16">[4]Request!$B$25</definedName>
    <definedName name="YN" localSheetId="16">[7]control!$P$27:$P$28</definedName>
    <definedName name="zone" localSheetId="16">#REF!</definedName>
    <definedName name="ZonedOut" localSheetId="16">[7]rates_input!$R$5:$Z$8</definedName>
    <definedName name="ZonedOut1" localSheetId="16">[7]rates_input!$I$6:$Z$8</definedName>
    <definedName name="ZonedOut2" localSheetId="16">[7]rates_input!$I$7:$Z$8</definedName>
    <definedName name="ZONELU" localSheetId="16">[11]SURCHARGES!$B$9:$D$59</definedName>
    <definedName name="Zones" localSheetId="16">#REF!,#REF!,#REF!,#REF!</definedName>
    <definedName name="Zones_New" localSheetId="16">[7]zones_input!$B$1:$G$65536</definedName>
    <definedName name="_Fill" localSheetId="17" hidden="1">[2]Express!#REF!</definedName>
    <definedName name="_Key1" localSheetId="17" hidden="1">#REF!</definedName>
    <definedName name="_Loc1" localSheetId="17">[3]Request!$M$125</definedName>
    <definedName name="_Loc10" localSheetId="17">[4]Request!$M$134</definedName>
    <definedName name="_Loc11" localSheetId="17">[4]Request!$M$135</definedName>
    <definedName name="_Loc12" localSheetId="17">[4]Request!$M$136</definedName>
    <definedName name="_Loc13" localSheetId="17">[4]Request!$M$137</definedName>
    <definedName name="_Loc14" localSheetId="17">[4]Request!$M$138</definedName>
    <definedName name="_Loc15" localSheetId="17">[4]Request!$M$139</definedName>
    <definedName name="_Loc16" localSheetId="17">[4]Request!$M$140</definedName>
    <definedName name="_Loc17" localSheetId="17">[4]Request!$M$141</definedName>
    <definedName name="_Loc18" localSheetId="17">[4]Request!$M$142</definedName>
    <definedName name="_Loc19" localSheetId="17">[4]Request!$M$143</definedName>
    <definedName name="_Loc2" localSheetId="17">[4]Request!$M$126</definedName>
    <definedName name="_Loc20" localSheetId="17">[4]Request!$M$144</definedName>
    <definedName name="_Loc21" localSheetId="17">[4]Request!$M$145</definedName>
    <definedName name="_Loc22" localSheetId="17">[4]Request!$M$146</definedName>
    <definedName name="_Loc23" localSheetId="17">[4]Request!$M$147</definedName>
    <definedName name="_Loc24" localSheetId="17">[4]Request!$M$148</definedName>
    <definedName name="_Loc25" localSheetId="17">[4]Request!$M$149</definedName>
    <definedName name="_Loc26" localSheetId="17">[4]Request!$M$150</definedName>
    <definedName name="_Loc3" localSheetId="17">[4]Request!$M$127</definedName>
    <definedName name="_Loc4" localSheetId="17">[4]Request!$M$128</definedName>
    <definedName name="_Loc5" localSheetId="17">[4]Request!$M$129</definedName>
    <definedName name="_Loc6" localSheetId="17">[4]Request!$M$130</definedName>
    <definedName name="_Loc7" localSheetId="17">[4]Request!$M$131</definedName>
    <definedName name="_Loc8" localSheetId="17">[4]Request!$M$132</definedName>
    <definedName name="_Loc9" localSheetId="17">[4]Request!$M$133</definedName>
    <definedName name="_Sort" localSheetId="17" hidden="1">[1]Express!#REF!</definedName>
    <definedName name="a" localSheetId="17" hidden="1">[1]Express!#REF!</definedName>
    <definedName name="Account" localSheetId="17">[4]Request!$B$17</definedName>
    <definedName name="Acct_number" localSheetId="17">[5]Summary!$E$2</definedName>
    <definedName name="AFD" localSheetId="17">#REF!</definedName>
    <definedName name="Agent" localSheetId="17">[4]Request!$A$60</definedName>
    <definedName name="Agent_Comm" localSheetId="17">[4]Request!$E$64</definedName>
    <definedName name="Agent_Delivery" localSheetId="17">[4]Request!$O$62</definedName>
    <definedName name="Agent_Involved" localSheetId="17">[4]Request!$P$62</definedName>
    <definedName name="Agent_Pickup" localSheetId="17">[4]Request!$N$62</definedName>
    <definedName name="Agent_Services" localSheetId="17">[4]Request!$E$66</definedName>
    <definedName name="AgentQ" localSheetId="17">[4]Request!$L$62</definedName>
    <definedName name="AllDiscountArea" localSheetId="17">[6]Discounts!$D$15:$Q$16,[6]Discounts!$S$15:$T$16,[6]Discounts!$D$22:$M$22,[6]Discounts!$O$22:$P$22,[6]Discounts!$T$22:$T$22,[6]Discounts!$D$29:$D$30,[6]Discounts!$F$29:$Q$30,[6]Discounts!$T$29:$T$30,[6]Discounts!$D$36:$D$36,[6]Discounts!$F$36:$M$36,[6]Discounts!$O$36:$P$36,[6]Discounts!$T$36:$T$36</definedName>
    <definedName name="Alph_countries" localSheetId="17">[7]zones_input!$A$2:$A$214</definedName>
    <definedName name="anakg" localSheetId="17">'[4]Shipments - kg current'!$D$1</definedName>
    <definedName name="analb" localSheetId="17">'[4]Shipments - lb current'!$D$1</definedName>
    <definedName name="ApDsctKgADNR" localSheetId="17">#REF!</definedName>
    <definedName name="ApDsctKgComm" localSheetId="17">#REF!</definedName>
    <definedName name="ApDsctKgH1" localSheetId="17">#REF!</definedName>
    <definedName name="ApDsctKgH2" localSheetId="17">#REF!</definedName>
    <definedName name="ApDsctKgIEAppCurDisct" localSheetId="17">#REF!</definedName>
    <definedName name="ApDsctKgIEAppMin" localSheetId="17">#REF!</definedName>
    <definedName name="ApDsctKgIEReqCurDisct" localSheetId="17">#REF!</definedName>
    <definedName name="ApDsctKgIEReqMin" localSheetId="17">#REF!</definedName>
    <definedName name="ApDsctKgIERestore" localSheetId="17">#REF!</definedName>
    <definedName name="ApDsctKgIPAppCurDisct" localSheetId="17">#REF!</definedName>
    <definedName name="ApDsctKgIPAppMin" localSheetId="17">#REF!</definedName>
    <definedName name="ApDsctKgIPReqCurDisct" localSheetId="17">#REF!</definedName>
    <definedName name="ApDsctKgIPReqMin" localSheetId="17">#REF!</definedName>
    <definedName name="ApDsctKgIPRestore" localSheetId="17">#REF!</definedName>
    <definedName name="ApDsctKgLR" localSheetId="17">#REF!</definedName>
    <definedName name="ApDsctKgLR1" localSheetId="17">#REF!</definedName>
    <definedName name="ApDsctKgQ1" localSheetId="17">#REF!</definedName>
    <definedName name="ApDsctKgQ10" localSheetId="17">#REF!</definedName>
    <definedName name="ApDsctKgQ2" localSheetId="17">#REF!</definedName>
    <definedName name="ApDsctKgQ3" localSheetId="17">#REF!</definedName>
    <definedName name="ApDsctKgQ4" localSheetId="17">#REF!</definedName>
    <definedName name="ApDsctKgQ5" localSheetId="17">#REF!</definedName>
    <definedName name="ApDsctKgQ6" localSheetId="17">#REF!</definedName>
    <definedName name="ApDsctKgQ7" localSheetId="17">#REF!</definedName>
    <definedName name="ApDsctKgQ8" localSheetId="17">#REF!</definedName>
    <definedName name="ApDsctKgQ9" localSheetId="17">#REF!</definedName>
    <definedName name="ApDsctKgRMIE" localSheetId="17">#REF!</definedName>
    <definedName name="ApDsctKgRMIP" localSheetId="17">#REF!</definedName>
    <definedName name="ApDsctKgSIE" localSheetId="17">#REF!</definedName>
    <definedName name="ApDsctKgSIP" localSheetId="17">#REF!</definedName>
    <definedName name="ApDsctLbADNR" localSheetId="17">'[4]Approved Discts-lb'!$F$7:$AE$7</definedName>
    <definedName name="ApDsctLbComm" localSheetId="17">'[4]Approved Discts-lb'!$F$159</definedName>
    <definedName name="ApDsctLbH1" localSheetId="17">'[4]Approved Discts-lb'!$F$3:$H$4</definedName>
    <definedName name="ApDsctLbH2" localSheetId="17">'[4]Approved Discts-lb'!$Z$3:$Z$4</definedName>
    <definedName name="ApDsctLbIEAppCurDisct" localSheetId="17">'[4]Approved Discts-lb'!$A$111:$AE$114</definedName>
    <definedName name="ApDsctLbIEAppMin" localSheetId="17">'[4]Approved Discts-lb'!$A$108:$AE$110</definedName>
    <definedName name="ApDsctLbIEReqCurDisct" localSheetId="17">'[4]Approved Discts-lb'!$A$85:$AE$88</definedName>
    <definedName name="ApDsctLbIEReqMin" localSheetId="17">'[4]Approved Discts-lb'!$B$82:$AE$84</definedName>
    <definedName name="ApDsctLbIERestore" localSheetId="17">'[4]Approved Discts-lb'!$F$364:$AE$387</definedName>
    <definedName name="ApDsctLbIPAppCurDisct" localSheetId="17">'[4]Approved Discts-lb'!$A$50:$AE$55</definedName>
    <definedName name="ApDsctLbIPAppMin" localSheetId="17">'[4]Approved Discts-lb'!$A$45:$AE$49</definedName>
    <definedName name="ApDsctLbIPReqCurDisct" localSheetId="17">'[4]Approved Discts-lb'!$A$18:$AE$23</definedName>
    <definedName name="ApDsctLbIPReqMin" localSheetId="17">'[4]Approved Discts-lb'!$A$13:$AE$17</definedName>
    <definedName name="ApDsctLbIPRestore" localSheetId="17">'[4]Approved Discts-lb'!$F$326:$AE$355</definedName>
    <definedName name="ApDsctLbLR" localSheetId="17">'[4]Approved Discts-lb'!$F$11:$AE$11</definedName>
    <definedName name="ApDsctLbLR1" localSheetId="17">'[4]Approved Discts-lb'!$F$81:$AE$81</definedName>
    <definedName name="ApDsctLbQ1" localSheetId="17">'[4]Approved Discts-lb'!$AG$134</definedName>
    <definedName name="ApDsctLbQ10" localSheetId="17">'[4]Approved Discts-lb'!$AG$154</definedName>
    <definedName name="ApDsctLbQ2" localSheetId="17">'[4]Approved Discts-lb'!$AG$136</definedName>
    <definedName name="ApDsctLbQ3" localSheetId="17">'[4]Approved Discts-lb'!$AG$138</definedName>
    <definedName name="ApDsctLbQ4" localSheetId="17">'[4]Approved Discts-lb'!$AG$141</definedName>
    <definedName name="ApDsctLbQ5" localSheetId="17">'[4]Approved Discts-lb'!$AG$143</definedName>
    <definedName name="ApDsctLbQ6" localSheetId="17">'[4]Approved Discts-lb'!$AG$145</definedName>
    <definedName name="ApDsctLbQ7" localSheetId="17">'[4]Approved Discts-lb'!$AG$147</definedName>
    <definedName name="ApDsctLbQ8" localSheetId="17">'[4]Approved Discts-lb'!$AG$149</definedName>
    <definedName name="ApDsctLbQ9" localSheetId="17">'[4]Approved Discts-lb'!$AG$151</definedName>
    <definedName name="ApDsctLbRMIE" localSheetId="17">'[4]Approved Discts-lb'!$F$109:$AE$132</definedName>
    <definedName name="ApDsctLbRMIP" localSheetId="17">'[4]Approved Discts-lb'!$F$46:$AE$75</definedName>
    <definedName name="ApDsctLbSIE" localSheetId="17">'[4]Approved Discts-lb'!$F$83:$AE$106</definedName>
    <definedName name="ApDsctLbSIP" localSheetId="17">'[4]Approved Discts-lb'!$F$14:$AE$43</definedName>
    <definedName name="Approval" localSheetId="17">[4]Request!$P$16</definedName>
    <definedName name="Bill_3P" localSheetId="17">[4]Request!$M$29</definedName>
    <definedName name="Bill_Consignee" localSheetId="17">[4]Request!$L$29</definedName>
    <definedName name="Billing_Option" localSheetId="17">[4]Request!$A$29</definedName>
    <definedName name="Business_Type" localSheetId="17">[4]Request!$G$31</definedName>
    <definedName name="BWE" localSheetId="17">[4]TempVariables!$K$3</definedName>
    <definedName name="Chk_Origin_Cntry" localSheetId="17">[4]Request!$L$151</definedName>
    <definedName name="Chk_Provinces_Cities" localSheetId="17">[4]Request!$S$151</definedName>
    <definedName name="Chk_Ship_Loc" localSheetId="17">[4]Request!$R$151</definedName>
    <definedName name="Clearance_Reqd" localSheetId="17">[4]Request!$A$82</definedName>
    <definedName name="Commodity1" localSheetId="17">[4]Request!$I$48</definedName>
    <definedName name="Commodity2" localSheetId="17">[4]Request!$I$49</definedName>
    <definedName name="Competitor" localSheetId="17">[4]Request!$I$54</definedName>
    <definedName name="CONTDE" localSheetId="17">#REF!</definedName>
    <definedName name="CONTFD" localSheetId="17">#REF!</definedName>
    <definedName name="CONTFE" localSheetId="17">#REF!</definedName>
    <definedName name="CONTPD" localSheetId="17">#REF!</definedName>
    <definedName name="CONTPE" localSheetId="17">#REF!</definedName>
    <definedName name="countries" localSheetId="17">[7]zones_input!$A$2:$C$202</definedName>
    <definedName name="country_selection" localSheetId="17">[7]control!$S$4:$S$5</definedName>
    <definedName name="CSource" localSheetId="17">[7]control!$D$27:$D$29</definedName>
    <definedName name="Cur_Disct" localSheetId="17">[4]Request!$P$19</definedName>
    <definedName name="Curr_and_Incr" localSheetId="17">[4]Request!$R$32</definedName>
    <definedName name="Curr_Incr" localSheetId="17">[4]Request!$M$32</definedName>
    <definedName name="Current" localSheetId="17">'[4]Shipments - current'!$E$4:$Z$65536</definedName>
    <definedName name="Current_Only" localSheetId="17">[4]Request!$P$32</definedName>
    <definedName name="CurrentDetail" localSheetId="17">'[4]Shipments - current'!$A$3</definedName>
    <definedName name="CurrentDetailEnd" localSheetId="17">'[4]Shipments - current'!$AH$3</definedName>
    <definedName name="Cust_Clear" localSheetId="17">[4]Request!$P$84</definedName>
    <definedName name="CustClearQ" localSheetId="17">[4]Request!$L$84</definedName>
    <definedName name="Customer" localSheetId="17">[8]Summary!$B$1</definedName>
    <definedName name="Date1" localSheetId="17">[4]Request!$P$17</definedName>
    <definedName name="Date2" localSheetId="17">[4]Request!$Q$17</definedName>
    <definedName name="Declared_Value" localSheetId="17">[4]Request!$E$89</definedName>
    <definedName name="Dest_Countries" localSheetId="17">[4]Request!$N$125:$N$150</definedName>
    <definedName name="Dest_Country_Copy" localSheetId="17">[4]Request!$R$19</definedName>
    <definedName name="Dest_Scenario" localSheetId="17">[4]Request!$E$78</definedName>
    <definedName name="Dest1" localSheetId="17">[4]Request!$N$125</definedName>
    <definedName name="Dest10" localSheetId="17">[4]Request!$N$134</definedName>
    <definedName name="Dest11" localSheetId="17">[4]Request!$N$135</definedName>
    <definedName name="Dest12" localSheetId="17">[4]Request!$N$136</definedName>
    <definedName name="Dest13" localSheetId="17">[4]Request!$N$137</definedName>
    <definedName name="Dest14" localSheetId="17">[4]Request!$N$138</definedName>
    <definedName name="Dest15" localSheetId="17">[4]Request!$N$139</definedName>
    <definedName name="Dest16" localSheetId="17">[4]Request!$N$140</definedName>
    <definedName name="Dest17" localSheetId="17">[4]Request!$N$141</definedName>
    <definedName name="Dest18" localSheetId="17">[4]Request!$N$142</definedName>
    <definedName name="Dest19" localSheetId="17">[4]Request!$N$143</definedName>
    <definedName name="Dest2" localSheetId="17">[4]Request!$N$126</definedName>
    <definedName name="Dest20" localSheetId="17">[4]Request!$N$144</definedName>
    <definedName name="Dest21" localSheetId="17">[4]Request!$N$145</definedName>
    <definedName name="Dest22" localSheetId="17">[4]Request!$N$146</definedName>
    <definedName name="Dest23" localSheetId="17">[4]Request!$N$147</definedName>
    <definedName name="Dest24" localSheetId="17">[4]Request!$N$148</definedName>
    <definedName name="Dest25" localSheetId="17">[4]Request!$N$149</definedName>
    <definedName name="Dest26" localSheetId="17">[4]Request!$N$150</definedName>
    <definedName name="Dest3" localSheetId="17">[4]Request!$N$127</definedName>
    <definedName name="Dest4" localSheetId="17">[4]Request!$N$128</definedName>
    <definedName name="Dest5" localSheetId="17">[4]Request!$N$129</definedName>
    <definedName name="Dest6" localSheetId="17">[4]Request!$N$130</definedName>
    <definedName name="Dest7" localSheetId="17">[4]Request!$N$131</definedName>
    <definedName name="Dest8" localSheetId="17">[4]Request!$N$132</definedName>
    <definedName name="Dest9" localSheetId="17">[4]Request!$N$133</definedName>
    <definedName name="Division" localSheetId="17">[7]control!$O$27:$O$28</definedName>
    <definedName name="DOT" localSheetId="17">[7]control!$L$27:$L$29</definedName>
    <definedName name="dox" localSheetId="17">#REF!</definedName>
    <definedName name="dsfd" localSheetId="17">#REF!</definedName>
    <definedName name="EndMonth" localSheetId="17">[4]TempVariables!$H$3</definedName>
    <definedName name="ExDocDisc" localSheetId="17">[6]Discounts!$D$15:$Q$15,[6]Discounts!$S$15:$T$15</definedName>
    <definedName name="ExNDocDisc" localSheetId="17">[6]Discounts!$D$16:$Q$16,[6]Discounts!$S$16:$T$16,[6]Discounts!$D$22:$M$22,[6]Discounts!$O$22:$P$22,[6]Discounts!$T$22:$T$22</definedName>
    <definedName name="Expt638" localSheetId="17">#REF!</definedName>
    <definedName name="ExptPrepaid" localSheetId="17">'[10]Expt Disc prepaid'!#REF!</definedName>
    <definedName name="FDX" localSheetId="17">[4]Request!$A$50</definedName>
    <definedName name="FDX_Shpmts" localSheetId="17">[4]Request!$P$52</definedName>
    <definedName name="FXShpQ" localSheetId="17">[4]Request!$L$52</definedName>
    <definedName name="GroundWB" localSheetId="17">'[11]Customer Info'!$Y$20:$AB$26</definedName>
    <definedName name="GrpExcl_ll" localSheetId="17">[4]TempVariables!$D$2</definedName>
    <definedName name="GrpExcl_ul" localSheetId="17">[4]TempVariables!$E$2</definedName>
    <definedName name="GrpIncl_ll" localSheetId="17">[4]TempVariables!$B$2</definedName>
    <definedName name="GrpIncl_ul" localSheetId="17">[4]TempVariables!$C$2</definedName>
    <definedName name="Header" localSheetId="17">'[9]Expt Disc prepaid'!#REF!</definedName>
    <definedName name="home" localSheetId="17">[4]Request!$B$17</definedName>
    <definedName name="ImDocDisc" localSheetId="17">[6]Discounts!$D$29,[6]Discounts!$F$29:$Q$29,[6]Discounts!$T$29</definedName>
    <definedName name="IMListRates" localSheetId="17">#REF!</definedName>
    <definedName name="ImNDocDisc" localSheetId="17">[6]Discounts!$D$30:$D$30,[6]Discounts!$F$30:$Q$30,[6]Discounts!$T$30:$T$30,[6]Discounts!$D$36:$D$36,[6]Discounts!$F$36:$M$36,[6]Discounts!$O$36:$P$36,[6]Discounts!$T$36:$T$36</definedName>
    <definedName name="Import" localSheetId="17">[4]Request!$Q$33</definedName>
    <definedName name="Import_Pricing" localSheetId="17">#REF!</definedName>
    <definedName name="Impt_Inbnd" localSheetId="17">[4]Request!$L$33</definedName>
    <definedName name="ImptCheck" localSheetId="17">[4]Request!$Q$19</definedName>
    <definedName name="Inbound" localSheetId="17">[4]Request!$P$33</definedName>
    <definedName name="Inbound_Pricing" localSheetId="17">#REF!</definedName>
    <definedName name="Incremental_Only" localSheetId="17">[4]Request!$Q$32</definedName>
    <definedName name="IZ" localSheetId="17">#REF!</definedName>
    <definedName name="Kg_Apprv_Dt" localSheetId="17">#REF!</definedName>
    <definedName name="Kg_APPS_Chk" localSheetId="17">'[4]Shipments - kg'!$A$1138</definedName>
    <definedName name="Kg_AWPS_Chk" localSheetId="17">'[4]Shipments - kg'!$A$1117</definedName>
    <definedName name="Kg_Cntry_Disct" localSheetId="17">'[4]Discounts - kg'!$AB$108</definedName>
    <definedName name="kg_Disc_Edit_Check" localSheetId="17">#REF!</definedName>
    <definedName name="Kg_Discts" localSheetId="17">'[4]Discounts - kg'!$A$16:$IV$98</definedName>
    <definedName name="Kg_Dsc_Cntry" localSheetId="17">'[4]Discounts - kg'!$A$1:$IV$15</definedName>
    <definedName name="Kg_Dsc_IE_Cur_Disct" localSheetId="17">'[4]Discounts - kg'!$A$68:$IV$75</definedName>
    <definedName name="Kg_Dsc_IE_Hdr" localSheetId="17">'[4]Discounts - kg'!$A$60:$IV$62</definedName>
    <definedName name="Kg_Dsc_IE_Min_Hdr" localSheetId="17">'[4]Discounts - kg'!$A$63:$IV$64</definedName>
    <definedName name="Kg_Dsc_IE_Min_IE" localSheetId="17">'[4]Discounts - kg'!$A$65:$IV$65</definedName>
    <definedName name="Kg_Dsc_IE_Min_IEF" localSheetId="17">'[4]Discounts - kg'!$A$66:$IV$67</definedName>
    <definedName name="Kg_Dsc_IE_Pct_Disct" localSheetId="17">'[4]Discounts - kg'!$A$76:$IV$92</definedName>
    <definedName name="Kg_Dsc_IEF_Pct_Disct" localSheetId="17">'[4]Discounts - kg'!$A$93:$IV$99</definedName>
    <definedName name="Kg_Dsc_IP_Cur_Disct" localSheetId="17">'[4]Discounts - kg'!$A$25:$IV$31</definedName>
    <definedName name="Kg_Dsc_IP_Hdr" localSheetId="17">'[4]Discounts - kg'!$A$16:$IV$17</definedName>
    <definedName name="Kg_Dsc_IP_Min_Hdr" localSheetId="17">'[4]Discounts - kg'!$A$18:$IV$19</definedName>
    <definedName name="Kg_Dsc_IP_Min_IP" localSheetId="17">'[4]Discounts - kg'!$A$20:$IV$22</definedName>
    <definedName name="Kg_Dsc_IP_Min_IPF" localSheetId="17">'[4]Discounts - kg'!$A$23:$IV$24</definedName>
    <definedName name="Kg_Dsc_IP_Pct_Disct" localSheetId="17">'[4]Discounts - kg'!$A$32:$IV$50</definedName>
    <definedName name="Kg_Dsc_IPF_Pct_Disct" localSheetId="17">'[4]Discounts - kg'!$A$51:$IV$59</definedName>
    <definedName name="Kg_Dsc_Origin_Cntry" localSheetId="17">'[4]Discounts - kg'!$B$7:$AA$7</definedName>
    <definedName name="Kg_Incr_Shp_IE" localSheetId="17">'[4]Shipments - kg'!$A$162</definedName>
    <definedName name="Kg_Incr_Shp_IEF" localSheetId="17">'[4]Shipments - kg'!$A$163</definedName>
    <definedName name="Kg_Incr_Shp_IP" localSheetId="17">'[4]Shipments - kg'!$A$160</definedName>
    <definedName name="Kg_Incr_Shp_IPF" localSheetId="17">'[4]Shipments - kg'!$A$161</definedName>
    <definedName name="Kg_Rng_Cur_Disct_IE" localSheetId="17">'[4]Discounts - kg'!$B$72:$AA$74</definedName>
    <definedName name="Kg_Rng_Cur_Disct_IP" localSheetId="17">'[4]Discounts - kg'!$B$26:$AA$30</definedName>
    <definedName name="Kg_Rng_Disct_IE" localSheetId="17">'[4]Discounts - kg'!$B$78:$AA$84</definedName>
    <definedName name="Kg_Rng_Disct_IEF" localSheetId="17">'[4]Discounts - kg'!$B$94:$AA$98</definedName>
    <definedName name="Kg_Rng_Disct_IEHW" localSheetId="17">'[4]Discounts - kg'!$B$87:$AA$91</definedName>
    <definedName name="Kg_Rng_Disct_IP" localSheetId="17">'[4]Discounts - kg'!$B$34:$AA$42</definedName>
    <definedName name="Kg_Rng_Disct_IPF" localSheetId="17">'[4]Discounts - kg'!$B$52:$AA$56</definedName>
    <definedName name="Kg_Rng_Disct_IPHW" localSheetId="17">'[4]Discounts - kg'!$B$45:$AA$49</definedName>
    <definedName name="Kg_Rng_Disct_Min_IE" localSheetId="17">'[4]Discounts - kg'!$B$65:$AA$66</definedName>
    <definedName name="Kg_Rng_Disct_Min_IP" localSheetId="17">'[4]Discounts - kg'!$B$20:$AA$23</definedName>
    <definedName name="Kg_Rng_Shpmts_APPS_IE" localSheetId="17">'[4]Shipments - kg'!$C$119:$AB$129</definedName>
    <definedName name="Kg_Rng_Shpmts_APPS_IEF" localSheetId="17">'[4]Shipments - kg'!$C$131:$AB$135</definedName>
    <definedName name="Kg_Rng_Shpmts_APPS_IP" localSheetId="17">'[4]Shipments - kg'!$C$53:$AB$63</definedName>
    <definedName name="Kg_Rng_Shpmts_APPS_IPF" localSheetId="17">'[4]Shipments - kg'!$C$65:$AB$69</definedName>
    <definedName name="Kg_Rng_Shpmts_AWPS_IE" localSheetId="17">'[4]Shipments - kg'!$C$99:$AB$109</definedName>
    <definedName name="Kg_Rng_Shpmts_AWPS_IEF" localSheetId="17">'[4]Shipments - kg'!$C$111:$AB$115</definedName>
    <definedName name="Kg_Rng_Shpmts_AWPS_IP" localSheetId="17">'[4]Shipments - kg'!$C$34:$AB$44</definedName>
    <definedName name="Kg_Rng_Shpmts_AWPS_IPF" localSheetId="17">'[4]Shipments - kg'!$C$46:$AB$50</definedName>
    <definedName name="Kg_Rng_Shpmts_Incr_IE" localSheetId="17">'[4]Shipments - kg'!$C$75:$AB$86</definedName>
    <definedName name="Kg_Rng_Shpmts_Incr_IEF" localSheetId="17">'[4]Shipments - kg'!$C$88:$AB$92</definedName>
    <definedName name="Kg_Rng_Shpmts_Incr_IP" localSheetId="17">'[4]Shipments - kg'!$C$10:$AB$23</definedName>
    <definedName name="Kg_Rng_Shpmts_Incr_IPF" localSheetId="17">'[4]Shipments - kg'!$C$25:$AB$29</definedName>
    <definedName name="Kg_Shp_Cntry" localSheetId="17">'[4]Shipments - kg'!$A$1:$IV$8</definedName>
    <definedName name="Kg_Shp_IE_APPS" localSheetId="17">'[4]Shipments - kg'!$A$117:$IV$129</definedName>
    <definedName name="Kg_Shp_IE_AWPS" localSheetId="17">'[4]Shipments - kg'!$A$97:$IV$109</definedName>
    <definedName name="Kg_Shp_IE_Incr" localSheetId="17">'[4]Shipments - kg'!$A$72:$IV$86</definedName>
    <definedName name="Kg_Shp_IE_Tot" localSheetId="17">'[4]Shipments - kg'!$A$93:$IV$96</definedName>
    <definedName name="Kg_Shp_IEF_APPS" localSheetId="17">'[4]Shipments - kg'!$A$130:$IV$136</definedName>
    <definedName name="Kg_Shp_IEF_APPS_Hdr" localSheetId="17">'[4]Shipments - kg'!$A$117:$IV$118</definedName>
    <definedName name="Kg_Shp_IEF_AWPS" localSheetId="17">'[4]Shipments - kg'!$A$110:$IV$116</definedName>
    <definedName name="Kg_Shp_IEF_AWPS_Hdr" localSheetId="17">'[4]Shipments - kg'!$A$97:$IV$98</definedName>
    <definedName name="Kg_Shp_IEF_Incr" localSheetId="17">'[4]Shipments - kg'!$A$87:$IV$92</definedName>
    <definedName name="Kg_Shp_IEF_Incr_Hdr" localSheetId="17">'[4]Shipments - kg'!$A$72:$IV$73</definedName>
    <definedName name="Kg_Shp_IP_APPS" localSheetId="17">'[4]Shipments - kg'!$A$51:$IV$63</definedName>
    <definedName name="Kg_Shp_IP_AWPS" localSheetId="17">'[4]Shipments - kg'!$A$33:$IV$44</definedName>
    <definedName name="Kg_Shp_IP_Incr" localSheetId="17">'[4]Shipments - kg'!$A$9:$IV$23</definedName>
    <definedName name="Kg_Shp_IP_Tot" localSheetId="17">'[4]Shipments - kg'!$A$30:$IV$32</definedName>
    <definedName name="Kg_Shp_IPF_APPS" localSheetId="17">'[4]Shipments - kg'!$A$64:$IV$71</definedName>
    <definedName name="Kg_Shp_IPF_APPS_Hdr" localSheetId="17">'[4]Shipments - kg'!$A$51:$IV$52</definedName>
    <definedName name="Kg_Shp_IPF_AWPS" localSheetId="17">'[4]Shipments - kg'!$A$45:$IV$50</definedName>
    <definedName name="Kg_Shp_IPF_AWPS_Hdr" localSheetId="17">'[4]Shipments - kg'!$A$33:$IV$33</definedName>
    <definedName name="Kg_Shp_IPF_Incr" localSheetId="17">'[4]Shipments - kg'!$A$24:$IV$29</definedName>
    <definedName name="Kg_Shp_IPF_Incr_Hdr" localSheetId="17">'[4]Shipments - kg'!$A$9:$IV$9</definedName>
    <definedName name="Kg_Shp_Origin_Cntry" localSheetId="17">'[4]Shipments - kg'!$C$6:$AB$6</definedName>
    <definedName name="Kg_Shpmt_Cntry" localSheetId="17">'[4]Shipments - kg'!$AD$140</definedName>
    <definedName name="Kg_Shpmt_Disct" localSheetId="17">'[4]Discounts - kg'!$A$200</definedName>
    <definedName name="Kg_Shpmts" localSheetId="17">'[4]Shipments - kg'!$A$9:$IV$135</definedName>
    <definedName name="Kg_Shpmts_AWPS_Reset" localSheetId="17">'[4]Shipments - kg'!$A$500</definedName>
    <definedName name="Kg_Shpmts_AWPS_Reset1" localSheetId="17">'[4]Shipments - kg'!$A$501</definedName>
    <definedName name="Kilograms" localSheetId="17">[4]Request!$P$25</definedName>
    <definedName name="Lb_Apprv_Dt" localSheetId="17">'[4]Approved Discts-lb'!$F$3</definedName>
    <definedName name="Lb_APPS_Chk" localSheetId="17">'[4]Shipments - lb'!$A$1138</definedName>
    <definedName name="Lb_AWPS_Chk" localSheetId="17">'[4]Shipments - lb'!$A$1117</definedName>
    <definedName name="Lb_Cntry_Disct" localSheetId="17">'[4]Discounts - lb'!$AB$108</definedName>
    <definedName name="lb_Disc_Edit_Check" localSheetId="17">'[4]Approved Discts-lb'!$AF$259</definedName>
    <definedName name="Lb_Discts" localSheetId="17">'[4]Discounts - lb'!$A$16:$IV$98</definedName>
    <definedName name="Lb_Dsc_Cntry" localSheetId="17">'[4]Discounts - lb'!$A$1:$IV$15</definedName>
    <definedName name="Lb_Dsc_IE_Cur_Disct" localSheetId="17">'[4]Discounts - lb'!$A$68:$IV$75</definedName>
    <definedName name="Lb_Dsc_IE_Hdr" localSheetId="17">'[4]Discounts - lb'!$A$60:$IV$62</definedName>
    <definedName name="Lb_Dsc_IE_Min_Hdr" localSheetId="17">'[4]Discounts - lb'!$A$63:$IV$64</definedName>
    <definedName name="Lb_Dsc_IE_Min_IE" localSheetId="17">'[4]Discounts - lb'!$A$65:$IV$65</definedName>
    <definedName name="Lb_Dsc_IE_Min_IEF" localSheetId="17">'[4]Discounts - lb'!$A$66:$IV$67</definedName>
    <definedName name="Lb_Dsc_IE_Pct_Disct" localSheetId="17">'[4]Discounts - lb'!$A$76:$IV$92</definedName>
    <definedName name="Lb_Dsc_IEF_Pct_Disct" localSheetId="17">'[4]Discounts - lb'!$A$93:$IV$99</definedName>
    <definedName name="Lb_Dsc_IEF8" localSheetId="17">'[4]Discounts - lb'!$A$94:$IV$94</definedName>
    <definedName name="Lb_Dsc_IP_Cur_Disct" localSheetId="17">'[4]Discounts - lb'!$A$25:$IV$31</definedName>
    <definedName name="Lb_Dsc_IP_Hdr" localSheetId="17">'[4]Discounts - lb'!$A$16:$IV$17</definedName>
    <definedName name="Lb_Dsc_IP_Min_Hdr" localSheetId="17">'[4]Discounts - lb'!$A$18:$IV$19</definedName>
    <definedName name="Lb_Dsc_IP_Min_IP" localSheetId="17">'[4]Discounts - lb'!$A$20:$IV$22</definedName>
    <definedName name="Lb_Dsc_IP_Min_IPF" localSheetId="17">'[4]Discounts - lb'!$A$23:$IV$24</definedName>
    <definedName name="Lb_Dsc_IP_Pct_Disct" localSheetId="17">'[4]Discounts - lb'!$A$32:$IV$50</definedName>
    <definedName name="Lb_Dsc_IPF_Pct_Disct" localSheetId="17">'[4]Discounts - lb'!$A$51:$IV$59</definedName>
    <definedName name="Lb_Dsc_IPF8" localSheetId="17">'[4]Discounts - lb'!$A$52:$IV$52</definedName>
    <definedName name="Lb_Dsc_Origin_Cntry" localSheetId="17">'[4]Discounts - lb'!$B$7:$AA$7</definedName>
    <definedName name="Lb_Incr_Shp_IE" localSheetId="17">'[4]Shipments - lb'!$A$162</definedName>
    <definedName name="Lb_Incr_Shp_IEF" localSheetId="17">'[4]Shipments - lb'!$A$163</definedName>
    <definedName name="Lb_Incr_Shp_IP" localSheetId="17">'[4]Shipments - lb'!$A$160</definedName>
    <definedName name="Lb_Incr_Shp_IPF" localSheetId="17">'[4]Shipments - lb'!$A$161</definedName>
    <definedName name="Lb_Rng_Cur_Disct_IE" localSheetId="17">'[4]Discounts - lb'!$B$72:$AA$74</definedName>
    <definedName name="Lb_Rng_Cur_Disct_IP" localSheetId="17">'[4]Discounts - lb'!$B$26:$AA$30</definedName>
    <definedName name="Lb_Rng_Disct_IE" localSheetId="17">'[4]Discounts - lb'!$B$78:$AA$84</definedName>
    <definedName name="Lb_Rng_Disct_IEF" localSheetId="17">'[4]Discounts - lb'!$B$94:$AA$98</definedName>
    <definedName name="Lb_Rng_Disct_IEHW" localSheetId="17">'[4]Discounts - lb'!$B$87:$AA$91</definedName>
    <definedName name="Lb_Rng_Disct_IP" localSheetId="17">'[4]Discounts - lb'!$B$34:$AA$42</definedName>
    <definedName name="Lb_Rng_Disct_IPF" localSheetId="17">'[4]Discounts - lb'!$B$52:$AA$56</definedName>
    <definedName name="Lb_Rng_Disct_IPHW" localSheetId="17">'[4]Discounts - lb'!$B$45:$AA$49</definedName>
    <definedName name="Lb_Rng_Disct_Min_IE" localSheetId="17">'[4]Discounts - lb'!$B$65:$AA$66</definedName>
    <definedName name="Lb_Rng_Disct_Min_IP" localSheetId="17">'[4]Discounts - lb'!$B$20:$AA$23</definedName>
    <definedName name="Lb_Rng_Shpmts_APPS_IE" localSheetId="17">'[4]Shipments - lb'!$C$119:$AB$129</definedName>
    <definedName name="Lb_Rng_Shpmts_APPS_IEF" localSheetId="17">'[4]Shipments - lb'!$C$131:$AB$135</definedName>
    <definedName name="Lb_Rng_Shpmts_APPS_IP" localSheetId="17">'[4]Shipments - lb'!$C$53:$AB$63</definedName>
    <definedName name="Lb_Rng_Shpmts_APPS_IPF" localSheetId="17">'[4]Shipments - lb'!$C$65:$AB$69</definedName>
    <definedName name="Lb_Rng_Shpmts_AWPS_IE" localSheetId="17">'[4]Shipments - lb'!$C$99:$AB$109</definedName>
    <definedName name="Lb_Rng_Shpmts_AWPS_IEF" localSheetId="17">'[4]Shipments - lb'!$C$111:$AB$115</definedName>
    <definedName name="Lb_Rng_Shpmts_AWPS_IP" localSheetId="17">'[4]Shipments - lb'!$C$34:$AB$44</definedName>
    <definedName name="Lb_Rng_Shpmts_AWPS_IPF" localSheetId="17">'[4]Shipments - lb'!$C$46:$AB$50</definedName>
    <definedName name="Lb_Rng_Shpmts_Incr_IE" localSheetId="17">'[4]Shipments - lb'!$C$75:$AB$86</definedName>
    <definedName name="Lb_Rng_Shpmts_Incr_IEF" localSheetId="17">'[4]Shipments - lb'!$C$88:$AB$92</definedName>
    <definedName name="Lb_Rng_Shpmts_Incr_IP" localSheetId="17">'[4]Shipments - lb'!$C$10:$AB$23</definedName>
    <definedName name="Lb_Rng_Shpmts_Incr_IPF" localSheetId="17">'[4]Shipments - lb'!$C$25:$AB$29</definedName>
    <definedName name="Lb_Shp_Cntry" localSheetId="17">'[4]Shipments - lb'!$A$1:$IV$8</definedName>
    <definedName name="Lb_Shp_IE_APPS" localSheetId="17">'[4]Shipments - lb'!$A$117:$IV$129</definedName>
    <definedName name="Lb_Shp_IE_AWPS" localSheetId="17">'[4]Shipments - lb'!$A$97:$IV$109</definedName>
    <definedName name="Lb_Shp_IE_Incr" localSheetId="17">'[4]Shipments - lb'!$A$72:$IV$86</definedName>
    <definedName name="Lb_Shp_IE_Tot" localSheetId="17">'[4]Shipments - lb'!$A$93:$IV$96</definedName>
    <definedName name="Lb_Shp_IEF_APPS" localSheetId="17">'[4]Shipments - lb'!$A$130:$IV$136</definedName>
    <definedName name="Lb_Shp_IEF_APPS_Hdr" localSheetId="17">'[4]Shipments - lb'!$A$117:$IV$118</definedName>
    <definedName name="Lb_Shp_IEF_AWPS" localSheetId="17">'[4]Shipments - lb'!$A$110:$IV$116</definedName>
    <definedName name="Lb_Shp_IEF_AWPS_Hdr" localSheetId="17">'[4]Shipments - lb'!$A$97:$IV$98</definedName>
    <definedName name="Lb_Shp_IEF_Incr" localSheetId="17">'[4]Shipments - lb'!$A$87:$IV$92</definedName>
    <definedName name="Lb_Shp_IEF_Incr_Hdr" localSheetId="17">'[4]Shipments - lb'!$A$72:$IV$73</definedName>
    <definedName name="Lb_Shp_IEF8_APPS" localSheetId="17">'[4]Shipments - lb'!$A$131:$IV$131</definedName>
    <definedName name="Lb_Shp_IEF8_AWPS" localSheetId="17">'[4]Shipments - lb'!$A$111:$IV$111</definedName>
    <definedName name="Lb_Shp_IEF8_Incr" localSheetId="17">'[4]Shipments - lb'!$A$88:$IV$88</definedName>
    <definedName name="Lb_Shp_IP_APPS" localSheetId="17">'[4]Shipments - lb'!$A$51:$IV$63</definedName>
    <definedName name="Lb_Shp_IP_AWPS" localSheetId="17">'[4]Shipments - lb'!$A$33:$IV$44</definedName>
    <definedName name="Lb_Shp_IP_Incr" localSheetId="17">'[4]Shipments - lb'!$A$9:$IV$23</definedName>
    <definedName name="Lb_Shp_IP_Tot" localSheetId="17">'[4]Shipments - lb'!$A$30:$IV$32</definedName>
    <definedName name="Lb_Shp_IPF_APPS" localSheetId="17">'[4]Shipments - lb'!$A$64:$IV$71</definedName>
    <definedName name="Lb_Shp_IPF_APPS_Hdr" localSheetId="17">'[4]Shipments - lb'!$A$51:$IV$52</definedName>
    <definedName name="Lb_Shp_IPF_AWPS" localSheetId="17">'[4]Shipments - lb'!$A$45:$IV$50</definedName>
    <definedName name="Lb_Shp_IPF_AWPS_Hdr" localSheetId="17">'[4]Shipments - lb'!$A$33:$IV$33</definedName>
    <definedName name="Lb_Shp_IPF_Incr" localSheetId="17">'[4]Shipments - lb'!$A$24:$IV$29</definedName>
    <definedName name="Lb_Shp_IPF_Incr_Hdr" localSheetId="17">'[4]Shipments - lb'!$A$9:$IV$9</definedName>
    <definedName name="Lb_Shp_IPF8_APPS" localSheetId="17">'[4]Shipments - lb'!$A$65:$IV$65</definedName>
    <definedName name="Lb_Shp_IPF8_AWPS" localSheetId="17">'[4]Shipments - lb'!$A$46:$IV$46</definedName>
    <definedName name="Lb_Shp_IPF8_Incr" localSheetId="17">'[4]Shipments - lb'!$A$25:$IV$25</definedName>
    <definedName name="Lb_Shp_Origin_Cntry" localSheetId="17">'[4]Shipments - lb'!$C$6:$AB$6</definedName>
    <definedName name="Lb_Shpmt_Cntry" localSheetId="17">'[4]Shipments - lb'!$AD$140</definedName>
    <definedName name="Lb_Shpmt_Disct" localSheetId="17">'[4]Discounts - lb'!$A$200</definedName>
    <definedName name="Lb_Shpmts" localSheetId="17">'[4]Shipments - lb'!$A$9:$IV$135</definedName>
    <definedName name="Lb_Shpmts_AWPS_Reset" localSheetId="17">'[4]Shipments - lb'!$A$500</definedName>
    <definedName name="Lb_Shpmts_AWPS_Reset1" localSheetId="17">'[4]Shipments - lb'!$A$501</definedName>
    <definedName name="LocalAccts" localSheetId="17">[4]TempVariables!$F$2</definedName>
    <definedName name="Locations" localSheetId="17">[4]Request!$C$124</definedName>
    <definedName name="LOOKUP" localSheetId="17">#REF!</definedName>
    <definedName name="Major_Origin_Cities" localSheetId="17">[4]Request!$E$124</definedName>
    <definedName name="MBG" localSheetId="17">[4]Request!$G$42</definedName>
    <definedName name="MBG_NotReq" localSheetId="17">[4]Request!$P$44</definedName>
    <definedName name="MBG_Option" localSheetId="17">[4]Request!$M$44</definedName>
    <definedName name="MBG_Req" localSheetId="17">[4]Request!$Q$44</definedName>
    <definedName name="MINTABLE" localSheetId="17">[11]SURCHARGES!$H$9:$U$15</definedName>
    <definedName name="ModelDate" localSheetId="17">[4]Request!$K$1</definedName>
    <definedName name="NatlAccts" localSheetId="17">[4]TempVariables!$A$2</definedName>
    <definedName name="NDAAll" localSheetId="17">'[11]Customer Info'!$V$9</definedName>
    <definedName name="Old_Payor_No" localSheetId="17">[4]Request!$E$56</definedName>
    <definedName name="Old_Shipper_No" localSheetId="17">[4]Request!$E$54</definedName>
    <definedName name="Op_Months" localSheetId="17">'[4]Shipments - current'!$B$1</definedName>
    <definedName name="Op_Scenario" localSheetId="17">[4]Request!$P$74</definedName>
    <definedName name="OpQ" localSheetId="17">[4]Request!$L$74</definedName>
    <definedName name="OptionType" localSheetId="17">[7]control!$F$27:$F$29</definedName>
    <definedName name="Orig_Region_1" localSheetId="17">[4]Request!$A$125</definedName>
    <definedName name="Orig_Region_10" localSheetId="17">[4]Request!$A$134</definedName>
    <definedName name="Orig_Region_11" localSheetId="17">[4]Request!$A$135</definedName>
    <definedName name="Orig_Region_12" localSheetId="17">[4]Request!$A$136</definedName>
    <definedName name="Orig_Region_13" localSheetId="17">[4]Request!$A$137</definedName>
    <definedName name="Orig_Region_14" localSheetId="17">[4]Request!$A$138</definedName>
    <definedName name="Orig_Region_15" localSheetId="17">[4]Request!$A$139</definedName>
    <definedName name="Orig_Region_16" localSheetId="17">[4]Request!$A$140</definedName>
    <definedName name="Orig_Region_17" localSheetId="17">[4]Request!$A$141</definedName>
    <definedName name="Orig_Region_18" localSheetId="17">[4]Request!$A$142</definedName>
    <definedName name="Orig_Region_19" localSheetId="17">[4]Request!$A$143</definedName>
    <definedName name="Orig_Region_2" localSheetId="17">[4]Request!$A$126</definedName>
    <definedName name="Orig_Region_20" localSheetId="17">[4]Request!$A$144</definedName>
    <definedName name="Orig_Region_21" localSheetId="17">[4]Request!$A$145</definedName>
    <definedName name="Orig_Region_22" localSheetId="17">[4]Request!$A$146</definedName>
    <definedName name="Orig_Region_23" localSheetId="17">[4]Request!$A$147</definedName>
    <definedName name="Orig_Region_24" localSheetId="17">[4]Request!$A$148</definedName>
    <definedName name="Orig_Region_25" localSheetId="17">[4]Request!$A$149</definedName>
    <definedName name="Orig_Region_26" localSheetId="17">[4]Request!$A$150</definedName>
    <definedName name="Orig_Region_3" localSheetId="17">[4]Request!$A$127</definedName>
    <definedName name="Orig_Region_4" localSheetId="17">[4]Request!$A$128</definedName>
    <definedName name="Orig_Region_5" localSheetId="17">[4]Request!$A$129</definedName>
    <definedName name="Orig_Region_6" localSheetId="17">[4]Request!$A$130</definedName>
    <definedName name="Orig_Region_7" localSheetId="17">[4]Request!$A$131</definedName>
    <definedName name="Orig_Region_8" localSheetId="17">[4]Request!$A$132</definedName>
    <definedName name="Orig_Region_9" localSheetId="17">[4]Request!$A$133</definedName>
    <definedName name="Orig1" localSheetId="17">[4]Request!$L$125</definedName>
    <definedName name="Orig10" localSheetId="17">[4]Request!$L$134</definedName>
    <definedName name="Orig11" localSheetId="17">[4]Request!$L$135</definedName>
    <definedName name="Orig12" localSheetId="17">[4]Request!$L$136</definedName>
    <definedName name="Orig13" localSheetId="17">[4]Request!$L$137</definedName>
    <definedName name="Orig14" localSheetId="17">[4]Request!$L$138</definedName>
    <definedName name="Orig15" localSheetId="17">[4]Request!$L$139</definedName>
    <definedName name="Orig16" localSheetId="17">[4]Request!$L$140</definedName>
    <definedName name="Orig17" localSheetId="17">[4]Request!$L$141</definedName>
    <definedName name="Orig18" localSheetId="17">[4]Request!$L$142</definedName>
    <definedName name="Orig19" localSheetId="17">[4]Request!$L$143</definedName>
    <definedName name="Orig2" localSheetId="17">[4]Request!$L$126</definedName>
    <definedName name="Orig20" localSheetId="17">[4]Request!$L$144</definedName>
    <definedName name="Orig21" localSheetId="17">[4]Request!$L$145</definedName>
    <definedName name="Orig22" localSheetId="17">[4]Request!$L$146</definedName>
    <definedName name="Orig23" localSheetId="17">[4]Request!$L$147</definedName>
    <definedName name="Orig24" localSheetId="17">[4]Request!$L$148</definedName>
    <definedName name="Orig25" localSheetId="17">[4]Request!$L$149</definedName>
    <definedName name="Orig26" localSheetId="17">[4]Request!$L$150</definedName>
    <definedName name="Orig3" localSheetId="17">[4]Request!$L$127</definedName>
    <definedName name="Orig4" localSheetId="17">[4]Request!$L$128</definedName>
    <definedName name="Orig5" localSheetId="17">[4]Request!$L$129</definedName>
    <definedName name="Orig6" localSheetId="17">[4]Request!$L$130</definedName>
    <definedName name="Orig7" localSheetId="17">[4]Request!$L$131</definedName>
    <definedName name="Orig8" localSheetId="17">[4]Request!$L$132</definedName>
    <definedName name="Orig9" localSheetId="17">[4]Request!$L$133</definedName>
    <definedName name="Origin" localSheetId="17">[4]Request!$B$124</definedName>
    <definedName name="Origin_Countries" localSheetId="17">[4]Request!$L$125:$L$150</definedName>
    <definedName name="Origin_Country_Code" localSheetId="17">[4]Countries!$G$4:$H$224</definedName>
    <definedName name="Origin_Country_Name_Code" localSheetId="17">[4]Countries!$B$4:$C$224</definedName>
    <definedName name="Origin_Scenario" localSheetId="17">[4]Request!$E$76</definedName>
    <definedName name="parcels" localSheetId="17">#REF!</definedName>
    <definedName name="Password" localSheetId="17">[4]TempVariables!$O$3</definedName>
    <definedName name="Payor_Acct1" localSheetId="17">[4]Request!$I$23</definedName>
    <definedName name="Payor_Acct2" localSheetId="17">[4]Request!$I$25</definedName>
    <definedName name="Payor_Acct3" localSheetId="17">[4]Request!$I$27</definedName>
    <definedName name="Payor_Country" localSheetId="17">[4]Request!$M$19</definedName>
    <definedName name="Payor_Table" localSheetId="17">[4]Countries!$HI$4:$HR$101</definedName>
    <definedName name="PayorRgn" localSheetId="17">[4]Request!$P$15</definedName>
    <definedName name="PNH" localSheetId="17">#REF!</definedName>
    <definedName name="Pricing_Requested" localSheetId="17">[4]Request!$A$33</definedName>
    <definedName name="Product" localSheetId="17">[7]control!$N$27:$N$38</definedName>
    <definedName name="Provinces_Cities" localSheetId="17">[4]Request!$E$125:$E$150</definedName>
    <definedName name="Range1" localSheetId="17">#REF!</definedName>
    <definedName name="Region" localSheetId="17">[4]Request!$O$16</definedName>
    <definedName name="Region_Rev" localSheetId="17">[4]Request!$E$112:$E$116</definedName>
    <definedName name="RO" localSheetId="17">#REF!</definedName>
    <definedName name="road" localSheetId="17">#REF!</definedName>
    <definedName name="RTH" localSheetId="17">#REF!</definedName>
    <definedName name="Sales_AE" localSheetId="17">[4]Request!$B$21</definedName>
    <definedName name="Sales_Manager" localSheetId="17">[4]Request!$B$19</definedName>
    <definedName name="SDAALL" localSheetId="17">'[11]Customer Info'!$V$15</definedName>
    <definedName name="Service_IE" localSheetId="17">[4]Request!$R$46</definedName>
    <definedName name="Service_IE_IEF" localSheetId="17">[4]Request!$R$47</definedName>
    <definedName name="Service_IEF" localSheetId="17">[4]Request!$S$46</definedName>
    <definedName name="Service_IP" localSheetId="17">[4]Request!$P$46</definedName>
    <definedName name="Service_IP_IPF" localSheetId="17">[4]Request!$P$47</definedName>
    <definedName name="Service_IPF" localSheetId="17">[4]Request!$Q$46</definedName>
    <definedName name="Service_Type" localSheetId="17">[4]Request!$L$48</definedName>
    <definedName name="Services_Requested" localSheetId="17">[4]Request!$A$42</definedName>
    <definedName name="Ship_Locations" localSheetId="17">[4]Request!$M$125:$M$150</definedName>
    <definedName name="Ship_Tender" localSheetId="17">[4]Request!$E$68</definedName>
    <definedName name="Show9DigitAccts" localSheetId="17">[4]TempVariables!$J$3</definedName>
    <definedName name="SlsChan" localSheetId="17">[7]control!$B$27:$B$28</definedName>
    <definedName name="Spec_Op" localSheetId="17">[4]Request!$A$72</definedName>
    <definedName name="StartMonth" localSheetId="17">[4]TempVariables!$G$3</definedName>
    <definedName name="Strategy" localSheetId="17">[4]Request!$A$108</definedName>
    <definedName name="SurchargeType" localSheetId="17">[7]control!$I$27:$I$32</definedName>
    <definedName name="TABLE" localSheetId="17">#REF!</definedName>
    <definedName name="TempVariables" localSheetId="17">[4]TempVariables!$A$1</definedName>
    <definedName name="Tier" localSheetId="17">'[12]Portfolio Discount'!#REF!</definedName>
    <definedName name="Tot_Annual_Rev" localSheetId="17">[4]Request!$E$117</definedName>
    <definedName name="USAcctsOnly" localSheetId="17">[4]TempVariables!$I$3</definedName>
    <definedName name="UserID" localSheetId="17">[4]TempVariables!$N$3</definedName>
    <definedName name="Value_2K" localSheetId="17">[4]Request!$E$88</definedName>
    <definedName name="values" localSheetId="17">[4]Request!$L$16:$O$150</definedName>
    <definedName name="WtMetric" localSheetId="17">[4]Request!$B$25</definedName>
    <definedName name="YN" localSheetId="17">[7]control!$P$27:$P$28</definedName>
    <definedName name="zone" localSheetId="17">#REF!</definedName>
    <definedName name="ZonedOut" localSheetId="17">[7]rates_input!$R$5:$Z$8</definedName>
    <definedName name="ZonedOut1" localSheetId="17">[7]rates_input!$I$6:$Z$8</definedName>
    <definedName name="ZonedOut2" localSheetId="17">[7]rates_input!$I$7:$Z$8</definedName>
    <definedName name="ZONELU" localSheetId="17">[11]SURCHARGES!$B$9:$D$59</definedName>
    <definedName name="Zones" localSheetId="17">#REF!,#REF!,#REF!,#REF!</definedName>
    <definedName name="Zones_New" localSheetId="17">[7]zones_input!$B$1:$G$65536</definedName>
    <definedName name="_Fill" localSheetId="18" hidden="1">[2]Express!#REF!</definedName>
    <definedName name="_Key1" localSheetId="18" hidden="1">#REF!</definedName>
    <definedName name="_Loc1" localSheetId="18">[3]Request!$M$125</definedName>
    <definedName name="_Loc10" localSheetId="18">[4]Request!$M$134</definedName>
    <definedName name="_Loc11" localSheetId="18">[4]Request!$M$135</definedName>
    <definedName name="_Loc12" localSheetId="18">[4]Request!$M$136</definedName>
    <definedName name="_Loc13" localSheetId="18">[4]Request!$M$137</definedName>
    <definedName name="_Loc14" localSheetId="18">[4]Request!$M$138</definedName>
    <definedName name="_Loc15" localSheetId="18">[4]Request!$M$139</definedName>
    <definedName name="_Loc16" localSheetId="18">[4]Request!$M$140</definedName>
    <definedName name="_Loc17" localSheetId="18">[4]Request!$M$141</definedName>
    <definedName name="_Loc18" localSheetId="18">[4]Request!$M$142</definedName>
    <definedName name="_Loc19" localSheetId="18">[4]Request!$M$143</definedName>
    <definedName name="_Loc2" localSheetId="18">[4]Request!$M$126</definedName>
    <definedName name="_Loc20" localSheetId="18">[4]Request!$M$144</definedName>
    <definedName name="_Loc21" localSheetId="18">[4]Request!$M$145</definedName>
    <definedName name="_Loc22" localSheetId="18">[4]Request!$M$146</definedName>
    <definedName name="_Loc23" localSheetId="18">[4]Request!$M$147</definedName>
    <definedName name="_Loc24" localSheetId="18">[4]Request!$M$148</definedName>
    <definedName name="_Loc25" localSheetId="18">[4]Request!$M$149</definedName>
    <definedName name="_Loc26" localSheetId="18">[4]Request!$M$150</definedName>
    <definedName name="_Loc3" localSheetId="18">[4]Request!$M$127</definedName>
    <definedName name="_Loc4" localSheetId="18">[4]Request!$M$128</definedName>
    <definedName name="_Loc5" localSheetId="18">[4]Request!$M$129</definedName>
    <definedName name="_Loc6" localSheetId="18">[4]Request!$M$130</definedName>
    <definedName name="_Loc7" localSheetId="18">[4]Request!$M$131</definedName>
    <definedName name="_Loc8" localSheetId="18">[4]Request!$M$132</definedName>
    <definedName name="_Loc9" localSheetId="18">[4]Request!$M$133</definedName>
    <definedName name="_Sort" localSheetId="18" hidden="1">[1]Express!#REF!</definedName>
    <definedName name="a" localSheetId="18" hidden="1">[1]Express!#REF!</definedName>
    <definedName name="Account" localSheetId="18">[4]Request!$B$17</definedName>
    <definedName name="Acct_number" localSheetId="18">[5]Summary!$E$2</definedName>
    <definedName name="AFD" localSheetId="18">#REF!</definedName>
    <definedName name="Agent" localSheetId="18">[4]Request!$A$60</definedName>
    <definedName name="Agent_Comm" localSheetId="18">[4]Request!$E$64</definedName>
    <definedName name="Agent_Delivery" localSheetId="18">[4]Request!$O$62</definedName>
    <definedName name="Agent_Involved" localSheetId="18">[4]Request!$P$62</definedName>
    <definedName name="Agent_Pickup" localSheetId="18">[4]Request!$N$62</definedName>
    <definedName name="Agent_Services" localSheetId="18">[4]Request!$E$66</definedName>
    <definedName name="AgentQ" localSheetId="18">[4]Request!$L$62</definedName>
    <definedName name="AllDiscountArea" localSheetId="18">[6]Discounts!$D$15:$Q$16,[6]Discounts!$S$15:$T$16,[6]Discounts!$D$22:$M$22,[6]Discounts!$O$22:$P$22,[6]Discounts!$T$22:$T$22,[6]Discounts!$D$29:$D$30,[6]Discounts!$F$29:$Q$30,[6]Discounts!$T$29:$T$30,[6]Discounts!$D$36:$D$36,[6]Discounts!$F$36:$M$36,[6]Discounts!$O$36:$P$36,[6]Discounts!$T$36:$T$36</definedName>
    <definedName name="Alph_countries" localSheetId="18">[7]zones_input!$A$2:$A$214</definedName>
    <definedName name="anakg" localSheetId="18">'[4]Shipments - kg current'!$D$1</definedName>
    <definedName name="analb" localSheetId="18">'[4]Shipments - lb current'!$D$1</definedName>
    <definedName name="ApDsctKgADNR" localSheetId="18">#REF!</definedName>
    <definedName name="ApDsctKgComm" localSheetId="18">#REF!</definedName>
    <definedName name="ApDsctKgH1" localSheetId="18">#REF!</definedName>
    <definedName name="ApDsctKgH2" localSheetId="18">#REF!</definedName>
    <definedName name="ApDsctKgIEAppCurDisct" localSheetId="18">#REF!</definedName>
    <definedName name="ApDsctKgIEAppMin" localSheetId="18">#REF!</definedName>
    <definedName name="ApDsctKgIEReqCurDisct" localSheetId="18">#REF!</definedName>
    <definedName name="ApDsctKgIEReqMin" localSheetId="18">#REF!</definedName>
    <definedName name="ApDsctKgIERestore" localSheetId="18">#REF!</definedName>
    <definedName name="ApDsctKgIPAppCurDisct" localSheetId="18">#REF!</definedName>
    <definedName name="ApDsctKgIPAppMin" localSheetId="18">#REF!</definedName>
    <definedName name="ApDsctKgIPReqCurDisct" localSheetId="18">#REF!</definedName>
    <definedName name="ApDsctKgIPReqMin" localSheetId="18">#REF!</definedName>
    <definedName name="ApDsctKgIPRestore" localSheetId="18">#REF!</definedName>
    <definedName name="ApDsctKgLR" localSheetId="18">#REF!</definedName>
    <definedName name="ApDsctKgLR1" localSheetId="18">#REF!</definedName>
    <definedName name="ApDsctKgQ1" localSheetId="18">#REF!</definedName>
    <definedName name="ApDsctKgQ10" localSheetId="18">#REF!</definedName>
    <definedName name="ApDsctKgQ2" localSheetId="18">#REF!</definedName>
    <definedName name="ApDsctKgQ3" localSheetId="18">#REF!</definedName>
    <definedName name="ApDsctKgQ4" localSheetId="18">#REF!</definedName>
    <definedName name="ApDsctKgQ5" localSheetId="18">#REF!</definedName>
    <definedName name="ApDsctKgQ6" localSheetId="18">#REF!</definedName>
    <definedName name="ApDsctKgQ7" localSheetId="18">#REF!</definedName>
    <definedName name="ApDsctKgQ8" localSheetId="18">#REF!</definedName>
    <definedName name="ApDsctKgQ9" localSheetId="18">#REF!</definedName>
    <definedName name="ApDsctKgRMIE" localSheetId="18">#REF!</definedName>
    <definedName name="ApDsctKgRMIP" localSheetId="18">#REF!</definedName>
    <definedName name="ApDsctKgSIE" localSheetId="18">#REF!</definedName>
    <definedName name="ApDsctKgSIP" localSheetId="18">#REF!</definedName>
    <definedName name="ApDsctLbADNR" localSheetId="18">'[4]Approved Discts-lb'!$F$7:$AE$7</definedName>
    <definedName name="ApDsctLbComm" localSheetId="18">'[4]Approved Discts-lb'!$F$159</definedName>
    <definedName name="ApDsctLbH1" localSheetId="18">'[4]Approved Discts-lb'!$F$3:$H$4</definedName>
    <definedName name="ApDsctLbH2" localSheetId="18">'[4]Approved Discts-lb'!$Z$3:$Z$4</definedName>
    <definedName name="ApDsctLbIEAppCurDisct" localSheetId="18">'[4]Approved Discts-lb'!$A$111:$AE$114</definedName>
    <definedName name="ApDsctLbIEAppMin" localSheetId="18">'[4]Approved Discts-lb'!$A$108:$AE$110</definedName>
    <definedName name="ApDsctLbIEReqCurDisct" localSheetId="18">'[4]Approved Discts-lb'!$A$85:$AE$88</definedName>
    <definedName name="ApDsctLbIEReqMin" localSheetId="18">'[4]Approved Discts-lb'!$B$82:$AE$84</definedName>
    <definedName name="ApDsctLbIERestore" localSheetId="18">'[4]Approved Discts-lb'!$F$364:$AE$387</definedName>
    <definedName name="ApDsctLbIPAppCurDisct" localSheetId="18">'[4]Approved Discts-lb'!$A$50:$AE$55</definedName>
    <definedName name="ApDsctLbIPAppMin" localSheetId="18">'[4]Approved Discts-lb'!$A$45:$AE$49</definedName>
    <definedName name="ApDsctLbIPReqCurDisct" localSheetId="18">'[4]Approved Discts-lb'!$A$18:$AE$23</definedName>
    <definedName name="ApDsctLbIPReqMin" localSheetId="18">'[4]Approved Discts-lb'!$A$13:$AE$17</definedName>
    <definedName name="ApDsctLbIPRestore" localSheetId="18">'[4]Approved Discts-lb'!$F$326:$AE$355</definedName>
    <definedName name="ApDsctLbLR" localSheetId="18">'[4]Approved Discts-lb'!$F$11:$AE$11</definedName>
    <definedName name="ApDsctLbLR1" localSheetId="18">'[4]Approved Discts-lb'!$F$81:$AE$81</definedName>
    <definedName name="ApDsctLbQ1" localSheetId="18">'[4]Approved Discts-lb'!$AG$134</definedName>
    <definedName name="ApDsctLbQ10" localSheetId="18">'[4]Approved Discts-lb'!$AG$154</definedName>
    <definedName name="ApDsctLbQ2" localSheetId="18">'[4]Approved Discts-lb'!$AG$136</definedName>
    <definedName name="ApDsctLbQ3" localSheetId="18">'[4]Approved Discts-lb'!$AG$138</definedName>
    <definedName name="ApDsctLbQ4" localSheetId="18">'[4]Approved Discts-lb'!$AG$141</definedName>
    <definedName name="ApDsctLbQ5" localSheetId="18">'[4]Approved Discts-lb'!$AG$143</definedName>
    <definedName name="ApDsctLbQ6" localSheetId="18">'[4]Approved Discts-lb'!$AG$145</definedName>
    <definedName name="ApDsctLbQ7" localSheetId="18">'[4]Approved Discts-lb'!$AG$147</definedName>
    <definedName name="ApDsctLbQ8" localSheetId="18">'[4]Approved Discts-lb'!$AG$149</definedName>
    <definedName name="ApDsctLbQ9" localSheetId="18">'[4]Approved Discts-lb'!$AG$151</definedName>
    <definedName name="ApDsctLbRMIE" localSheetId="18">'[4]Approved Discts-lb'!$F$109:$AE$132</definedName>
    <definedName name="ApDsctLbRMIP" localSheetId="18">'[4]Approved Discts-lb'!$F$46:$AE$75</definedName>
    <definedName name="ApDsctLbSIE" localSheetId="18">'[4]Approved Discts-lb'!$F$83:$AE$106</definedName>
    <definedName name="ApDsctLbSIP" localSheetId="18">'[4]Approved Discts-lb'!$F$14:$AE$43</definedName>
    <definedName name="Approval" localSheetId="18">[4]Request!$P$16</definedName>
    <definedName name="Bill_3P" localSheetId="18">[4]Request!$M$29</definedName>
    <definedName name="Bill_Consignee" localSheetId="18">[4]Request!$L$29</definedName>
    <definedName name="Billing_Option" localSheetId="18">[4]Request!$A$29</definedName>
    <definedName name="Business_Type" localSheetId="18">[4]Request!$G$31</definedName>
    <definedName name="BWE" localSheetId="18">[4]TempVariables!$K$3</definedName>
    <definedName name="Chk_Origin_Cntry" localSheetId="18">[4]Request!$L$151</definedName>
    <definedName name="Chk_Provinces_Cities" localSheetId="18">[4]Request!$S$151</definedName>
    <definedName name="Chk_Ship_Loc" localSheetId="18">[4]Request!$R$151</definedName>
    <definedName name="Clearance_Reqd" localSheetId="18">[4]Request!$A$82</definedName>
    <definedName name="Commodity1" localSheetId="18">[4]Request!$I$48</definedName>
    <definedName name="Commodity2" localSheetId="18">[4]Request!$I$49</definedName>
    <definedName name="Competitor" localSheetId="18">[4]Request!$I$54</definedName>
    <definedName name="CONTDE" localSheetId="18">#REF!</definedName>
    <definedName name="CONTFD" localSheetId="18">#REF!</definedName>
    <definedName name="CONTFE" localSheetId="18">#REF!</definedName>
    <definedName name="CONTPD" localSheetId="18">#REF!</definedName>
    <definedName name="CONTPE" localSheetId="18">#REF!</definedName>
    <definedName name="countries" localSheetId="18">[7]zones_input!$A$2:$C$202</definedName>
    <definedName name="country_selection" localSheetId="18">[7]control!$S$4:$S$5</definedName>
    <definedName name="CSource" localSheetId="18">[7]control!$D$27:$D$29</definedName>
    <definedName name="Cur_Disct" localSheetId="18">[4]Request!$P$19</definedName>
    <definedName name="Curr_and_Incr" localSheetId="18">[4]Request!$R$32</definedName>
    <definedName name="Curr_Incr" localSheetId="18">[4]Request!$M$32</definedName>
    <definedName name="Current" localSheetId="18">'[4]Shipments - current'!$E$4:$Z$65536</definedName>
    <definedName name="Current_Only" localSheetId="18">[4]Request!$P$32</definedName>
    <definedName name="CurrentDetail" localSheetId="18">'[4]Shipments - current'!$A$3</definedName>
    <definedName name="CurrentDetailEnd" localSheetId="18">'[4]Shipments - current'!$AH$3</definedName>
    <definedName name="Cust_Clear" localSheetId="18">[4]Request!$P$84</definedName>
    <definedName name="CustClearQ" localSheetId="18">[4]Request!$L$84</definedName>
    <definedName name="Customer" localSheetId="18">[8]Summary!$B$1</definedName>
    <definedName name="Date1" localSheetId="18">[4]Request!$P$17</definedName>
    <definedName name="Date2" localSheetId="18">[4]Request!$Q$17</definedName>
    <definedName name="Declared_Value" localSheetId="18">[4]Request!$E$89</definedName>
    <definedName name="Dest_Countries" localSheetId="18">[4]Request!$N$125:$N$150</definedName>
    <definedName name="Dest_Country_Copy" localSheetId="18">[4]Request!$R$19</definedName>
    <definedName name="Dest_Scenario" localSheetId="18">[4]Request!$E$78</definedName>
    <definedName name="Dest1" localSheetId="18">[4]Request!$N$125</definedName>
    <definedName name="Dest10" localSheetId="18">[4]Request!$N$134</definedName>
    <definedName name="Dest11" localSheetId="18">[4]Request!$N$135</definedName>
    <definedName name="Dest12" localSheetId="18">[4]Request!$N$136</definedName>
    <definedName name="Dest13" localSheetId="18">[4]Request!$N$137</definedName>
    <definedName name="Dest14" localSheetId="18">[4]Request!$N$138</definedName>
    <definedName name="Dest15" localSheetId="18">[4]Request!$N$139</definedName>
    <definedName name="Dest16" localSheetId="18">[4]Request!$N$140</definedName>
    <definedName name="Dest17" localSheetId="18">[4]Request!$N$141</definedName>
    <definedName name="Dest18" localSheetId="18">[4]Request!$N$142</definedName>
    <definedName name="Dest19" localSheetId="18">[4]Request!$N$143</definedName>
    <definedName name="Dest2" localSheetId="18">[4]Request!$N$126</definedName>
    <definedName name="Dest20" localSheetId="18">[4]Request!$N$144</definedName>
    <definedName name="Dest21" localSheetId="18">[4]Request!$N$145</definedName>
    <definedName name="Dest22" localSheetId="18">[4]Request!$N$146</definedName>
    <definedName name="Dest23" localSheetId="18">[4]Request!$N$147</definedName>
    <definedName name="Dest24" localSheetId="18">[4]Request!$N$148</definedName>
    <definedName name="Dest25" localSheetId="18">[4]Request!$N$149</definedName>
    <definedName name="Dest26" localSheetId="18">[4]Request!$N$150</definedName>
    <definedName name="Dest3" localSheetId="18">[4]Request!$N$127</definedName>
    <definedName name="Dest4" localSheetId="18">[4]Request!$N$128</definedName>
    <definedName name="Dest5" localSheetId="18">[4]Request!$N$129</definedName>
    <definedName name="Dest6" localSheetId="18">[4]Request!$N$130</definedName>
    <definedName name="Dest7" localSheetId="18">[4]Request!$N$131</definedName>
    <definedName name="Dest8" localSheetId="18">[4]Request!$N$132</definedName>
    <definedName name="Dest9" localSheetId="18">[4]Request!$N$133</definedName>
    <definedName name="Division" localSheetId="18">[7]control!$O$27:$O$28</definedName>
    <definedName name="DOT" localSheetId="18">[7]control!$L$27:$L$29</definedName>
    <definedName name="dox" localSheetId="18">#REF!</definedName>
    <definedName name="dsfd" localSheetId="18">#REF!</definedName>
    <definedName name="EndMonth" localSheetId="18">[4]TempVariables!$H$3</definedName>
    <definedName name="ExDocDisc" localSheetId="18">[6]Discounts!$D$15:$Q$15,[6]Discounts!$S$15:$T$15</definedName>
    <definedName name="ExNDocDisc" localSheetId="18">[6]Discounts!$D$16:$Q$16,[6]Discounts!$S$16:$T$16,[6]Discounts!$D$22:$M$22,[6]Discounts!$O$22:$P$22,[6]Discounts!$T$22:$T$22</definedName>
    <definedName name="Expt638" localSheetId="18">#REF!</definedName>
    <definedName name="ExptPrepaid" localSheetId="18">'[10]Expt Disc prepaid'!#REF!</definedName>
    <definedName name="FDX" localSheetId="18">[4]Request!$A$50</definedName>
    <definedName name="FDX_Shpmts" localSheetId="18">[4]Request!$P$52</definedName>
    <definedName name="FXShpQ" localSheetId="18">[4]Request!$L$52</definedName>
    <definedName name="GroundWB" localSheetId="18">'[11]Customer Info'!$Y$20:$AB$26</definedName>
    <definedName name="GrpExcl_ll" localSheetId="18">[4]TempVariables!$D$2</definedName>
    <definedName name="GrpExcl_ul" localSheetId="18">[4]TempVariables!$E$2</definedName>
    <definedName name="GrpIncl_ll" localSheetId="18">[4]TempVariables!$B$2</definedName>
    <definedName name="GrpIncl_ul" localSheetId="18">[4]TempVariables!$C$2</definedName>
    <definedName name="Header" localSheetId="18">'[9]Expt Disc prepaid'!#REF!</definedName>
    <definedName name="home" localSheetId="18">[4]Request!$B$17</definedName>
    <definedName name="ImDocDisc" localSheetId="18">[6]Discounts!$D$29,[6]Discounts!$F$29:$Q$29,[6]Discounts!$T$29</definedName>
    <definedName name="IMListRates" localSheetId="18">#REF!</definedName>
    <definedName name="ImNDocDisc" localSheetId="18">[6]Discounts!$D$30:$D$30,[6]Discounts!$F$30:$Q$30,[6]Discounts!$T$30:$T$30,[6]Discounts!$D$36:$D$36,[6]Discounts!$F$36:$M$36,[6]Discounts!$O$36:$P$36,[6]Discounts!$T$36:$T$36</definedName>
    <definedName name="Import" localSheetId="18">[4]Request!$Q$33</definedName>
    <definedName name="Import_Pricing" localSheetId="18">#REF!</definedName>
    <definedName name="Impt_Inbnd" localSheetId="18">[4]Request!$L$33</definedName>
    <definedName name="ImptCheck" localSheetId="18">[4]Request!$Q$19</definedName>
    <definedName name="Inbound" localSheetId="18">[4]Request!$P$33</definedName>
    <definedName name="Inbound_Pricing" localSheetId="18">#REF!</definedName>
    <definedName name="Incremental_Only" localSheetId="18">[4]Request!$Q$32</definedName>
    <definedName name="IZ" localSheetId="18">#REF!</definedName>
    <definedName name="Kg_Apprv_Dt" localSheetId="18">#REF!</definedName>
    <definedName name="Kg_APPS_Chk" localSheetId="18">'[4]Shipments - kg'!$A$1138</definedName>
    <definedName name="Kg_AWPS_Chk" localSheetId="18">'[4]Shipments - kg'!$A$1117</definedName>
    <definedName name="Kg_Cntry_Disct" localSheetId="18">'[4]Discounts - kg'!$AB$108</definedName>
    <definedName name="kg_Disc_Edit_Check" localSheetId="18">#REF!</definedName>
    <definedName name="Kg_Discts" localSheetId="18">'[4]Discounts - kg'!$A$16:$IV$98</definedName>
    <definedName name="Kg_Dsc_Cntry" localSheetId="18">'[4]Discounts - kg'!$A$1:$IV$15</definedName>
    <definedName name="Kg_Dsc_IE_Cur_Disct" localSheetId="18">'[4]Discounts - kg'!$A$68:$IV$75</definedName>
    <definedName name="Kg_Dsc_IE_Hdr" localSheetId="18">'[4]Discounts - kg'!$A$60:$IV$62</definedName>
    <definedName name="Kg_Dsc_IE_Min_Hdr" localSheetId="18">'[4]Discounts - kg'!$A$63:$IV$64</definedName>
    <definedName name="Kg_Dsc_IE_Min_IE" localSheetId="18">'[4]Discounts - kg'!$A$65:$IV$65</definedName>
    <definedName name="Kg_Dsc_IE_Min_IEF" localSheetId="18">'[4]Discounts - kg'!$A$66:$IV$67</definedName>
    <definedName name="Kg_Dsc_IE_Pct_Disct" localSheetId="18">'[4]Discounts - kg'!$A$76:$IV$92</definedName>
    <definedName name="Kg_Dsc_IEF_Pct_Disct" localSheetId="18">'[4]Discounts - kg'!$A$93:$IV$99</definedName>
    <definedName name="Kg_Dsc_IP_Cur_Disct" localSheetId="18">'[4]Discounts - kg'!$A$25:$IV$31</definedName>
    <definedName name="Kg_Dsc_IP_Hdr" localSheetId="18">'[4]Discounts - kg'!$A$16:$IV$17</definedName>
    <definedName name="Kg_Dsc_IP_Min_Hdr" localSheetId="18">'[4]Discounts - kg'!$A$18:$IV$19</definedName>
    <definedName name="Kg_Dsc_IP_Min_IP" localSheetId="18">'[4]Discounts - kg'!$A$20:$IV$22</definedName>
    <definedName name="Kg_Dsc_IP_Min_IPF" localSheetId="18">'[4]Discounts - kg'!$A$23:$IV$24</definedName>
    <definedName name="Kg_Dsc_IP_Pct_Disct" localSheetId="18">'[4]Discounts - kg'!$A$32:$IV$50</definedName>
    <definedName name="Kg_Dsc_IPF_Pct_Disct" localSheetId="18">'[4]Discounts - kg'!$A$51:$IV$59</definedName>
    <definedName name="Kg_Dsc_Origin_Cntry" localSheetId="18">'[4]Discounts - kg'!$B$7:$AA$7</definedName>
    <definedName name="Kg_Incr_Shp_IE" localSheetId="18">'[4]Shipments - kg'!$A$162</definedName>
    <definedName name="Kg_Incr_Shp_IEF" localSheetId="18">'[4]Shipments - kg'!$A$163</definedName>
    <definedName name="Kg_Incr_Shp_IP" localSheetId="18">'[4]Shipments - kg'!$A$160</definedName>
    <definedName name="Kg_Incr_Shp_IPF" localSheetId="18">'[4]Shipments - kg'!$A$161</definedName>
    <definedName name="Kg_Rng_Cur_Disct_IE" localSheetId="18">'[4]Discounts - kg'!$B$72:$AA$74</definedName>
    <definedName name="Kg_Rng_Cur_Disct_IP" localSheetId="18">'[4]Discounts - kg'!$B$26:$AA$30</definedName>
    <definedName name="Kg_Rng_Disct_IE" localSheetId="18">'[4]Discounts - kg'!$B$78:$AA$84</definedName>
    <definedName name="Kg_Rng_Disct_IEF" localSheetId="18">'[4]Discounts - kg'!$B$94:$AA$98</definedName>
    <definedName name="Kg_Rng_Disct_IEHW" localSheetId="18">'[4]Discounts - kg'!$B$87:$AA$91</definedName>
    <definedName name="Kg_Rng_Disct_IP" localSheetId="18">'[4]Discounts - kg'!$B$34:$AA$42</definedName>
    <definedName name="Kg_Rng_Disct_IPF" localSheetId="18">'[4]Discounts - kg'!$B$52:$AA$56</definedName>
    <definedName name="Kg_Rng_Disct_IPHW" localSheetId="18">'[4]Discounts - kg'!$B$45:$AA$49</definedName>
    <definedName name="Kg_Rng_Disct_Min_IE" localSheetId="18">'[4]Discounts - kg'!$B$65:$AA$66</definedName>
    <definedName name="Kg_Rng_Disct_Min_IP" localSheetId="18">'[4]Discounts - kg'!$B$20:$AA$23</definedName>
    <definedName name="Kg_Rng_Shpmts_APPS_IE" localSheetId="18">'[4]Shipments - kg'!$C$119:$AB$129</definedName>
    <definedName name="Kg_Rng_Shpmts_APPS_IEF" localSheetId="18">'[4]Shipments - kg'!$C$131:$AB$135</definedName>
    <definedName name="Kg_Rng_Shpmts_APPS_IP" localSheetId="18">'[4]Shipments - kg'!$C$53:$AB$63</definedName>
    <definedName name="Kg_Rng_Shpmts_APPS_IPF" localSheetId="18">'[4]Shipments - kg'!$C$65:$AB$69</definedName>
    <definedName name="Kg_Rng_Shpmts_AWPS_IE" localSheetId="18">'[4]Shipments - kg'!$C$99:$AB$109</definedName>
    <definedName name="Kg_Rng_Shpmts_AWPS_IEF" localSheetId="18">'[4]Shipments - kg'!$C$111:$AB$115</definedName>
    <definedName name="Kg_Rng_Shpmts_AWPS_IP" localSheetId="18">'[4]Shipments - kg'!$C$34:$AB$44</definedName>
    <definedName name="Kg_Rng_Shpmts_AWPS_IPF" localSheetId="18">'[4]Shipments - kg'!$C$46:$AB$50</definedName>
    <definedName name="Kg_Rng_Shpmts_Incr_IE" localSheetId="18">'[4]Shipments - kg'!$C$75:$AB$86</definedName>
    <definedName name="Kg_Rng_Shpmts_Incr_IEF" localSheetId="18">'[4]Shipments - kg'!$C$88:$AB$92</definedName>
    <definedName name="Kg_Rng_Shpmts_Incr_IP" localSheetId="18">'[4]Shipments - kg'!$C$10:$AB$23</definedName>
    <definedName name="Kg_Rng_Shpmts_Incr_IPF" localSheetId="18">'[4]Shipments - kg'!$C$25:$AB$29</definedName>
    <definedName name="Kg_Shp_Cntry" localSheetId="18">'[4]Shipments - kg'!$A$1:$IV$8</definedName>
    <definedName name="Kg_Shp_IE_APPS" localSheetId="18">'[4]Shipments - kg'!$A$117:$IV$129</definedName>
    <definedName name="Kg_Shp_IE_AWPS" localSheetId="18">'[4]Shipments - kg'!$A$97:$IV$109</definedName>
    <definedName name="Kg_Shp_IE_Incr" localSheetId="18">'[4]Shipments - kg'!$A$72:$IV$86</definedName>
    <definedName name="Kg_Shp_IE_Tot" localSheetId="18">'[4]Shipments - kg'!$A$93:$IV$96</definedName>
    <definedName name="Kg_Shp_IEF_APPS" localSheetId="18">'[4]Shipments - kg'!$A$130:$IV$136</definedName>
    <definedName name="Kg_Shp_IEF_APPS_Hdr" localSheetId="18">'[4]Shipments - kg'!$A$117:$IV$118</definedName>
    <definedName name="Kg_Shp_IEF_AWPS" localSheetId="18">'[4]Shipments - kg'!$A$110:$IV$116</definedName>
    <definedName name="Kg_Shp_IEF_AWPS_Hdr" localSheetId="18">'[4]Shipments - kg'!$A$97:$IV$98</definedName>
    <definedName name="Kg_Shp_IEF_Incr" localSheetId="18">'[4]Shipments - kg'!$A$87:$IV$92</definedName>
    <definedName name="Kg_Shp_IEF_Incr_Hdr" localSheetId="18">'[4]Shipments - kg'!$A$72:$IV$73</definedName>
    <definedName name="Kg_Shp_IP_APPS" localSheetId="18">'[4]Shipments - kg'!$A$51:$IV$63</definedName>
    <definedName name="Kg_Shp_IP_AWPS" localSheetId="18">'[4]Shipments - kg'!$A$33:$IV$44</definedName>
    <definedName name="Kg_Shp_IP_Incr" localSheetId="18">'[4]Shipments - kg'!$A$9:$IV$23</definedName>
    <definedName name="Kg_Shp_IP_Tot" localSheetId="18">'[4]Shipments - kg'!$A$30:$IV$32</definedName>
    <definedName name="Kg_Shp_IPF_APPS" localSheetId="18">'[4]Shipments - kg'!$A$64:$IV$71</definedName>
    <definedName name="Kg_Shp_IPF_APPS_Hdr" localSheetId="18">'[4]Shipments - kg'!$A$51:$IV$52</definedName>
    <definedName name="Kg_Shp_IPF_AWPS" localSheetId="18">'[4]Shipments - kg'!$A$45:$IV$50</definedName>
    <definedName name="Kg_Shp_IPF_AWPS_Hdr" localSheetId="18">'[4]Shipments - kg'!$A$33:$IV$33</definedName>
    <definedName name="Kg_Shp_IPF_Incr" localSheetId="18">'[4]Shipments - kg'!$A$24:$IV$29</definedName>
    <definedName name="Kg_Shp_IPF_Incr_Hdr" localSheetId="18">'[4]Shipments - kg'!$A$9:$IV$9</definedName>
    <definedName name="Kg_Shp_Origin_Cntry" localSheetId="18">'[4]Shipments - kg'!$C$6:$AB$6</definedName>
    <definedName name="Kg_Shpmt_Cntry" localSheetId="18">'[4]Shipments - kg'!$AD$140</definedName>
    <definedName name="Kg_Shpmt_Disct" localSheetId="18">'[4]Discounts - kg'!$A$200</definedName>
    <definedName name="Kg_Shpmts" localSheetId="18">'[4]Shipments - kg'!$A$9:$IV$135</definedName>
    <definedName name="Kg_Shpmts_AWPS_Reset" localSheetId="18">'[4]Shipments - kg'!$A$500</definedName>
    <definedName name="Kg_Shpmts_AWPS_Reset1" localSheetId="18">'[4]Shipments - kg'!$A$501</definedName>
    <definedName name="Kilograms" localSheetId="18">[4]Request!$P$25</definedName>
    <definedName name="Lb_Apprv_Dt" localSheetId="18">'[4]Approved Discts-lb'!$F$3</definedName>
    <definedName name="Lb_APPS_Chk" localSheetId="18">'[4]Shipments - lb'!$A$1138</definedName>
    <definedName name="Lb_AWPS_Chk" localSheetId="18">'[4]Shipments - lb'!$A$1117</definedName>
    <definedName name="Lb_Cntry_Disct" localSheetId="18">'[4]Discounts - lb'!$AB$108</definedName>
    <definedName name="lb_Disc_Edit_Check" localSheetId="18">'[4]Approved Discts-lb'!$AF$259</definedName>
    <definedName name="Lb_Discts" localSheetId="18">'[4]Discounts - lb'!$A$16:$IV$98</definedName>
    <definedName name="Lb_Dsc_Cntry" localSheetId="18">'[4]Discounts - lb'!$A$1:$IV$15</definedName>
    <definedName name="Lb_Dsc_IE_Cur_Disct" localSheetId="18">'[4]Discounts - lb'!$A$68:$IV$75</definedName>
    <definedName name="Lb_Dsc_IE_Hdr" localSheetId="18">'[4]Discounts - lb'!$A$60:$IV$62</definedName>
    <definedName name="Lb_Dsc_IE_Min_Hdr" localSheetId="18">'[4]Discounts - lb'!$A$63:$IV$64</definedName>
    <definedName name="Lb_Dsc_IE_Min_IE" localSheetId="18">'[4]Discounts - lb'!$A$65:$IV$65</definedName>
    <definedName name="Lb_Dsc_IE_Min_IEF" localSheetId="18">'[4]Discounts - lb'!$A$66:$IV$67</definedName>
    <definedName name="Lb_Dsc_IE_Pct_Disct" localSheetId="18">'[4]Discounts - lb'!$A$76:$IV$92</definedName>
    <definedName name="Lb_Dsc_IEF_Pct_Disct" localSheetId="18">'[4]Discounts - lb'!$A$93:$IV$99</definedName>
    <definedName name="Lb_Dsc_IEF8" localSheetId="18">'[4]Discounts - lb'!$A$94:$IV$94</definedName>
    <definedName name="Lb_Dsc_IP_Cur_Disct" localSheetId="18">'[4]Discounts - lb'!$A$25:$IV$31</definedName>
    <definedName name="Lb_Dsc_IP_Hdr" localSheetId="18">'[4]Discounts - lb'!$A$16:$IV$17</definedName>
    <definedName name="Lb_Dsc_IP_Min_Hdr" localSheetId="18">'[4]Discounts - lb'!$A$18:$IV$19</definedName>
    <definedName name="Lb_Dsc_IP_Min_IP" localSheetId="18">'[4]Discounts - lb'!$A$20:$IV$22</definedName>
    <definedName name="Lb_Dsc_IP_Min_IPF" localSheetId="18">'[4]Discounts - lb'!$A$23:$IV$24</definedName>
    <definedName name="Lb_Dsc_IP_Pct_Disct" localSheetId="18">'[4]Discounts - lb'!$A$32:$IV$50</definedName>
    <definedName name="Lb_Dsc_IPF_Pct_Disct" localSheetId="18">'[4]Discounts - lb'!$A$51:$IV$59</definedName>
    <definedName name="Lb_Dsc_IPF8" localSheetId="18">'[4]Discounts - lb'!$A$52:$IV$52</definedName>
    <definedName name="Lb_Dsc_Origin_Cntry" localSheetId="18">'[4]Discounts - lb'!$B$7:$AA$7</definedName>
    <definedName name="Lb_Incr_Shp_IE" localSheetId="18">'[4]Shipments - lb'!$A$162</definedName>
    <definedName name="Lb_Incr_Shp_IEF" localSheetId="18">'[4]Shipments - lb'!$A$163</definedName>
    <definedName name="Lb_Incr_Shp_IP" localSheetId="18">'[4]Shipments - lb'!$A$160</definedName>
    <definedName name="Lb_Incr_Shp_IPF" localSheetId="18">'[4]Shipments - lb'!$A$161</definedName>
    <definedName name="Lb_Rng_Cur_Disct_IE" localSheetId="18">'[4]Discounts - lb'!$B$72:$AA$74</definedName>
    <definedName name="Lb_Rng_Cur_Disct_IP" localSheetId="18">'[4]Discounts - lb'!$B$26:$AA$30</definedName>
    <definedName name="Lb_Rng_Disct_IE" localSheetId="18">'[4]Discounts - lb'!$B$78:$AA$84</definedName>
    <definedName name="Lb_Rng_Disct_IEF" localSheetId="18">'[4]Discounts - lb'!$B$94:$AA$98</definedName>
    <definedName name="Lb_Rng_Disct_IEHW" localSheetId="18">'[4]Discounts - lb'!$B$87:$AA$91</definedName>
    <definedName name="Lb_Rng_Disct_IP" localSheetId="18">'[4]Discounts - lb'!$B$34:$AA$42</definedName>
    <definedName name="Lb_Rng_Disct_IPF" localSheetId="18">'[4]Discounts - lb'!$B$52:$AA$56</definedName>
    <definedName name="Lb_Rng_Disct_IPHW" localSheetId="18">'[4]Discounts - lb'!$B$45:$AA$49</definedName>
    <definedName name="Lb_Rng_Disct_Min_IE" localSheetId="18">'[4]Discounts - lb'!$B$65:$AA$66</definedName>
    <definedName name="Lb_Rng_Disct_Min_IP" localSheetId="18">'[4]Discounts - lb'!$B$20:$AA$23</definedName>
    <definedName name="Lb_Rng_Shpmts_APPS_IE" localSheetId="18">'[4]Shipments - lb'!$C$119:$AB$129</definedName>
    <definedName name="Lb_Rng_Shpmts_APPS_IEF" localSheetId="18">'[4]Shipments - lb'!$C$131:$AB$135</definedName>
    <definedName name="Lb_Rng_Shpmts_APPS_IP" localSheetId="18">'[4]Shipments - lb'!$C$53:$AB$63</definedName>
    <definedName name="Lb_Rng_Shpmts_APPS_IPF" localSheetId="18">'[4]Shipments - lb'!$C$65:$AB$69</definedName>
    <definedName name="Lb_Rng_Shpmts_AWPS_IE" localSheetId="18">'[4]Shipments - lb'!$C$99:$AB$109</definedName>
    <definedName name="Lb_Rng_Shpmts_AWPS_IEF" localSheetId="18">'[4]Shipments - lb'!$C$111:$AB$115</definedName>
    <definedName name="Lb_Rng_Shpmts_AWPS_IP" localSheetId="18">'[4]Shipments - lb'!$C$34:$AB$44</definedName>
    <definedName name="Lb_Rng_Shpmts_AWPS_IPF" localSheetId="18">'[4]Shipments - lb'!$C$46:$AB$50</definedName>
    <definedName name="Lb_Rng_Shpmts_Incr_IE" localSheetId="18">'[4]Shipments - lb'!$C$75:$AB$86</definedName>
    <definedName name="Lb_Rng_Shpmts_Incr_IEF" localSheetId="18">'[4]Shipments - lb'!$C$88:$AB$92</definedName>
    <definedName name="Lb_Rng_Shpmts_Incr_IP" localSheetId="18">'[4]Shipments - lb'!$C$10:$AB$23</definedName>
    <definedName name="Lb_Rng_Shpmts_Incr_IPF" localSheetId="18">'[4]Shipments - lb'!$C$25:$AB$29</definedName>
    <definedName name="Lb_Shp_Cntry" localSheetId="18">'[4]Shipments - lb'!$A$1:$IV$8</definedName>
    <definedName name="Lb_Shp_IE_APPS" localSheetId="18">'[4]Shipments - lb'!$A$117:$IV$129</definedName>
    <definedName name="Lb_Shp_IE_AWPS" localSheetId="18">'[4]Shipments - lb'!$A$97:$IV$109</definedName>
    <definedName name="Lb_Shp_IE_Incr" localSheetId="18">'[4]Shipments - lb'!$A$72:$IV$86</definedName>
    <definedName name="Lb_Shp_IE_Tot" localSheetId="18">'[4]Shipments - lb'!$A$93:$IV$96</definedName>
    <definedName name="Lb_Shp_IEF_APPS" localSheetId="18">'[4]Shipments - lb'!$A$130:$IV$136</definedName>
    <definedName name="Lb_Shp_IEF_APPS_Hdr" localSheetId="18">'[4]Shipments - lb'!$A$117:$IV$118</definedName>
    <definedName name="Lb_Shp_IEF_AWPS" localSheetId="18">'[4]Shipments - lb'!$A$110:$IV$116</definedName>
    <definedName name="Lb_Shp_IEF_AWPS_Hdr" localSheetId="18">'[4]Shipments - lb'!$A$97:$IV$98</definedName>
    <definedName name="Lb_Shp_IEF_Incr" localSheetId="18">'[4]Shipments - lb'!$A$87:$IV$92</definedName>
    <definedName name="Lb_Shp_IEF_Incr_Hdr" localSheetId="18">'[4]Shipments - lb'!$A$72:$IV$73</definedName>
    <definedName name="Lb_Shp_IEF8_APPS" localSheetId="18">'[4]Shipments - lb'!$A$131:$IV$131</definedName>
    <definedName name="Lb_Shp_IEF8_AWPS" localSheetId="18">'[4]Shipments - lb'!$A$111:$IV$111</definedName>
    <definedName name="Lb_Shp_IEF8_Incr" localSheetId="18">'[4]Shipments - lb'!$A$88:$IV$88</definedName>
    <definedName name="Lb_Shp_IP_APPS" localSheetId="18">'[4]Shipments - lb'!$A$51:$IV$63</definedName>
    <definedName name="Lb_Shp_IP_AWPS" localSheetId="18">'[4]Shipments - lb'!$A$33:$IV$44</definedName>
    <definedName name="Lb_Shp_IP_Incr" localSheetId="18">'[4]Shipments - lb'!$A$9:$IV$23</definedName>
    <definedName name="Lb_Shp_IP_Tot" localSheetId="18">'[4]Shipments - lb'!$A$30:$IV$32</definedName>
    <definedName name="Lb_Shp_IPF_APPS" localSheetId="18">'[4]Shipments - lb'!$A$64:$IV$71</definedName>
    <definedName name="Lb_Shp_IPF_APPS_Hdr" localSheetId="18">'[4]Shipments - lb'!$A$51:$IV$52</definedName>
    <definedName name="Lb_Shp_IPF_AWPS" localSheetId="18">'[4]Shipments - lb'!$A$45:$IV$50</definedName>
    <definedName name="Lb_Shp_IPF_AWPS_Hdr" localSheetId="18">'[4]Shipments - lb'!$A$33:$IV$33</definedName>
    <definedName name="Lb_Shp_IPF_Incr" localSheetId="18">'[4]Shipments - lb'!$A$24:$IV$29</definedName>
    <definedName name="Lb_Shp_IPF_Incr_Hdr" localSheetId="18">'[4]Shipments - lb'!$A$9:$IV$9</definedName>
    <definedName name="Lb_Shp_IPF8_APPS" localSheetId="18">'[4]Shipments - lb'!$A$65:$IV$65</definedName>
    <definedName name="Lb_Shp_IPF8_AWPS" localSheetId="18">'[4]Shipments - lb'!$A$46:$IV$46</definedName>
    <definedName name="Lb_Shp_IPF8_Incr" localSheetId="18">'[4]Shipments - lb'!$A$25:$IV$25</definedName>
    <definedName name="Lb_Shp_Origin_Cntry" localSheetId="18">'[4]Shipments - lb'!$C$6:$AB$6</definedName>
    <definedName name="Lb_Shpmt_Cntry" localSheetId="18">'[4]Shipments - lb'!$AD$140</definedName>
    <definedName name="Lb_Shpmt_Disct" localSheetId="18">'[4]Discounts - lb'!$A$200</definedName>
    <definedName name="Lb_Shpmts" localSheetId="18">'[4]Shipments - lb'!$A$9:$IV$135</definedName>
    <definedName name="Lb_Shpmts_AWPS_Reset" localSheetId="18">'[4]Shipments - lb'!$A$500</definedName>
    <definedName name="Lb_Shpmts_AWPS_Reset1" localSheetId="18">'[4]Shipments - lb'!$A$501</definedName>
    <definedName name="LocalAccts" localSheetId="18">[4]TempVariables!$F$2</definedName>
    <definedName name="Locations" localSheetId="18">[4]Request!$C$124</definedName>
    <definedName name="LOOKUP" localSheetId="18">#REF!</definedName>
    <definedName name="Major_Origin_Cities" localSheetId="18">[4]Request!$E$124</definedName>
    <definedName name="MBG" localSheetId="18">[4]Request!$G$42</definedName>
    <definedName name="MBG_NotReq" localSheetId="18">[4]Request!$P$44</definedName>
    <definedName name="MBG_Option" localSheetId="18">[4]Request!$M$44</definedName>
    <definedName name="MBG_Req" localSheetId="18">[4]Request!$Q$44</definedName>
    <definedName name="MINTABLE" localSheetId="18">[11]SURCHARGES!$H$9:$U$15</definedName>
    <definedName name="ModelDate" localSheetId="18">[4]Request!$K$1</definedName>
    <definedName name="NatlAccts" localSheetId="18">[4]TempVariables!$A$2</definedName>
    <definedName name="NDAAll" localSheetId="18">'[11]Customer Info'!$V$9</definedName>
    <definedName name="Old_Payor_No" localSheetId="18">[4]Request!$E$56</definedName>
    <definedName name="Old_Shipper_No" localSheetId="18">[4]Request!$E$54</definedName>
    <definedName name="Op_Months" localSheetId="18">'[4]Shipments - current'!$B$1</definedName>
    <definedName name="Op_Scenario" localSheetId="18">[4]Request!$P$74</definedName>
    <definedName name="OpQ" localSheetId="18">[4]Request!$L$74</definedName>
    <definedName name="OptionType" localSheetId="18">[7]control!$F$27:$F$29</definedName>
    <definedName name="Orig_Region_1" localSheetId="18">[4]Request!$A$125</definedName>
    <definedName name="Orig_Region_10" localSheetId="18">[4]Request!$A$134</definedName>
    <definedName name="Orig_Region_11" localSheetId="18">[4]Request!$A$135</definedName>
    <definedName name="Orig_Region_12" localSheetId="18">[4]Request!$A$136</definedName>
    <definedName name="Orig_Region_13" localSheetId="18">[4]Request!$A$137</definedName>
    <definedName name="Orig_Region_14" localSheetId="18">[4]Request!$A$138</definedName>
    <definedName name="Orig_Region_15" localSheetId="18">[4]Request!$A$139</definedName>
    <definedName name="Orig_Region_16" localSheetId="18">[4]Request!$A$140</definedName>
    <definedName name="Orig_Region_17" localSheetId="18">[4]Request!$A$141</definedName>
    <definedName name="Orig_Region_18" localSheetId="18">[4]Request!$A$142</definedName>
    <definedName name="Orig_Region_19" localSheetId="18">[4]Request!$A$143</definedName>
    <definedName name="Orig_Region_2" localSheetId="18">[4]Request!$A$126</definedName>
    <definedName name="Orig_Region_20" localSheetId="18">[4]Request!$A$144</definedName>
    <definedName name="Orig_Region_21" localSheetId="18">[4]Request!$A$145</definedName>
    <definedName name="Orig_Region_22" localSheetId="18">[4]Request!$A$146</definedName>
    <definedName name="Orig_Region_23" localSheetId="18">[4]Request!$A$147</definedName>
    <definedName name="Orig_Region_24" localSheetId="18">[4]Request!$A$148</definedName>
    <definedName name="Orig_Region_25" localSheetId="18">[4]Request!$A$149</definedName>
    <definedName name="Orig_Region_26" localSheetId="18">[4]Request!$A$150</definedName>
    <definedName name="Orig_Region_3" localSheetId="18">[4]Request!$A$127</definedName>
    <definedName name="Orig_Region_4" localSheetId="18">[4]Request!$A$128</definedName>
    <definedName name="Orig_Region_5" localSheetId="18">[4]Request!$A$129</definedName>
    <definedName name="Orig_Region_6" localSheetId="18">[4]Request!$A$130</definedName>
    <definedName name="Orig_Region_7" localSheetId="18">[4]Request!$A$131</definedName>
    <definedName name="Orig_Region_8" localSheetId="18">[4]Request!$A$132</definedName>
    <definedName name="Orig_Region_9" localSheetId="18">[4]Request!$A$133</definedName>
    <definedName name="Orig1" localSheetId="18">[4]Request!$L$125</definedName>
    <definedName name="Orig10" localSheetId="18">[4]Request!$L$134</definedName>
    <definedName name="Orig11" localSheetId="18">[4]Request!$L$135</definedName>
    <definedName name="Orig12" localSheetId="18">[4]Request!$L$136</definedName>
    <definedName name="Orig13" localSheetId="18">[4]Request!$L$137</definedName>
    <definedName name="Orig14" localSheetId="18">[4]Request!$L$138</definedName>
    <definedName name="Orig15" localSheetId="18">[4]Request!$L$139</definedName>
    <definedName name="Orig16" localSheetId="18">[4]Request!$L$140</definedName>
    <definedName name="Orig17" localSheetId="18">[4]Request!$L$141</definedName>
    <definedName name="Orig18" localSheetId="18">[4]Request!$L$142</definedName>
    <definedName name="Orig19" localSheetId="18">[4]Request!$L$143</definedName>
    <definedName name="Orig2" localSheetId="18">[4]Request!$L$126</definedName>
    <definedName name="Orig20" localSheetId="18">[4]Request!$L$144</definedName>
    <definedName name="Orig21" localSheetId="18">[4]Request!$L$145</definedName>
    <definedName name="Orig22" localSheetId="18">[4]Request!$L$146</definedName>
    <definedName name="Orig23" localSheetId="18">[4]Request!$L$147</definedName>
    <definedName name="Orig24" localSheetId="18">[4]Request!$L$148</definedName>
    <definedName name="Orig25" localSheetId="18">[4]Request!$L$149</definedName>
    <definedName name="Orig26" localSheetId="18">[4]Request!$L$150</definedName>
    <definedName name="Orig3" localSheetId="18">[4]Request!$L$127</definedName>
    <definedName name="Orig4" localSheetId="18">[4]Request!$L$128</definedName>
    <definedName name="Orig5" localSheetId="18">[4]Request!$L$129</definedName>
    <definedName name="Orig6" localSheetId="18">[4]Request!$L$130</definedName>
    <definedName name="Orig7" localSheetId="18">[4]Request!$L$131</definedName>
    <definedName name="Orig8" localSheetId="18">[4]Request!$L$132</definedName>
    <definedName name="Orig9" localSheetId="18">[4]Request!$L$133</definedName>
    <definedName name="Origin" localSheetId="18">[4]Request!$B$124</definedName>
    <definedName name="Origin_Countries" localSheetId="18">[4]Request!$L$125:$L$150</definedName>
    <definedName name="Origin_Country_Code" localSheetId="18">[4]Countries!$G$4:$H$224</definedName>
    <definedName name="Origin_Country_Name_Code" localSheetId="18">[4]Countries!$B$4:$C$224</definedName>
    <definedName name="Origin_Scenario" localSheetId="18">[4]Request!$E$76</definedName>
    <definedName name="parcels" localSheetId="18">#REF!</definedName>
    <definedName name="Password" localSheetId="18">[4]TempVariables!$O$3</definedName>
    <definedName name="Payor_Acct1" localSheetId="18">[4]Request!$I$23</definedName>
    <definedName name="Payor_Acct2" localSheetId="18">[4]Request!$I$25</definedName>
    <definedName name="Payor_Acct3" localSheetId="18">[4]Request!$I$27</definedName>
    <definedName name="Payor_Country" localSheetId="18">[4]Request!$M$19</definedName>
    <definedName name="Payor_Table" localSheetId="18">[4]Countries!$HI$4:$HR$101</definedName>
    <definedName name="PayorRgn" localSheetId="18">[4]Request!$P$15</definedName>
    <definedName name="PNH" localSheetId="18">#REF!</definedName>
    <definedName name="Pricing_Requested" localSheetId="18">[4]Request!$A$33</definedName>
    <definedName name="Product" localSheetId="18">[7]control!$N$27:$N$38</definedName>
    <definedName name="Provinces_Cities" localSheetId="18">[4]Request!$E$125:$E$150</definedName>
    <definedName name="Range1" localSheetId="18">#REF!</definedName>
    <definedName name="Region" localSheetId="18">[4]Request!$O$16</definedName>
    <definedName name="Region_Rev" localSheetId="18">[4]Request!$E$112:$E$116</definedName>
    <definedName name="RO" localSheetId="18">#REF!</definedName>
    <definedName name="road" localSheetId="18">#REF!</definedName>
    <definedName name="RTH" localSheetId="18">#REF!</definedName>
    <definedName name="Sales_AE" localSheetId="18">[4]Request!$B$21</definedName>
    <definedName name="Sales_Manager" localSheetId="18">[4]Request!$B$19</definedName>
    <definedName name="SDAALL" localSheetId="18">'[11]Customer Info'!$V$15</definedName>
    <definedName name="Service_IE" localSheetId="18">[4]Request!$R$46</definedName>
    <definedName name="Service_IE_IEF" localSheetId="18">[4]Request!$R$47</definedName>
    <definedName name="Service_IEF" localSheetId="18">[4]Request!$S$46</definedName>
    <definedName name="Service_IP" localSheetId="18">[4]Request!$P$46</definedName>
    <definedName name="Service_IP_IPF" localSheetId="18">[4]Request!$P$47</definedName>
    <definedName name="Service_IPF" localSheetId="18">[4]Request!$Q$46</definedName>
    <definedName name="Service_Type" localSheetId="18">[4]Request!$L$48</definedName>
    <definedName name="Services_Requested" localSheetId="18">[4]Request!$A$42</definedName>
    <definedName name="Ship_Locations" localSheetId="18">[4]Request!$M$125:$M$150</definedName>
    <definedName name="Ship_Tender" localSheetId="18">[4]Request!$E$68</definedName>
    <definedName name="Show9DigitAccts" localSheetId="18">[4]TempVariables!$J$3</definedName>
    <definedName name="SlsChan" localSheetId="18">[7]control!$B$27:$B$28</definedName>
    <definedName name="Spec_Op" localSheetId="18">[4]Request!$A$72</definedName>
    <definedName name="StartMonth" localSheetId="18">[4]TempVariables!$G$3</definedName>
    <definedName name="Strategy" localSheetId="18">[4]Request!$A$108</definedName>
    <definedName name="SurchargeType" localSheetId="18">[7]control!$I$27:$I$32</definedName>
    <definedName name="TABLE" localSheetId="18">#REF!</definedName>
    <definedName name="TempVariables" localSheetId="18">[4]TempVariables!$A$1</definedName>
    <definedName name="Tier" localSheetId="18">'[12]Portfolio Discount'!#REF!</definedName>
    <definedName name="Tot_Annual_Rev" localSheetId="18">[4]Request!$E$117</definedName>
    <definedName name="USAcctsOnly" localSheetId="18">[4]TempVariables!$I$3</definedName>
    <definedName name="UserID" localSheetId="18">[4]TempVariables!$N$3</definedName>
    <definedName name="Value_2K" localSheetId="18">[4]Request!$E$88</definedName>
    <definedName name="values" localSheetId="18">[4]Request!$L$16:$O$150</definedName>
    <definedName name="WtMetric" localSheetId="18">[4]Request!$B$25</definedName>
    <definedName name="YN" localSheetId="18">[7]control!$P$27:$P$28</definedName>
    <definedName name="zone" localSheetId="18">#REF!</definedName>
    <definedName name="ZonedOut" localSheetId="18">[7]rates_input!$R$5:$Z$8</definedName>
    <definedName name="ZonedOut1" localSheetId="18">[7]rates_input!$I$6:$Z$8</definedName>
    <definedName name="ZonedOut2" localSheetId="18">[7]rates_input!$I$7:$Z$8</definedName>
    <definedName name="ZONELU" localSheetId="18">[11]SURCHARGES!$B$9:$D$59</definedName>
    <definedName name="Zones" localSheetId="18">#REF!,#REF!,#REF!,#REF!</definedName>
    <definedName name="Zones_New" localSheetId="18">[7]zones_input!$B$1:$G$65536</definedName>
    <definedName name="_Fill" localSheetId="0" hidden="1">[2]Express!#REF!</definedName>
    <definedName name="_Key1" localSheetId="0" hidden="1">#REF!</definedName>
    <definedName name="_Loc1" localSheetId="0">[3]Request!$M$125</definedName>
    <definedName name="_Loc10" localSheetId="0">[4]Request!$M$134</definedName>
    <definedName name="_Loc11" localSheetId="0">[4]Request!$M$135</definedName>
    <definedName name="_Loc12" localSheetId="0">[4]Request!$M$136</definedName>
    <definedName name="_Loc13" localSheetId="0">[4]Request!$M$137</definedName>
    <definedName name="_Loc14" localSheetId="0">[4]Request!$M$138</definedName>
    <definedName name="_Loc15" localSheetId="0">[4]Request!$M$139</definedName>
    <definedName name="_Loc16" localSheetId="0">[4]Request!$M$140</definedName>
    <definedName name="_Loc17" localSheetId="0">[4]Request!$M$141</definedName>
    <definedName name="_Loc18" localSheetId="0">[4]Request!$M$142</definedName>
    <definedName name="_Loc19" localSheetId="0">[4]Request!$M$143</definedName>
    <definedName name="_Loc2" localSheetId="0">[4]Request!$M$126</definedName>
    <definedName name="_Loc20" localSheetId="0">[4]Request!$M$144</definedName>
    <definedName name="_Loc21" localSheetId="0">[4]Request!$M$145</definedName>
    <definedName name="_Loc22" localSheetId="0">[4]Request!$M$146</definedName>
    <definedName name="_Loc23" localSheetId="0">[4]Request!$M$147</definedName>
    <definedName name="_Loc24" localSheetId="0">[4]Request!$M$148</definedName>
    <definedName name="_Loc25" localSheetId="0">[4]Request!$M$149</definedName>
    <definedName name="_Loc26" localSheetId="0">[4]Request!$M$150</definedName>
    <definedName name="_Loc3" localSheetId="0">[4]Request!$M$127</definedName>
    <definedName name="_Loc4" localSheetId="0">[4]Request!$M$128</definedName>
    <definedName name="_Loc5" localSheetId="0">[4]Request!$M$129</definedName>
    <definedName name="_Loc6" localSheetId="0">[4]Request!$M$130</definedName>
    <definedName name="_Loc7" localSheetId="0">[4]Request!$M$131</definedName>
    <definedName name="_Loc8" localSheetId="0">[4]Request!$M$132</definedName>
    <definedName name="_Loc9" localSheetId="0">[4]Request!$M$133</definedName>
    <definedName name="_Sort" localSheetId="0" hidden="1">[1]Express!#REF!</definedName>
    <definedName name="a" localSheetId="0" hidden="1">[1]Express!#REF!</definedName>
    <definedName name="Account" localSheetId="0">[4]Request!$B$17</definedName>
    <definedName name="Acct_number" localSheetId="0">[5]Summary!$E$2</definedName>
    <definedName name="AFD" localSheetId="0">#REF!</definedName>
    <definedName name="Agent" localSheetId="0">[4]Request!$A$60</definedName>
    <definedName name="Agent_Comm" localSheetId="0">[4]Request!$E$64</definedName>
    <definedName name="Agent_Delivery" localSheetId="0">[4]Request!$O$62</definedName>
    <definedName name="Agent_Involved" localSheetId="0">[4]Request!$P$62</definedName>
    <definedName name="Agent_Pickup" localSheetId="0">[4]Request!$N$62</definedName>
    <definedName name="Agent_Services" localSheetId="0">[4]Request!$E$66</definedName>
    <definedName name="AgentQ" localSheetId="0">[4]Request!$L$62</definedName>
    <definedName name="AllDiscountArea" localSheetId="0">[6]Discounts!$D$15:$Q$16,[6]Discounts!$S$15:$T$16,[6]Discounts!$D$22:$M$22,[6]Discounts!$O$22:$P$22,[6]Discounts!$T$22:$T$22,[6]Discounts!$D$29:$D$30,[6]Discounts!$F$29:$Q$30,[6]Discounts!$T$29:$T$30,[6]Discounts!$D$36:$D$36,[6]Discounts!$F$36:$M$36,[6]Discounts!$O$36:$P$36,[6]Discounts!$T$36:$T$36</definedName>
    <definedName name="Alph_countries" localSheetId="0">[7]zones_input!$A$2:$A$214</definedName>
    <definedName name="anakg" localSheetId="0">'[4]Shipments - kg current'!$D$1</definedName>
    <definedName name="analb" localSheetId="0">'[4]Shipments - lb current'!$D$1</definedName>
    <definedName name="ApDsctKgADNR" localSheetId="0">#REF!</definedName>
    <definedName name="ApDsctKgComm" localSheetId="0">#REF!</definedName>
    <definedName name="ApDsctKgH1" localSheetId="0">#REF!</definedName>
    <definedName name="ApDsctKgH2" localSheetId="0">#REF!</definedName>
    <definedName name="ApDsctKgIEAppCurDisct" localSheetId="0">#REF!</definedName>
    <definedName name="ApDsctKgIEAppMin" localSheetId="0">#REF!</definedName>
    <definedName name="ApDsctKgIEReqCurDisct" localSheetId="0">#REF!</definedName>
    <definedName name="ApDsctKgIEReqMin" localSheetId="0">#REF!</definedName>
    <definedName name="ApDsctKgIERestore" localSheetId="0">#REF!</definedName>
    <definedName name="ApDsctKgIPAppCurDisct" localSheetId="0">#REF!</definedName>
    <definedName name="ApDsctKgIPAppMin" localSheetId="0">#REF!</definedName>
    <definedName name="ApDsctKgIPReqCurDisct" localSheetId="0">#REF!</definedName>
    <definedName name="ApDsctKgIPReqMin" localSheetId="0">#REF!</definedName>
    <definedName name="ApDsctKgIPRestore" localSheetId="0">#REF!</definedName>
    <definedName name="ApDsctKgLR" localSheetId="0">#REF!</definedName>
    <definedName name="ApDsctKgLR1" localSheetId="0">#REF!</definedName>
    <definedName name="ApDsctKgQ1" localSheetId="0">#REF!</definedName>
    <definedName name="ApDsctKgQ10" localSheetId="0">#REF!</definedName>
    <definedName name="ApDsctKgQ2" localSheetId="0">#REF!</definedName>
    <definedName name="ApDsctKgQ3" localSheetId="0">#REF!</definedName>
    <definedName name="ApDsctKgQ4" localSheetId="0">#REF!</definedName>
    <definedName name="ApDsctKgQ5" localSheetId="0">#REF!</definedName>
    <definedName name="ApDsctKgQ6" localSheetId="0">#REF!</definedName>
    <definedName name="ApDsctKgQ7" localSheetId="0">#REF!</definedName>
    <definedName name="ApDsctKgQ8" localSheetId="0">#REF!</definedName>
    <definedName name="ApDsctKgQ9" localSheetId="0">#REF!</definedName>
    <definedName name="ApDsctKgRMIE" localSheetId="0">#REF!</definedName>
    <definedName name="ApDsctKgRMIP" localSheetId="0">#REF!</definedName>
    <definedName name="ApDsctKgSIE" localSheetId="0">#REF!</definedName>
    <definedName name="ApDsctKgSIP" localSheetId="0">#REF!</definedName>
    <definedName name="ApDsctLbADNR" localSheetId="0">'[4]Approved Discts-lb'!$F$7:$AE$7</definedName>
    <definedName name="ApDsctLbComm" localSheetId="0">'[4]Approved Discts-lb'!$F$159</definedName>
    <definedName name="ApDsctLbH1" localSheetId="0">'[4]Approved Discts-lb'!$F$3:$H$4</definedName>
    <definedName name="ApDsctLbH2" localSheetId="0">'[4]Approved Discts-lb'!$Z$3:$Z$4</definedName>
    <definedName name="ApDsctLbIEAppCurDisct" localSheetId="0">'[4]Approved Discts-lb'!$A$111:$AE$114</definedName>
    <definedName name="ApDsctLbIEAppMin" localSheetId="0">'[4]Approved Discts-lb'!$A$108:$AE$110</definedName>
    <definedName name="ApDsctLbIEReqCurDisct" localSheetId="0">'[4]Approved Discts-lb'!$A$85:$AE$88</definedName>
    <definedName name="ApDsctLbIEReqMin" localSheetId="0">'[4]Approved Discts-lb'!$B$82:$AE$84</definedName>
    <definedName name="ApDsctLbIERestore" localSheetId="0">'[4]Approved Discts-lb'!$F$364:$AE$387</definedName>
    <definedName name="ApDsctLbIPAppCurDisct" localSheetId="0">'[4]Approved Discts-lb'!$A$50:$AE$55</definedName>
    <definedName name="ApDsctLbIPAppMin" localSheetId="0">'[4]Approved Discts-lb'!$A$45:$AE$49</definedName>
    <definedName name="ApDsctLbIPReqCurDisct" localSheetId="0">'[4]Approved Discts-lb'!$A$18:$AE$23</definedName>
    <definedName name="ApDsctLbIPReqMin" localSheetId="0">'[4]Approved Discts-lb'!$A$13:$AE$17</definedName>
    <definedName name="ApDsctLbIPRestore" localSheetId="0">'[4]Approved Discts-lb'!$F$326:$AE$355</definedName>
    <definedName name="ApDsctLbLR" localSheetId="0">'[4]Approved Discts-lb'!$F$11:$AE$11</definedName>
    <definedName name="ApDsctLbLR1" localSheetId="0">'[4]Approved Discts-lb'!$F$81:$AE$81</definedName>
    <definedName name="ApDsctLbQ1" localSheetId="0">'[4]Approved Discts-lb'!$AG$134</definedName>
    <definedName name="ApDsctLbQ10" localSheetId="0">'[4]Approved Discts-lb'!$AG$154</definedName>
    <definedName name="ApDsctLbQ2" localSheetId="0">'[4]Approved Discts-lb'!$AG$136</definedName>
    <definedName name="ApDsctLbQ3" localSheetId="0">'[4]Approved Discts-lb'!$AG$138</definedName>
    <definedName name="ApDsctLbQ4" localSheetId="0">'[4]Approved Discts-lb'!$AG$141</definedName>
    <definedName name="ApDsctLbQ5" localSheetId="0">'[4]Approved Discts-lb'!$AG$143</definedName>
    <definedName name="ApDsctLbQ6" localSheetId="0">'[4]Approved Discts-lb'!$AG$145</definedName>
    <definedName name="ApDsctLbQ7" localSheetId="0">'[4]Approved Discts-lb'!$AG$147</definedName>
    <definedName name="ApDsctLbQ8" localSheetId="0">'[4]Approved Discts-lb'!$AG$149</definedName>
    <definedName name="ApDsctLbQ9" localSheetId="0">'[4]Approved Discts-lb'!$AG$151</definedName>
    <definedName name="ApDsctLbRMIE" localSheetId="0">'[4]Approved Discts-lb'!$F$109:$AE$132</definedName>
    <definedName name="ApDsctLbRMIP" localSheetId="0">'[4]Approved Discts-lb'!$F$46:$AE$75</definedName>
    <definedName name="ApDsctLbSIE" localSheetId="0">'[4]Approved Discts-lb'!$F$83:$AE$106</definedName>
    <definedName name="ApDsctLbSIP" localSheetId="0">'[4]Approved Discts-lb'!$F$14:$AE$43</definedName>
    <definedName name="Approval" localSheetId="0">[4]Request!$P$16</definedName>
    <definedName name="Bill_3P" localSheetId="0">[4]Request!$M$29</definedName>
    <definedName name="Bill_Consignee" localSheetId="0">[4]Request!$L$29</definedName>
    <definedName name="Billing_Option" localSheetId="0">[4]Request!$A$29</definedName>
    <definedName name="Business_Type" localSheetId="0">[4]Request!$G$31</definedName>
    <definedName name="BWE" localSheetId="0">[4]TempVariables!$K$3</definedName>
    <definedName name="Chk_Origin_Cntry" localSheetId="0">[4]Request!$L$151</definedName>
    <definedName name="Chk_Provinces_Cities" localSheetId="0">[4]Request!$S$151</definedName>
    <definedName name="Chk_Ship_Loc" localSheetId="0">[4]Request!$R$151</definedName>
    <definedName name="Clearance_Reqd" localSheetId="0">[4]Request!$A$82</definedName>
    <definedName name="Commodity1" localSheetId="0">[4]Request!$I$48</definedName>
    <definedName name="Commodity2" localSheetId="0">[4]Request!$I$49</definedName>
    <definedName name="Competitor" localSheetId="0">[4]Request!$I$54</definedName>
    <definedName name="CONTDE" localSheetId="0">#REF!</definedName>
    <definedName name="CONTFD" localSheetId="0">#REF!</definedName>
    <definedName name="CONTFE" localSheetId="0">#REF!</definedName>
    <definedName name="CONTPD" localSheetId="0">#REF!</definedName>
    <definedName name="CONTPE" localSheetId="0">#REF!</definedName>
    <definedName name="countries" localSheetId="0">[7]zones_input!$A$2:$C$202</definedName>
    <definedName name="country_selection" localSheetId="0">[7]control!$S$4:$S$5</definedName>
    <definedName name="CSource" localSheetId="0">[7]control!$D$27:$D$29</definedName>
    <definedName name="Cur_Disct" localSheetId="0">[4]Request!$P$19</definedName>
    <definedName name="Curr_and_Incr" localSheetId="0">[4]Request!$R$32</definedName>
    <definedName name="Curr_Incr" localSheetId="0">[4]Request!$M$32</definedName>
    <definedName name="Current" localSheetId="0">'[4]Shipments - current'!$E$4:$Z$65536</definedName>
    <definedName name="Current_Only" localSheetId="0">[4]Request!$P$32</definedName>
    <definedName name="CurrentDetail" localSheetId="0">'[4]Shipments - current'!$A$3</definedName>
    <definedName name="CurrentDetailEnd" localSheetId="0">'[4]Shipments - current'!$AH$3</definedName>
    <definedName name="Cust_Clear" localSheetId="0">[4]Request!$P$84</definedName>
    <definedName name="CustClearQ" localSheetId="0">[4]Request!$L$84</definedName>
    <definedName name="Customer" localSheetId="0">[8]Summary!$B$1</definedName>
    <definedName name="Date1" localSheetId="0">[4]Request!$P$17</definedName>
    <definedName name="Date2" localSheetId="0">[4]Request!$Q$17</definedName>
    <definedName name="Declared_Value" localSheetId="0">[4]Request!$E$89</definedName>
    <definedName name="Dest_Countries" localSheetId="0">[4]Request!$N$125:$N$150</definedName>
    <definedName name="Dest_Country_Copy" localSheetId="0">[4]Request!$R$19</definedName>
    <definedName name="Dest_Scenario" localSheetId="0">[4]Request!$E$78</definedName>
    <definedName name="Dest1" localSheetId="0">[4]Request!$N$125</definedName>
    <definedName name="Dest10" localSheetId="0">[4]Request!$N$134</definedName>
    <definedName name="Dest11" localSheetId="0">[4]Request!$N$135</definedName>
    <definedName name="Dest12" localSheetId="0">[4]Request!$N$136</definedName>
    <definedName name="Dest13" localSheetId="0">[4]Request!$N$137</definedName>
    <definedName name="Dest14" localSheetId="0">[4]Request!$N$138</definedName>
    <definedName name="Dest15" localSheetId="0">[4]Request!$N$139</definedName>
    <definedName name="Dest16" localSheetId="0">[4]Request!$N$140</definedName>
    <definedName name="Dest17" localSheetId="0">[4]Request!$N$141</definedName>
    <definedName name="Dest18" localSheetId="0">[4]Request!$N$142</definedName>
    <definedName name="Dest19" localSheetId="0">[4]Request!$N$143</definedName>
    <definedName name="Dest2" localSheetId="0">[4]Request!$N$126</definedName>
    <definedName name="Dest20" localSheetId="0">[4]Request!$N$144</definedName>
    <definedName name="Dest21" localSheetId="0">[4]Request!$N$145</definedName>
    <definedName name="Dest22" localSheetId="0">[4]Request!$N$146</definedName>
    <definedName name="Dest23" localSheetId="0">[4]Request!$N$147</definedName>
    <definedName name="Dest24" localSheetId="0">[4]Request!$N$148</definedName>
    <definedName name="Dest25" localSheetId="0">[4]Request!$N$149</definedName>
    <definedName name="Dest26" localSheetId="0">[4]Request!$N$150</definedName>
    <definedName name="Dest3" localSheetId="0">[4]Request!$N$127</definedName>
    <definedName name="Dest4" localSheetId="0">[4]Request!$N$128</definedName>
    <definedName name="Dest5" localSheetId="0">[4]Request!$N$129</definedName>
    <definedName name="Dest6" localSheetId="0">[4]Request!$N$130</definedName>
    <definedName name="Dest7" localSheetId="0">[4]Request!$N$131</definedName>
    <definedName name="Dest8" localSheetId="0">[4]Request!$N$132</definedName>
    <definedName name="Dest9" localSheetId="0">[4]Request!$N$133</definedName>
    <definedName name="Division" localSheetId="0">[7]control!$O$27:$O$28</definedName>
    <definedName name="DOT" localSheetId="0">[7]control!$L$27:$L$29</definedName>
    <definedName name="dox" localSheetId="0">#REF!</definedName>
    <definedName name="dsfd" localSheetId="0">#REF!</definedName>
    <definedName name="EndMonth" localSheetId="0">[4]TempVariables!$H$3</definedName>
    <definedName name="ExDocDisc" localSheetId="0">[6]Discounts!$D$15:$Q$15,[6]Discounts!$S$15:$T$15</definedName>
    <definedName name="ExNDocDisc" localSheetId="0">[6]Discounts!$D$16:$Q$16,[6]Discounts!$S$16:$T$16,[6]Discounts!$D$22:$M$22,[6]Discounts!$O$22:$P$22,[6]Discounts!$T$22:$T$22</definedName>
    <definedName name="Expt638" localSheetId="0">#REF!</definedName>
    <definedName name="ExptPrepaid" localSheetId="0">'[10]Expt Disc prepaid'!#REF!</definedName>
    <definedName name="FDX" localSheetId="0">[4]Request!$A$50</definedName>
    <definedName name="FDX_Shpmts" localSheetId="0">[4]Request!$P$52</definedName>
    <definedName name="FXShpQ" localSheetId="0">[4]Request!$L$52</definedName>
    <definedName name="GroundWB" localSheetId="0">'[11]Customer Info'!$Y$20:$AB$26</definedName>
    <definedName name="GrpExcl_ll" localSheetId="0">[4]TempVariables!$D$2</definedName>
    <definedName name="GrpExcl_ul" localSheetId="0">[4]TempVariables!$E$2</definedName>
    <definedName name="GrpIncl_ll" localSheetId="0">[4]TempVariables!$B$2</definedName>
    <definedName name="GrpIncl_ul" localSheetId="0">[4]TempVariables!$C$2</definedName>
    <definedName name="Header" localSheetId="0">'[9]Expt Disc prepaid'!#REF!</definedName>
    <definedName name="home" localSheetId="0">[4]Request!$B$17</definedName>
    <definedName name="ImDocDisc" localSheetId="0">[6]Discounts!$D$29,[6]Discounts!$F$29:$Q$29,[6]Discounts!$T$29</definedName>
    <definedName name="IMListRates" localSheetId="0">#REF!</definedName>
    <definedName name="ImNDocDisc" localSheetId="0">[6]Discounts!$D$30:$D$30,[6]Discounts!$F$30:$Q$30,[6]Discounts!$T$30:$T$30,[6]Discounts!$D$36:$D$36,[6]Discounts!$F$36:$M$36,[6]Discounts!$O$36:$P$36,[6]Discounts!$T$36:$T$36</definedName>
    <definedName name="Import" localSheetId="0">[4]Request!$Q$33</definedName>
    <definedName name="Import_Pricing" localSheetId="0">#REF!</definedName>
    <definedName name="Impt_Inbnd" localSheetId="0">[4]Request!$L$33</definedName>
    <definedName name="ImptCheck" localSheetId="0">[4]Request!$Q$19</definedName>
    <definedName name="Inbound" localSheetId="0">[4]Request!$P$33</definedName>
    <definedName name="Inbound_Pricing" localSheetId="0">#REF!</definedName>
    <definedName name="Incremental_Only" localSheetId="0">[4]Request!$Q$32</definedName>
    <definedName name="IZ" localSheetId="0">#REF!</definedName>
    <definedName name="Kg_Apprv_Dt" localSheetId="0">#REF!</definedName>
    <definedName name="Kg_APPS_Chk" localSheetId="0">'[4]Shipments - kg'!$A$1138</definedName>
    <definedName name="Kg_AWPS_Chk" localSheetId="0">'[4]Shipments - kg'!$A$1117</definedName>
    <definedName name="Kg_Cntry_Disct" localSheetId="0">'[4]Discounts - kg'!$AB$108</definedName>
    <definedName name="kg_Disc_Edit_Check" localSheetId="0">#REF!</definedName>
    <definedName name="Kg_Discts" localSheetId="0">'[4]Discounts - kg'!$A$16:$IV$98</definedName>
    <definedName name="Kg_Dsc_Cntry" localSheetId="0">'[4]Discounts - kg'!$A$1:$IV$15</definedName>
    <definedName name="Kg_Dsc_IE_Cur_Disct" localSheetId="0">'[4]Discounts - kg'!$A$68:$IV$75</definedName>
    <definedName name="Kg_Dsc_IE_Hdr" localSheetId="0">'[4]Discounts - kg'!$A$60:$IV$62</definedName>
    <definedName name="Kg_Dsc_IE_Min_Hdr" localSheetId="0">'[4]Discounts - kg'!$A$63:$IV$64</definedName>
    <definedName name="Kg_Dsc_IE_Min_IE" localSheetId="0">'[4]Discounts - kg'!$A$65:$IV$65</definedName>
    <definedName name="Kg_Dsc_IE_Min_IEF" localSheetId="0">'[4]Discounts - kg'!$A$66:$IV$67</definedName>
    <definedName name="Kg_Dsc_IE_Pct_Disct" localSheetId="0">'[4]Discounts - kg'!$A$76:$IV$92</definedName>
    <definedName name="Kg_Dsc_IEF_Pct_Disct" localSheetId="0">'[4]Discounts - kg'!$A$93:$IV$99</definedName>
    <definedName name="Kg_Dsc_IP_Cur_Disct" localSheetId="0">'[4]Discounts - kg'!$A$25:$IV$31</definedName>
    <definedName name="Kg_Dsc_IP_Hdr" localSheetId="0">'[4]Discounts - kg'!$A$16:$IV$17</definedName>
    <definedName name="Kg_Dsc_IP_Min_Hdr" localSheetId="0">'[4]Discounts - kg'!$A$18:$IV$19</definedName>
    <definedName name="Kg_Dsc_IP_Min_IP" localSheetId="0">'[4]Discounts - kg'!$A$20:$IV$22</definedName>
    <definedName name="Kg_Dsc_IP_Min_IPF" localSheetId="0">'[4]Discounts - kg'!$A$23:$IV$24</definedName>
    <definedName name="Kg_Dsc_IP_Pct_Disct" localSheetId="0">'[4]Discounts - kg'!$A$32:$IV$50</definedName>
    <definedName name="Kg_Dsc_IPF_Pct_Disct" localSheetId="0">'[4]Discounts - kg'!$A$51:$IV$59</definedName>
    <definedName name="Kg_Dsc_Origin_Cntry" localSheetId="0">'[4]Discounts - kg'!$B$7:$AA$7</definedName>
    <definedName name="Kg_Incr_Shp_IE" localSheetId="0">'[4]Shipments - kg'!$A$162</definedName>
    <definedName name="Kg_Incr_Shp_IEF" localSheetId="0">'[4]Shipments - kg'!$A$163</definedName>
    <definedName name="Kg_Incr_Shp_IP" localSheetId="0">'[4]Shipments - kg'!$A$160</definedName>
    <definedName name="Kg_Incr_Shp_IPF" localSheetId="0">'[4]Shipments - kg'!$A$161</definedName>
    <definedName name="Kg_Rng_Cur_Disct_IE" localSheetId="0">'[4]Discounts - kg'!$B$72:$AA$74</definedName>
    <definedName name="Kg_Rng_Cur_Disct_IP" localSheetId="0">'[4]Discounts - kg'!$B$26:$AA$30</definedName>
    <definedName name="Kg_Rng_Disct_IE" localSheetId="0">'[4]Discounts - kg'!$B$78:$AA$84</definedName>
    <definedName name="Kg_Rng_Disct_IEF" localSheetId="0">'[4]Discounts - kg'!$B$94:$AA$98</definedName>
    <definedName name="Kg_Rng_Disct_IEHW" localSheetId="0">'[4]Discounts - kg'!$B$87:$AA$91</definedName>
    <definedName name="Kg_Rng_Disct_IP" localSheetId="0">'[4]Discounts - kg'!$B$34:$AA$42</definedName>
    <definedName name="Kg_Rng_Disct_IPF" localSheetId="0">'[4]Discounts - kg'!$B$52:$AA$56</definedName>
    <definedName name="Kg_Rng_Disct_IPHW" localSheetId="0">'[4]Discounts - kg'!$B$45:$AA$49</definedName>
    <definedName name="Kg_Rng_Disct_Min_IE" localSheetId="0">'[4]Discounts - kg'!$B$65:$AA$66</definedName>
    <definedName name="Kg_Rng_Disct_Min_IP" localSheetId="0">'[4]Discounts - kg'!$B$20:$AA$23</definedName>
    <definedName name="Kg_Rng_Shpmts_APPS_IE" localSheetId="0">'[4]Shipments - kg'!$C$119:$AB$129</definedName>
    <definedName name="Kg_Rng_Shpmts_APPS_IEF" localSheetId="0">'[4]Shipments - kg'!$C$131:$AB$135</definedName>
    <definedName name="Kg_Rng_Shpmts_APPS_IP" localSheetId="0">'[4]Shipments - kg'!$C$53:$AB$63</definedName>
    <definedName name="Kg_Rng_Shpmts_APPS_IPF" localSheetId="0">'[4]Shipments - kg'!$C$65:$AB$69</definedName>
    <definedName name="Kg_Rng_Shpmts_AWPS_IE" localSheetId="0">'[4]Shipments - kg'!$C$99:$AB$109</definedName>
    <definedName name="Kg_Rng_Shpmts_AWPS_IEF" localSheetId="0">'[4]Shipments - kg'!$C$111:$AB$115</definedName>
    <definedName name="Kg_Rng_Shpmts_AWPS_IP" localSheetId="0">'[4]Shipments - kg'!$C$34:$AB$44</definedName>
    <definedName name="Kg_Rng_Shpmts_AWPS_IPF" localSheetId="0">'[4]Shipments - kg'!$C$46:$AB$50</definedName>
    <definedName name="Kg_Rng_Shpmts_Incr_IE" localSheetId="0">'[4]Shipments - kg'!$C$75:$AB$86</definedName>
    <definedName name="Kg_Rng_Shpmts_Incr_IEF" localSheetId="0">'[4]Shipments - kg'!$C$88:$AB$92</definedName>
    <definedName name="Kg_Rng_Shpmts_Incr_IP" localSheetId="0">'[4]Shipments - kg'!$C$10:$AB$23</definedName>
    <definedName name="Kg_Rng_Shpmts_Incr_IPF" localSheetId="0">'[4]Shipments - kg'!$C$25:$AB$29</definedName>
    <definedName name="Kg_Shp_Cntry" localSheetId="0">'[4]Shipments - kg'!$A$1:$IV$8</definedName>
    <definedName name="Kg_Shp_IE_APPS" localSheetId="0">'[4]Shipments - kg'!$A$117:$IV$129</definedName>
    <definedName name="Kg_Shp_IE_AWPS" localSheetId="0">'[4]Shipments - kg'!$A$97:$IV$109</definedName>
    <definedName name="Kg_Shp_IE_Incr" localSheetId="0">'[4]Shipments - kg'!$A$72:$IV$86</definedName>
    <definedName name="Kg_Shp_IE_Tot" localSheetId="0">'[4]Shipments - kg'!$A$93:$IV$96</definedName>
    <definedName name="Kg_Shp_IEF_APPS" localSheetId="0">'[4]Shipments - kg'!$A$130:$IV$136</definedName>
    <definedName name="Kg_Shp_IEF_APPS_Hdr" localSheetId="0">'[4]Shipments - kg'!$A$117:$IV$118</definedName>
    <definedName name="Kg_Shp_IEF_AWPS" localSheetId="0">'[4]Shipments - kg'!$A$110:$IV$116</definedName>
    <definedName name="Kg_Shp_IEF_AWPS_Hdr" localSheetId="0">'[4]Shipments - kg'!$A$97:$IV$98</definedName>
    <definedName name="Kg_Shp_IEF_Incr" localSheetId="0">'[4]Shipments - kg'!$A$87:$IV$92</definedName>
    <definedName name="Kg_Shp_IEF_Incr_Hdr" localSheetId="0">'[4]Shipments - kg'!$A$72:$IV$73</definedName>
    <definedName name="Kg_Shp_IP_APPS" localSheetId="0">'[4]Shipments - kg'!$A$51:$IV$63</definedName>
    <definedName name="Kg_Shp_IP_AWPS" localSheetId="0">'[4]Shipments - kg'!$A$33:$IV$44</definedName>
    <definedName name="Kg_Shp_IP_Incr" localSheetId="0">'[4]Shipments - kg'!$A$9:$IV$23</definedName>
    <definedName name="Kg_Shp_IP_Tot" localSheetId="0">'[4]Shipments - kg'!$A$30:$IV$32</definedName>
    <definedName name="Kg_Shp_IPF_APPS" localSheetId="0">'[4]Shipments - kg'!$A$64:$IV$71</definedName>
    <definedName name="Kg_Shp_IPF_APPS_Hdr" localSheetId="0">'[4]Shipments - kg'!$A$51:$IV$52</definedName>
    <definedName name="Kg_Shp_IPF_AWPS" localSheetId="0">'[4]Shipments - kg'!$A$45:$IV$50</definedName>
    <definedName name="Kg_Shp_IPF_AWPS_Hdr" localSheetId="0">'[4]Shipments - kg'!$A$33:$IV$33</definedName>
    <definedName name="Kg_Shp_IPF_Incr" localSheetId="0">'[4]Shipments - kg'!$A$24:$IV$29</definedName>
    <definedName name="Kg_Shp_IPF_Incr_Hdr" localSheetId="0">'[4]Shipments - kg'!$A$9:$IV$9</definedName>
    <definedName name="Kg_Shp_Origin_Cntry" localSheetId="0">'[4]Shipments - kg'!$C$6:$AB$6</definedName>
    <definedName name="Kg_Shpmt_Cntry" localSheetId="0">'[4]Shipments - kg'!$AD$140</definedName>
    <definedName name="Kg_Shpmt_Disct" localSheetId="0">'[4]Discounts - kg'!$A$200</definedName>
    <definedName name="Kg_Shpmts" localSheetId="0">'[4]Shipments - kg'!$A$9:$IV$135</definedName>
    <definedName name="Kg_Shpmts_AWPS_Reset" localSheetId="0">'[4]Shipments - kg'!$A$500</definedName>
    <definedName name="Kg_Shpmts_AWPS_Reset1" localSheetId="0">'[4]Shipments - kg'!$A$501</definedName>
    <definedName name="Kilograms" localSheetId="0">[4]Request!$P$25</definedName>
    <definedName name="Lb_Apprv_Dt" localSheetId="0">'[4]Approved Discts-lb'!$F$3</definedName>
    <definedName name="Lb_APPS_Chk" localSheetId="0">'[4]Shipments - lb'!$A$1138</definedName>
    <definedName name="Lb_AWPS_Chk" localSheetId="0">'[4]Shipments - lb'!$A$1117</definedName>
    <definedName name="Lb_Cntry_Disct" localSheetId="0">'[4]Discounts - lb'!$AB$108</definedName>
    <definedName name="lb_Disc_Edit_Check" localSheetId="0">'[4]Approved Discts-lb'!$AF$259</definedName>
    <definedName name="Lb_Discts" localSheetId="0">'[4]Discounts - lb'!$A$16:$IV$98</definedName>
    <definedName name="Lb_Dsc_Cntry" localSheetId="0">'[4]Discounts - lb'!$A$1:$IV$15</definedName>
    <definedName name="Lb_Dsc_IE_Cur_Disct" localSheetId="0">'[4]Discounts - lb'!$A$68:$IV$75</definedName>
    <definedName name="Lb_Dsc_IE_Hdr" localSheetId="0">'[4]Discounts - lb'!$A$60:$IV$62</definedName>
    <definedName name="Lb_Dsc_IE_Min_Hdr" localSheetId="0">'[4]Discounts - lb'!$A$63:$IV$64</definedName>
    <definedName name="Lb_Dsc_IE_Min_IE" localSheetId="0">'[4]Discounts - lb'!$A$65:$IV$65</definedName>
    <definedName name="Lb_Dsc_IE_Min_IEF" localSheetId="0">'[4]Discounts - lb'!$A$66:$IV$67</definedName>
    <definedName name="Lb_Dsc_IE_Pct_Disct" localSheetId="0">'[4]Discounts - lb'!$A$76:$IV$92</definedName>
    <definedName name="Lb_Dsc_IEF_Pct_Disct" localSheetId="0">'[4]Discounts - lb'!$A$93:$IV$99</definedName>
    <definedName name="Lb_Dsc_IEF8" localSheetId="0">'[4]Discounts - lb'!$A$94:$IV$94</definedName>
    <definedName name="Lb_Dsc_IP_Cur_Disct" localSheetId="0">'[4]Discounts - lb'!$A$25:$IV$31</definedName>
    <definedName name="Lb_Dsc_IP_Hdr" localSheetId="0">'[4]Discounts - lb'!$A$16:$IV$17</definedName>
    <definedName name="Lb_Dsc_IP_Min_Hdr" localSheetId="0">'[4]Discounts - lb'!$A$18:$IV$19</definedName>
    <definedName name="Lb_Dsc_IP_Min_IP" localSheetId="0">'[4]Discounts - lb'!$A$20:$IV$22</definedName>
    <definedName name="Lb_Dsc_IP_Min_IPF" localSheetId="0">'[4]Discounts - lb'!$A$23:$IV$24</definedName>
    <definedName name="Lb_Dsc_IP_Pct_Disct" localSheetId="0">'[4]Discounts - lb'!$A$32:$IV$50</definedName>
    <definedName name="Lb_Dsc_IPF_Pct_Disct" localSheetId="0">'[4]Discounts - lb'!$A$51:$IV$59</definedName>
    <definedName name="Lb_Dsc_IPF8" localSheetId="0">'[4]Discounts - lb'!$A$52:$IV$52</definedName>
    <definedName name="Lb_Dsc_Origin_Cntry" localSheetId="0">'[4]Discounts - lb'!$B$7:$AA$7</definedName>
    <definedName name="Lb_Incr_Shp_IE" localSheetId="0">'[4]Shipments - lb'!$A$162</definedName>
    <definedName name="Lb_Incr_Shp_IEF" localSheetId="0">'[4]Shipments - lb'!$A$163</definedName>
    <definedName name="Lb_Incr_Shp_IP" localSheetId="0">'[4]Shipments - lb'!$A$160</definedName>
    <definedName name="Lb_Incr_Shp_IPF" localSheetId="0">'[4]Shipments - lb'!$A$161</definedName>
    <definedName name="Lb_Rng_Cur_Disct_IE" localSheetId="0">'[4]Discounts - lb'!$B$72:$AA$74</definedName>
    <definedName name="Lb_Rng_Cur_Disct_IP" localSheetId="0">'[4]Discounts - lb'!$B$26:$AA$30</definedName>
    <definedName name="Lb_Rng_Disct_IE" localSheetId="0">'[4]Discounts - lb'!$B$78:$AA$84</definedName>
    <definedName name="Lb_Rng_Disct_IEF" localSheetId="0">'[4]Discounts - lb'!$B$94:$AA$98</definedName>
    <definedName name="Lb_Rng_Disct_IEHW" localSheetId="0">'[4]Discounts - lb'!$B$87:$AA$91</definedName>
    <definedName name="Lb_Rng_Disct_IP" localSheetId="0">'[4]Discounts - lb'!$B$34:$AA$42</definedName>
    <definedName name="Lb_Rng_Disct_IPF" localSheetId="0">'[4]Discounts - lb'!$B$52:$AA$56</definedName>
    <definedName name="Lb_Rng_Disct_IPHW" localSheetId="0">'[4]Discounts - lb'!$B$45:$AA$49</definedName>
    <definedName name="Lb_Rng_Disct_Min_IE" localSheetId="0">'[4]Discounts - lb'!$B$65:$AA$66</definedName>
    <definedName name="Lb_Rng_Disct_Min_IP" localSheetId="0">'[4]Discounts - lb'!$B$20:$AA$23</definedName>
    <definedName name="Lb_Rng_Shpmts_APPS_IE" localSheetId="0">'[4]Shipments - lb'!$C$119:$AB$129</definedName>
    <definedName name="Lb_Rng_Shpmts_APPS_IEF" localSheetId="0">'[4]Shipments - lb'!$C$131:$AB$135</definedName>
    <definedName name="Lb_Rng_Shpmts_APPS_IP" localSheetId="0">'[4]Shipments - lb'!$C$53:$AB$63</definedName>
    <definedName name="Lb_Rng_Shpmts_APPS_IPF" localSheetId="0">'[4]Shipments - lb'!$C$65:$AB$69</definedName>
    <definedName name="Lb_Rng_Shpmts_AWPS_IE" localSheetId="0">'[4]Shipments - lb'!$C$99:$AB$109</definedName>
    <definedName name="Lb_Rng_Shpmts_AWPS_IEF" localSheetId="0">'[4]Shipments - lb'!$C$111:$AB$115</definedName>
    <definedName name="Lb_Rng_Shpmts_AWPS_IP" localSheetId="0">'[4]Shipments - lb'!$C$34:$AB$44</definedName>
    <definedName name="Lb_Rng_Shpmts_AWPS_IPF" localSheetId="0">'[4]Shipments - lb'!$C$46:$AB$50</definedName>
    <definedName name="Lb_Rng_Shpmts_Incr_IE" localSheetId="0">'[4]Shipments - lb'!$C$75:$AB$86</definedName>
    <definedName name="Lb_Rng_Shpmts_Incr_IEF" localSheetId="0">'[4]Shipments - lb'!$C$88:$AB$92</definedName>
    <definedName name="Lb_Rng_Shpmts_Incr_IP" localSheetId="0">'[4]Shipments - lb'!$C$10:$AB$23</definedName>
    <definedName name="Lb_Rng_Shpmts_Incr_IPF" localSheetId="0">'[4]Shipments - lb'!$C$25:$AB$29</definedName>
    <definedName name="Lb_Shp_Cntry" localSheetId="0">'[4]Shipments - lb'!$A$1:$IV$8</definedName>
    <definedName name="Lb_Shp_IE_APPS" localSheetId="0">'[4]Shipments - lb'!$A$117:$IV$129</definedName>
    <definedName name="Lb_Shp_IE_AWPS" localSheetId="0">'[4]Shipments - lb'!$A$97:$IV$109</definedName>
    <definedName name="Lb_Shp_IE_Incr" localSheetId="0">'[4]Shipments - lb'!$A$72:$IV$86</definedName>
    <definedName name="Lb_Shp_IE_Tot" localSheetId="0">'[4]Shipments - lb'!$A$93:$IV$96</definedName>
    <definedName name="Lb_Shp_IEF_APPS" localSheetId="0">'[4]Shipments - lb'!$A$130:$IV$136</definedName>
    <definedName name="Lb_Shp_IEF_APPS_Hdr" localSheetId="0">'[4]Shipments - lb'!$A$117:$IV$118</definedName>
    <definedName name="Lb_Shp_IEF_AWPS" localSheetId="0">'[4]Shipments - lb'!$A$110:$IV$116</definedName>
    <definedName name="Lb_Shp_IEF_AWPS_Hdr" localSheetId="0">'[4]Shipments - lb'!$A$97:$IV$98</definedName>
    <definedName name="Lb_Shp_IEF_Incr" localSheetId="0">'[4]Shipments - lb'!$A$87:$IV$92</definedName>
    <definedName name="Lb_Shp_IEF_Incr_Hdr" localSheetId="0">'[4]Shipments - lb'!$A$72:$IV$73</definedName>
    <definedName name="Lb_Shp_IEF8_APPS" localSheetId="0">'[4]Shipments - lb'!$A$131:$IV$131</definedName>
    <definedName name="Lb_Shp_IEF8_AWPS" localSheetId="0">'[4]Shipments - lb'!$A$111:$IV$111</definedName>
    <definedName name="Lb_Shp_IEF8_Incr" localSheetId="0">'[4]Shipments - lb'!$A$88:$IV$88</definedName>
    <definedName name="Lb_Shp_IP_APPS" localSheetId="0">'[4]Shipments - lb'!$A$51:$IV$63</definedName>
    <definedName name="Lb_Shp_IP_AWPS" localSheetId="0">'[4]Shipments - lb'!$A$33:$IV$44</definedName>
    <definedName name="Lb_Shp_IP_Incr" localSheetId="0">'[4]Shipments - lb'!$A$9:$IV$23</definedName>
    <definedName name="Lb_Shp_IP_Tot" localSheetId="0">'[4]Shipments - lb'!$A$30:$IV$32</definedName>
    <definedName name="Lb_Shp_IPF_APPS" localSheetId="0">'[4]Shipments - lb'!$A$64:$IV$71</definedName>
    <definedName name="Lb_Shp_IPF_APPS_Hdr" localSheetId="0">'[4]Shipments - lb'!$A$51:$IV$52</definedName>
    <definedName name="Lb_Shp_IPF_AWPS" localSheetId="0">'[4]Shipments - lb'!$A$45:$IV$50</definedName>
    <definedName name="Lb_Shp_IPF_AWPS_Hdr" localSheetId="0">'[4]Shipments - lb'!$A$33:$IV$33</definedName>
    <definedName name="Lb_Shp_IPF_Incr" localSheetId="0">'[4]Shipments - lb'!$A$24:$IV$29</definedName>
    <definedName name="Lb_Shp_IPF_Incr_Hdr" localSheetId="0">'[4]Shipments - lb'!$A$9:$IV$9</definedName>
    <definedName name="Lb_Shp_IPF8_APPS" localSheetId="0">'[4]Shipments - lb'!$A$65:$IV$65</definedName>
    <definedName name="Lb_Shp_IPF8_AWPS" localSheetId="0">'[4]Shipments - lb'!$A$46:$IV$46</definedName>
    <definedName name="Lb_Shp_IPF8_Incr" localSheetId="0">'[4]Shipments - lb'!$A$25:$IV$25</definedName>
    <definedName name="Lb_Shp_Origin_Cntry" localSheetId="0">'[4]Shipments - lb'!$C$6:$AB$6</definedName>
    <definedName name="Lb_Shpmt_Cntry" localSheetId="0">'[4]Shipments - lb'!$AD$140</definedName>
    <definedName name="Lb_Shpmt_Disct" localSheetId="0">'[4]Discounts - lb'!$A$200</definedName>
    <definedName name="Lb_Shpmts" localSheetId="0">'[4]Shipments - lb'!$A$9:$IV$135</definedName>
    <definedName name="Lb_Shpmts_AWPS_Reset" localSheetId="0">'[4]Shipments - lb'!$A$500</definedName>
    <definedName name="Lb_Shpmts_AWPS_Reset1" localSheetId="0">'[4]Shipments - lb'!$A$501</definedName>
    <definedName name="LocalAccts" localSheetId="0">[4]TempVariables!$F$2</definedName>
    <definedName name="Locations" localSheetId="0">[4]Request!$C$124</definedName>
    <definedName name="LOOKUP" localSheetId="0">#REF!</definedName>
    <definedName name="Major_Origin_Cities" localSheetId="0">[4]Request!$E$124</definedName>
    <definedName name="MBG" localSheetId="0">[4]Request!$G$42</definedName>
    <definedName name="MBG_NotReq" localSheetId="0">[4]Request!$P$44</definedName>
    <definedName name="MBG_Option" localSheetId="0">[4]Request!$M$44</definedName>
    <definedName name="MBG_Req" localSheetId="0">[4]Request!$Q$44</definedName>
    <definedName name="MINTABLE" localSheetId="0">[11]SURCHARGES!$H$9:$U$15</definedName>
    <definedName name="ModelDate" localSheetId="0">[4]Request!$K$1</definedName>
    <definedName name="NatlAccts" localSheetId="0">[4]TempVariables!$A$2</definedName>
    <definedName name="NDAAll" localSheetId="0">'[11]Customer Info'!$V$9</definedName>
    <definedName name="Old_Payor_No" localSheetId="0">[4]Request!$E$56</definedName>
    <definedName name="Old_Shipper_No" localSheetId="0">[4]Request!$E$54</definedName>
    <definedName name="Op_Months" localSheetId="0">'[4]Shipments - current'!$B$1</definedName>
    <definedName name="Op_Scenario" localSheetId="0">[4]Request!$P$74</definedName>
    <definedName name="OpQ" localSheetId="0">[4]Request!$L$74</definedName>
    <definedName name="OptionType" localSheetId="0">[7]control!$F$27:$F$29</definedName>
    <definedName name="Orig_Region_1" localSheetId="0">[4]Request!$A$125</definedName>
    <definedName name="Orig_Region_10" localSheetId="0">[4]Request!$A$134</definedName>
    <definedName name="Orig_Region_11" localSheetId="0">[4]Request!$A$135</definedName>
    <definedName name="Orig_Region_12" localSheetId="0">[4]Request!$A$136</definedName>
    <definedName name="Orig_Region_13" localSheetId="0">[4]Request!$A$137</definedName>
    <definedName name="Orig_Region_14" localSheetId="0">[4]Request!$A$138</definedName>
    <definedName name="Orig_Region_15" localSheetId="0">[4]Request!$A$139</definedName>
    <definedName name="Orig_Region_16" localSheetId="0">[4]Request!$A$140</definedName>
    <definedName name="Orig_Region_17" localSheetId="0">[4]Request!$A$141</definedName>
    <definedName name="Orig_Region_18" localSheetId="0">[4]Request!$A$142</definedName>
    <definedName name="Orig_Region_19" localSheetId="0">[4]Request!$A$143</definedName>
    <definedName name="Orig_Region_2" localSheetId="0">[4]Request!$A$126</definedName>
    <definedName name="Orig_Region_20" localSheetId="0">[4]Request!$A$144</definedName>
    <definedName name="Orig_Region_21" localSheetId="0">[4]Request!$A$145</definedName>
    <definedName name="Orig_Region_22" localSheetId="0">[4]Request!$A$146</definedName>
    <definedName name="Orig_Region_23" localSheetId="0">[4]Request!$A$147</definedName>
    <definedName name="Orig_Region_24" localSheetId="0">[4]Request!$A$148</definedName>
    <definedName name="Orig_Region_25" localSheetId="0">[4]Request!$A$149</definedName>
    <definedName name="Orig_Region_26" localSheetId="0">[4]Request!$A$150</definedName>
    <definedName name="Orig_Region_3" localSheetId="0">[4]Request!$A$127</definedName>
    <definedName name="Orig_Region_4" localSheetId="0">[4]Request!$A$128</definedName>
    <definedName name="Orig_Region_5" localSheetId="0">[4]Request!$A$129</definedName>
    <definedName name="Orig_Region_6" localSheetId="0">[4]Request!$A$130</definedName>
    <definedName name="Orig_Region_7" localSheetId="0">[4]Request!$A$131</definedName>
    <definedName name="Orig_Region_8" localSheetId="0">[4]Request!$A$132</definedName>
    <definedName name="Orig_Region_9" localSheetId="0">[4]Request!$A$133</definedName>
    <definedName name="Orig1" localSheetId="0">[4]Request!$L$125</definedName>
    <definedName name="Orig10" localSheetId="0">[4]Request!$L$134</definedName>
    <definedName name="Orig11" localSheetId="0">[4]Request!$L$135</definedName>
    <definedName name="Orig12" localSheetId="0">[4]Request!$L$136</definedName>
    <definedName name="Orig13" localSheetId="0">[4]Request!$L$137</definedName>
    <definedName name="Orig14" localSheetId="0">[4]Request!$L$138</definedName>
    <definedName name="Orig15" localSheetId="0">[4]Request!$L$139</definedName>
    <definedName name="Orig16" localSheetId="0">[4]Request!$L$140</definedName>
    <definedName name="Orig17" localSheetId="0">[4]Request!$L$141</definedName>
    <definedName name="Orig18" localSheetId="0">[4]Request!$L$142</definedName>
    <definedName name="Orig19" localSheetId="0">[4]Request!$L$143</definedName>
    <definedName name="Orig2" localSheetId="0">[4]Request!$L$126</definedName>
    <definedName name="Orig20" localSheetId="0">[4]Request!$L$144</definedName>
    <definedName name="Orig21" localSheetId="0">[4]Request!$L$145</definedName>
    <definedName name="Orig22" localSheetId="0">[4]Request!$L$146</definedName>
    <definedName name="Orig23" localSheetId="0">[4]Request!$L$147</definedName>
    <definedName name="Orig24" localSheetId="0">[4]Request!$L$148</definedName>
    <definedName name="Orig25" localSheetId="0">[4]Request!$L$149</definedName>
    <definedName name="Orig26" localSheetId="0">[4]Request!$L$150</definedName>
    <definedName name="Orig3" localSheetId="0">[4]Request!$L$127</definedName>
    <definedName name="Orig4" localSheetId="0">[4]Request!$L$128</definedName>
    <definedName name="Orig5" localSheetId="0">[4]Request!$L$129</definedName>
    <definedName name="Orig6" localSheetId="0">[4]Request!$L$130</definedName>
    <definedName name="Orig7" localSheetId="0">[4]Request!$L$131</definedName>
    <definedName name="Orig8" localSheetId="0">[4]Request!$L$132</definedName>
    <definedName name="Orig9" localSheetId="0">[4]Request!$L$133</definedName>
    <definedName name="Origin" localSheetId="0">[4]Request!$B$124</definedName>
    <definedName name="Origin_Countries" localSheetId="0">[4]Request!$L$125:$L$150</definedName>
    <definedName name="Origin_Country_Code" localSheetId="0">[4]Countries!$G$4:$H$224</definedName>
    <definedName name="Origin_Country_Name_Code" localSheetId="0">[4]Countries!$B$4:$C$224</definedName>
    <definedName name="Origin_Scenario" localSheetId="0">[4]Request!$E$76</definedName>
    <definedName name="parcels" localSheetId="0">#REF!</definedName>
    <definedName name="Password" localSheetId="0">[4]TempVariables!$O$3</definedName>
    <definedName name="Payor_Acct1" localSheetId="0">[4]Request!$I$23</definedName>
    <definedName name="Payor_Acct2" localSheetId="0">[4]Request!$I$25</definedName>
    <definedName name="Payor_Acct3" localSheetId="0">[4]Request!$I$27</definedName>
    <definedName name="Payor_Country" localSheetId="0">[4]Request!$M$19</definedName>
    <definedName name="Payor_Table" localSheetId="0">[4]Countries!$HI$4:$HR$101</definedName>
    <definedName name="PayorRgn" localSheetId="0">[4]Request!$P$15</definedName>
    <definedName name="PNH" localSheetId="0">#REF!</definedName>
    <definedName name="Pricing_Requested" localSheetId="0">[4]Request!$A$33</definedName>
    <definedName name="Product" localSheetId="0">[7]control!$N$27:$N$38</definedName>
    <definedName name="Provinces_Cities" localSheetId="0">[4]Request!$E$125:$E$150</definedName>
    <definedName name="Range1" localSheetId="0">#REF!</definedName>
    <definedName name="Region" localSheetId="0">[4]Request!$O$16</definedName>
    <definedName name="Region_Rev" localSheetId="0">[4]Request!$E$112:$E$116</definedName>
    <definedName name="RO" localSheetId="0">#REF!</definedName>
    <definedName name="road" localSheetId="0">#REF!</definedName>
    <definedName name="RTH" localSheetId="0">#REF!</definedName>
    <definedName name="Sales_AE" localSheetId="0">[4]Request!$B$21</definedName>
    <definedName name="Sales_Manager" localSheetId="0">[4]Request!$B$19</definedName>
    <definedName name="SDAALL" localSheetId="0">'[11]Customer Info'!$V$15</definedName>
    <definedName name="Service_IE" localSheetId="0">[4]Request!$R$46</definedName>
    <definedName name="Service_IE_IEF" localSheetId="0">[4]Request!$R$47</definedName>
    <definedName name="Service_IEF" localSheetId="0">[4]Request!$S$46</definedName>
    <definedName name="Service_IP" localSheetId="0">[4]Request!$P$46</definedName>
    <definedName name="Service_IP_IPF" localSheetId="0">[4]Request!$P$47</definedName>
    <definedName name="Service_IPF" localSheetId="0">[4]Request!$Q$46</definedName>
    <definedName name="Service_Type" localSheetId="0">[4]Request!$L$48</definedName>
    <definedName name="Services_Requested" localSheetId="0">[4]Request!$A$42</definedName>
    <definedName name="Ship_Locations" localSheetId="0">[4]Request!$M$125:$M$150</definedName>
    <definedName name="Ship_Tender" localSheetId="0">[4]Request!$E$68</definedName>
    <definedName name="Show9DigitAccts" localSheetId="0">[4]TempVariables!$J$3</definedName>
    <definedName name="SlsChan" localSheetId="0">[7]control!$B$27:$B$28</definedName>
    <definedName name="Spec_Op" localSheetId="0">[4]Request!$A$72</definedName>
    <definedName name="StartMonth" localSheetId="0">[4]TempVariables!$G$3</definedName>
    <definedName name="Strategy" localSheetId="0">[4]Request!$A$108</definedName>
    <definedName name="SurchargeType" localSheetId="0">[7]control!$I$27:$I$32</definedName>
    <definedName name="TABLE" localSheetId="0">#REF!</definedName>
    <definedName name="TempVariables" localSheetId="0">[4]TempVariables!$A$1</definedName>
    <definedName name="Tier" localSheetId="0">'[12]Portfolio Discount'!#REF!</definedName>
    <definedName name="Tot_Annual_Rev" localSheetId="0">[4]Request!$E$117</definedName>
    <definedName name="USAcctsOnly" localSheetId="0">[4]TempVariables!$I$3</definedName>
    <definedName name="UserID" localSheetId="0">[4]TempVariables!$N$3</definedName>
    <definedName name="Value_2K" localSheetId="0">[4]Request!$E$88</definedName>
    <definedName name="values" localSheetId="0">[4]Request!$L$16:$O$150</definedName>
    <definedName name="WtMetric" localSheetId="0">[4]Request!$B$25</definedName>
    <definedName name="YN" localSheetId="0">[7]control!$P$27:$P$28</definedName>
    <definedName name="zone" localSheetId="0">#REF!</definedName>
    <definedName name="ZonedOut" localSheetId="0">[7]rates_input!$R$5:$Z$8</definedName>
    <definedName name="ZonedOut1" localSheetId="0">[7]rates_input!$I$6:$Z$8</definedName>
    <definedName name="ZonedOut2" localSheetId="0">[7]rates_input!$I$7:$Z$8</definedName>
    <definedName name="ZONELU" localSheetId="0">[11]SURCHARGES!$B$9:$D$59</definedName>
    <definedName name="Zones" localSheetId="0">#REF!,#REF!,#REF!,#REF!</definedName>
    <definedName name="Zones_New" localSheetId="0">[7]zones_input!$B$1:$G$65536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2863" name="ID_0489DDD773654DA19EF5D2F7E6CFF583" descr="core_image_url__exec_download_935964854"/>
        <xdr:cNvPicPr/>
      </xdr:nvPicPr>
      <xdr:blipFill>
        <a:blip r:link="rId1"/>
        <a:stretch>
          <a:fillRect/>
        </a:stretch>
      </xdr:blipFill>
      <xdr:spPr>
        <a:xfrm>
          <a:off x="0" y="0"/>
          <a:ext cx="5810250" cy="4352925"/>
        </a:xfrm>
        <a:prstGeom prst="rect">
          <a:avLst/>
        </a:prstGeom>
      </xdr:spPr>
    </xdr:pic>
  </etc:cellImage>
  <etc:cellImage>
    <xdr:pic>
      <xdr:nvPicPr>
        <xdr:cNvPr id="2862" name="ID_9060D06700234D73A40A37F2370E2234" descr="core_image_url__exec_download_2804513923"/>
        <xdr:cNvPicPr/>
      </xdr:nvPicPr>
      <xdr:blipFill>
        <a:blip r:link="rId2"/>
        <a:stretch>
          <a:fillRect/>
        </a:stretch>
      </xdr:blipFill>
      <xdr:spPr>
        <a:xfrm>
          <a:off x="0" y="0"/>
          <a:ext cx="5810250" cy="4352925"/>
        </a:xfrm>
        <a:prstGeom prst="rect">
          <a:avLst/>
        </a:prstGeom>
      </xdr:spPr>
    </xdr:pic>
  </etc:cellImage>
  <etc:cellImage>
    <xdr:pic>
      <xdr:nvPicPr>
        <xdr:cNvPr id="2861" name="ID_E506C151F08B445E982424171EA278F5" descr="core_image_url__exec_download_3364860876"/>
        <xdr:cNvPicPr/>
      </xdr:nvPicPr>
      <xdr:blipFill>
        <a:blip r:link="rId3"/>
        <a:stretch>
          <a:fillRect/>
        </a:stretch>
      </xdr:blipFill>
      <xdr:spPr>
        <a:xfrm>
          <a:off x="0" y="0"/>
          <a:ext cx="5810250" cy="4352925"/>
        </a:xfrm>
        <a:prstGeom prst="rect">
          <a:avLst/>
        </a:prstGeom>
      </xdr:spPr>
    </xdr:pic>
  </etc:cellImage>
  <etc:cellImage>
    <xdr:pic>
      <xdr:nvPicPr>
        <xdr:cNvPr id="2859" name="ID_3364B878065D4633BFDA16464000B2C5"/>
        <xdr:cNvPicPr>
          <a:picLocks noChangeAspect="1"/>
        </xdr:cNvPicPr>
      </xdr:nvPicPr>
      <xdr:blipFill>
        <a:blip r:embed="rId4" r:link="rId5"/>
        <a:stretch>
          <a:fillRect/>
        </a:stretch>
      </xdr:blipFill>
      <xdr:spPr>
        <a:xfrm>
          <a:off x="6097905" y="-1369550871"/>
          <a:ext cx="4133850" cy="6762750"/>
        </a:xfrm>
        <a:prstGeom prst="rect">
          <a:avLst/>
        </a:prstGeom>
        <a:noFill/>
        <a:ln w="9525">
          <a:noFill/>
        </a:ln>
      </xdr:spPr>
    </xdr:pic>
  </etc:cellImage>
  <etc:cellImage>
    <xdr:pic>
      <xdr:nvPicPr>
        <xdr:cNvPr id="3235" name="ID_C09B1D0D3170446FA4B66A36A8211A98" descr="core_image_url__exec_download_3141069395"/>
        <xdr:cNvPicPr/>
      </xdr:nvPicPr>
      <xdr:blipFill>
        <a:blip r:link="rId6"/>
        <a:stretch>
          <a:fillRect/>
        </a:stretch>
      </xdr:blipFill>
      <xdr:spPr>
        <a:xfrm>
          <a:off x="0" y="0"/>
          <a:ext cx="5095875" cy="6705600"/>
        </a:xfrm>
        <a:prstGeom prst="rect">
          <a:avLst/>
        </a:prstGeom>
      </xdr:spPr>
    </xdr:pic>
  </etc:cellImage>
  <etc:cellImage>
    <xdr:pic>
      <xdr:nvPicPr>
        <xdr:cNvPr id="3234" name="ID_4CEC0291335C40FEA5F4AE73D1DA7B81" descr="core_image_url__exec_download_4294629289"/>
        <xdr:cNvPicPr/>
      </xdr:nvPicPr>
      <xdr:blipFill>
        <a:blip r:link="rId7"/>
        <a:stretch>
          <a:fillRect/>
        </a:stretch>
      </xdr:blipFill>
      <xdr:spPr>
        <a:xfrm>
          <a:off x="0" y="0"/>
          <a:ext cx="9429750" cy="8829675"/>
        </a:xfrm>
        <a:prstGeom prst="rect">
          <a:avLst/>
        </a:prstGeom>
      </xdr:spPr>
    </xdr:pic>
  </etc:cellImage>
  <etc:cellImage>
    <xdr:pic>
      <xdr:nvPicPr>
        <xdr:cNvPr id="8730" name="ID_BB0EFDFF97E64B3FB5389E91B896FF87" descr="core_image_url__exec_download_762505602"/>
        <xdr:cNvPicPr/>
      </xdr:nvPicPr>
      <xdr:blipFill>
        <a:blip r:link="rId8"/>
        <a:stretch>
          <a:fillRect/>
        </a:stretch>
      </xdr:blipFill>
      <xdr:spPr>
        <a:xfrm>
          <a:off x="0" y="0"/>
          <a:ext cx="5657850" cy="10058400"/>
        </a:xfrm>
        <a:prstGeom prst="rect">
          <a:avLst/>
        </a:prstGeom>
      </xdr:spPr>
    </xdr:pic>
  </etc:cellImage>
  <etc:cellImage>
    <xdr:pic>
      <xdr:nvPicPr>
        <xdr:cNvPr id="8731" name="ID_43E8A72E216946CD9CCF379A4D4FD3B1" descr="core_image_url__exec_download_3968188436"/>
        <xdr:cNvPicPr/>
      </xdr:nvPicPr>
      <xdr:blipFill>
        <a:blip r:link="rId9"/>
        <a:stretch>
          <a:fillRect/>
        </a:stretch>
      </xdr:blipFill>
      <xdr:spPr>
        <a:xfrm>
          <a:off x="0" y="0"/>
          <a:ext cx="7058025" cy="6848475"/>
        </a:xfrm>
        <a:prstGeom prst="rect">
          <a:avLst/>
        </a:prstGeom>
      </xdr:spPr>
    </xdr:pic>
  </etc:cellImage>
  <etc:cellImage>
    <xdr:pic>
      <xdr:nvPicPr>
        <xdr:cNvPr id="8732" name="ID_D346022E158E415E8753332547B85756" descr="core_image_url__exec_download_1032774546"/>
        <xdr:cNvPicPr/>
      </xdr:nvPicPr>
      <xdr:blipFill>
        <a:blip r:link="rId10"/>
        <a:stretch>
          <a:fillRect/>
        </a:stretch>
      </xdr:blipFill>
      <xdr:spPr>
        <a:xfrm>
          <a:off x="0" y="0"/>
          <a:ext cx="6076950" cy="6105525"/>
        </a:xfrm>
        <a:prstGeom prst="rect">
          <a:avLst/>
        </a:prstGeom>
      </xdr:spPr>
    </xdr:pic>
  </etc:cellImage>
  <etc:cellImage>
    <xdr:pic>
      <xdr:nvPicPr>
        <xdr:cNvPr id="9524" name="ID_CA728C4165EF4B59886C0000AA4B8871" descr="core_image_url__exec_download_3885431431"/>
        <xdr:cNvPicPr/>
      </xdr:nvPicPr>
      <xdr:blipFill>
        <a:blip r:link="rId11"/>
        <a:stretch>
          <a:fillRect/>
        </a:stretch>
      </xdr:blipFill>
      <xdr:spPr>
        <a:xfrm>
          <a:off x="0" y="0"/>
          <a:ext cx="5943600" cy="5715000"/>
        </a:xfrm>
        <a:prstGeom prst="rect">
          <a:avLst/>
        </a:prstGeom>
      </xdr:spPr>
    </xdr:pic>
  </etc:cellImage>
  <etc:cellImage>
    <xdr:pic>
      <xdr:nvPicPr>
        <xdr:cNvPr id="9522" name="ID_1AAD8B113C5F40939CCB0D9A51D1A44E" descr="core_image_url__exec_download_3100438032"/>
        <xdr:cNvPicPr/>
      </xdr:nvPicPr>
      <xdr:blipFill>
        <a:blip r:link="rId12"/>
        <a:stretch>
          <a:fillRect/>
        </a:stretch>
      </xdr:blipFill>
      <xdr:spPr>
        <a:xfrm>
          <a:off x="0" y="0"/>
          <a:ext cx="7477125" cy="6591300"/>
        </a:xfrm>
        <a:prstGeom prst="rect">
          <a:avLst/>
        </a:prstGeom>
      </xdr:spPr>
    </xdr:pic>
  </etc:cellImage>
  <etc:cellImage>
    <xdr:pic>
      <xdr:nvPicPr>
        <xdr:cNvPr id="8880" name="ID_1C9B3D3D817644D4B78D65D02A3FCDC7" descr="core_image_url__exec_download_963801629"/>
        <xdr:cNvPicPr/>
      </xdr:nvPicPr>
      <xdr:blipFill>
        <a:blip r:link="rId13"/>
        <a:stretch>
          <a:fillRect/>
        </a:stretch>
      </xdr:blipFill>
      <xdr:spPr>
        <a:xfrm>
          <a:off x="0" y="0"/>
          <a:ext cx="962025" cy="923925"/>
        </a:xfrm>
        <a:prstGeom prst="rect">
          <a:avLst/>
        </a:prstGeom>
      </xdr:spPr>
    </xdr:pic>
  </etc:cellImage>
  <etc:cellImage>
    <xdr:pic>
      <xdr:nvPicPr>
        <xdr:cNvPr id="181" name="ID_2598C4EDDE854AAEAAB7E65068067D87" descr="core_image_url__exec_download_1373619888"/>
        <xdr:cNvPicPr/>
      </xdr:nvPicPr>
      <xdr:blipFill>
        <a:blip r:link="rId14"/>
        <a:stretch>
          <a:fillRect/>
        </a:stretch>
      </xdr:blipFill>
      <xdr:spPr>
        <a:xfrm>
          <a:off x="0" y="0"/>
          <a:ext cx="5095875" cy="6181725"/>
        </a:xfrm>
        <a:prstGeom prst="rect">
          <a:avLst/>
        </a:prstGeom>
      </xdr:spPr>
    </xdr:pic>
  </etc:cellImage>
  <etc:cellImage>
    <xdr:pic>
      <xdr:nvPicPr>
        <xdr:cNvPr id="179" name="ID_54B898D5F6A64BE89EAF26AC2C7026BF" descr="core_image_url__exec_download_662523494"/>
        <xdr:cNvPicPr/>
      </xdr:nvPicPr>
      <xdr:blipFill>
        <a:blip r:link="rId15"/>
        <a:stretch>
          <a:fillRect/>
        </a:stretch>
      </xdr:blipFill>
      <xdr:spPr>
        <a:xfrm>
          <a:off x="0" y="0"/>
          <a:ext cx="5105400" cy="6276975"/>
        </a:xfrm>
        <a:prstGeom prst="rect">
          <a:avLst/>
        </a:prstGeom>
      </xdr:spPr>
    </xdr:pic>
  </etc:cellImage>
  <etc:cellImage>
    <xdr:pic>
      <xdr:nvPicPr>
        <xdr:cNvPr id="177" name="ID_E00E39BEDCA14554BDB0F00C36D2FA85" descr="core_image_url__exec_download_925232996"/>
        <xdr:cNvPicPr/>
      </xdr:nvPicPr>
      <xdr:blipFill>
        <a:blip r:link="rId16"/>
        <a:stretch>
          <a:fillRect/>
        </a:stretch>
      </xdr:blipFill>
      <xdr:spPr>
        <a:xfrm>
          <a:off x="0" y="0"/>
          <a:ext cx="7540625" cy="10058400"/>
        </a:xfrm>
        <a:prstGeom prst="rect">
          <a:avLst/>
        </a:prstGeom>
      </xdr:spPr>
    </xdr:pic>
  </etc:cellImage>
  <etc:cellImage>
    <xdr:pic>
      <xdr:nvPicPr>
        <xdr:cNvPr id="169" name="ID_76C88E4864A1475AAEDF103B5BDFD722" descr="core_image_url__exec_download_2696134926"/>
        <xdr:cNvPicPr/>
      </xdr:nvPicPr>
      <xdr:blipFill>
        <a:blip r:link="rId17"/>
        <a:stretch>
          <a:fillRect/>
        </a:stretch>
      </xdr:blipFill>
      <xdr:spPr>
        <a:xfrm>
          <a:off x="0" y="0"/>
          <a:ext cx="3638550" cy="3876675"/>
        </a:xfrm>
        <a:prstGeom prst="rect">
          <a:avLst/>
        </a:prstGeom>
      </xdr:spPr>
    </xdr:pic>
  </etc:cellImage>
  <etc:cellImage>
    <xdr:pic>
      <xdr:nvPicPr>
        <xdr:cNvPr id="251" name="ID_04BAE11DCE934B8FA61B08075A755D2A" descr="core_image_url__exec_download_3045609056"/>
        <xdr:cNvPicPr/>
      </xdr:nvPicPr>
      <xdr:blipFill>
        <a:blip r:link="rId18"/>
        <a:stretch>
          <a:fillRect/>
        </a:stretch>
      </xdr:blipFill>
      <xdr:spPr>
        <a:xfrm>
          <a:off x="0" y="0"/>
          <a:ext cx="9534525" cy="8010525"/>
        </a:xfrm>
        <a:prstGeom prst="rect">
          <a:avLst/>
        </a:prstGeom>
      </xdr:spPr>
    </xdr:pic>
  </etc:cellImage>
  <etc:cellImage>
    <xdr:pic>
      <xdr:nvPicPr>
        <xdr:cNvPr id="250" name="ID_A9FB0D7102DA4F0A8B4AB78C8A981922" descr="core_image_url__exec_download_2433982229"/>
        <xdr:cNvPicPr/>
      </xdr:nvPicPr>
      <xdr:blipFill>
        <a:blip r:link="rId19"/>
        <a:stretch>
          <a:fillRect/>
        </a:stretch>
      </xdr:blipFill>
      <xdr:spPr>
        <a:xfrm>
          <a:off x="0" y="0"/>
          <a:ext cx="10058400" cy="7096760"/>
        </a:xfrm>
        <a:prstGeom prst="rect">
          <a:avLst/>
        </a:prstGeom>
      </xdr:spPr>
    </xdr:pic>
  </etc:cellImage>
  <etc:cellImage>
    <xdr:pic>
      <xdr:nvPicPr>
        <xdr:cNvPr id="165" name="ID_21427AE04695476D86E80F4D9BA814FA"/>
        <xdr:cNvPicPr>
          <a:picLocks noChangeAspect="1"/>
        </xdr:cNvPicPr>
      </xdr:nvPicPr>
      <xdr:blipFill>
        <a:blip r:embed="rId20"/>
        <a:stretch>
          <a:fillRect/>
        </a:stretch>
      </xdr:blipFill>
      <xdr:spPr>
        <a:xfrm>
          <a:off x="4423410" y="-1366014556"/>
          <a:ext cx="2638425" cy="3400425"/>
        </a:xfrm>
        <a:prstGeom prst="rect">
          <a:avLst/>
        </a:prstGeom>
        <a:noFill/>
        <a:ln>
          <a:noFill/>
        </a:ln>
      </xdr:spPr>
    </xdr:pic>
  </etc:cellImage>
  <etc:cellImage>
    <xdr:pic>
      <xdr:nvPicPr>
        <xdr:cNvPr id="285" name="ID_95B666FFAE3449AFA339E29AA544F9C8" descr="core_image_url__exec_download_184351896"/>
        <xdr:cNvPicPr/>
      </xdr:nvPicPr>
      <xdr:blipFill>
        <a:blip r:link="rId21"/>
        <a:stretch>
          <a:fillRect/>
        </a:stretch>
      </xdr:blipFill>
      <xdr:spPr>
        <a:xfrm>
          <a:off x="0" y="0"/>
          <a:ext cx="6858000" cy="6972300"/>
        </a:xfrm>
        <a:prstGeom prst="rect">
          <a:avLst/>
        </a:prstGeom>
      </xdr:spPr>
    </xdr:pic>
  </etc:cellImage>
  <etc:cellImage>
    <xdr:pic>
      <xdr:nvPicPr>
        <xdr:cNvPr id="2" name="ID_75473907AF9F4913A71673C19029E4A6"/>
        <xdr:cNvPicPr>
          <a:picLocks noChangeAspect="1"/>
        </xdr:cNvPicPr>
      </xdr:nvPicPr>
      <xdr:blipFill>
        <a:blip r:embed="rId22"/>
        <a:stretch>
          <a:fillRect/>
        </a:stretch>
      </xdr:blipFill>
      <xdr:spPr>
        <a:xfrm>
          <a:off x="4733925" y="18094325"/>
          <a:ext cx="3905250" cy="3952875"/>
        </a:xfrm>
        <a:prstGeom prst="rect">
          <a:avLst/>
        </a:prstGeom>
        <a:noFill/>
        <a:ln>
          <a:noFill/>
        </a:ln>
      </xdr:spPr>
    </xdr:pic>
  </etc:cellImage>
  <etc:cellImage>
    <xdr:pic>
      <xdr:nvPicPr>
        <xdr:cNvPr id="3" name="ID_CE8BDEC5B531425692465B8395A482C6"/>
        <xdr:cNvPicPr>
          <a:picLocks noChangeAspect="1"/>
        </xdr:cNvPicPr>
      </xdr:nvPicPr>
      <xdr:blipFill>
        <a:blip r:embed="rId23"/>
        <a:stretch>
          <a:fillRect/>
        </a:stretch>
      </xdr:blipFill>
      <xdr:spPr>
        <a:xfrm>
          <a:off x="4743450" y="19681825"/>
          <a:ext cx="2638425" cy="3400425"/>
        </a:xfrm>
        <a:prstGeom prst="rect">
          <a:avLst/>
        </a:prstGeom>
        <a:noFill/>
        <a:ln>
          <a:noFill/>
        </a:ln>
      </xdr:spPr>
    </xdr:pic>
  </etc:cellImage>
  <etc:cellImage>
    <xdr:pic>
      <xdr:nvPicPr>
        <xdr:cNvPr id="9549" name="ID_7356946B3CE94C59A46BC715F7EBDA5A" descr="core_image_url__exec_download_1115763075"/>
        <xdr:cNvPicPr/>
      </xdr:nvPicPr>
      <xdr:blipFill>
        <a:blip r:link="rId24"/>
        <a:stretch>
          <a:fillRect/>
        </a:stretch>
      </xdr:blipFill>
      <xdr:spPr>
        <a:xfrm>
          <a:off x="0" y="0"/>
          <a:ext cx="7569835" cy="10058400"/>
        </a:xfrm>
        <a:prstGeom prst="rect">
          <a:avLst/>
        </a:prstGeom>
      </xdr:spPr>
    </xdr:pic>
  </etc:cellImage>
  <etc:cellImage>
    <xdr:pic>
      <xdr:nvPicPr>
        <xdr:cNvPr id="9550" name="ID_FD0C7A6F1AE848D5A76DC77FFDDCB939" descr="core_image_url__exec_download_374345945"/>
        <xdr:cNvPicPr/>
      </xdr:nvPicPr>
      <xdr:blipFill>
        <a:blip r:link="rId25"/>
        <a:stretch>
          <a:fillRect/>
        </a:stretch>
      </xdr:blipFill>
      <xdr:spPr>
        <a:xfrm>
          <a:off x="0" y="0"/>
          <a:ext cx="6076950" cy="3771900"/>
        </a:xfrm>
        <a:prstGeom prst="rect">
          <a:avLst/>
        </a:prstGeom>
      </xdr:spPr>
    </xdr:pic>
  </etc:cellImage>
  <etc:cellImage>
    <xdr:pic>
      <xdr:nvPicPr>
        <xdr:cNvPr id="9551" name="ID_572AA8229B8947EEA4DC327D48824A52" descr="core_image_url__exec_download_3455576456"/>
        <xdr:cNvPicPr/>
      </xdr:nvPicPr>
      <xdr:blipFill>
        <a:blip r:link="rId26"/>
        <a:stretch>
          <a:fillRect/>
        </a:stretch>
      </xdr:blipFill>
      <xdr:spPr>
        <a:xfrm>
          <a:off x="0" y="0"/>
          <a:ext cx="7569835" cy="10058400"/>
        </a:xfrm>
        <a:prstGeom prst="rect">
          <a:avLst/>
        </a:prstGeom>
      </xdr:spPr>
    </xdr:pic>
  </etc:cellImage>
  <etc:cellImage>
    <xdr:pic>
      <xdr:nvPicPr>
        <xdr:cNvPr id="9559" name="ID_14BF4798DFA84B5785D7BC65DF159EFB" descr="core_image_url__exec_download_3555298123"/>
        <xdr:cNvPicPr/>
      </xdr:nvPicPr>
      <xdr:blipFill>
        <a:blip r:link="rId27"/>
        <a:stretch>
          <a:fillRect/>
        </a:stretch>
      </xdr:blipFill>
      <xdr:spPr>
        <a:xfrm>
          <a:off x="0" y="0"/>
          <a:ext cx="7620000" cy="7620000"/>
        </a:xfrm>
        <a:prstGeom prst="rect">
          <a:avLst/>
        </a:prstGeom>
      </xdr:spPr>
    </xdr:pic>
  </etc:cellImage>
  <etc:cellImage>
    <xdr:pic>
      <xdr:nvPicPr>
        <xdr:cNvPr id="3343" name="ID_60F1B1166DC54D779765B4C1751E1719" descr="core_image_url__exec_download_1505802914"/>
        <xdr:cNvPicPr/>
      </xdr:nvPicPr>
      <xdr:blipFill>
        <a:blip r:link="rId28"/>
        <a:stretch>
          <a:fillRect/>
        </a:stretch>
      </xdr:blipFill>
      <xdr:spPr>
        <a:xfrm>
          <a:off x="0" y="0"/>
          <a:ext cx="3634740" cy="3147060"/>
        </a:xfrm>
        <a:prstGeom prst="rect">
          <a:avLst/>
        </a:prstGeom>
      </xdr:spPr>
    </xdr:pic>
  </etc:cellImage>
  <etc:cellImage>
    <xdr:pic>
      <xdr:nvPicPr>
        <xdr:cNvPr id="3342" name="ID_0AF784A6CAF3413B822300EF04A04A47" descr="core_image_url__exec_download_1610829000"/>
        <xdr:cNvPicPr/>
      </xdr:nvPicPr>
      <xdr:blipFill>
        <a:blip r:link="rId29"/>
        <a:stretch>
          <a:fillRect/>
        </a:stretch>
      </xdr:blipFill>
      <xdr:spPr>
        <a:xfrm>
          <a:off x="0" y="0"/>
          <a:ext cx="3489960" cy="3413760"/>
        </a:xfrm>
        <a:prstGeom prst="rect">
          <a:avLst/>
        </a:prstGeom>
      </xdr:spPr>
    </xdr:pic>
  </etc:cellImage>
  <etc:cellImage>
    <xdr:pic>
      <xdr:nvPicPr>
        <xdr:cNvPr id="3341" name="ID_2EC640006AC249F28395191C91F577C5" descr="core_image_url__exec_download_1865030475"/>
        <xdr:cNvPicPr/>
      </xdr:nvPicPr>
      <xdr:blipFill>
        <a:blip r:link="rId30"/>
        <a:stretch>
          <a:fillRect/>
        </a:stretch>
      </xdr:blipFill>
      <xdr:spPr>
        <a:xfrm>
          <a:off x="0" y="0"/>
          <a:ext cx="10058400" cy="7543800"/>
        </a:xfrm>
        <a:prstGeom prst="rect">
          <a:avLst/>
        </a:prstGeom>
      </xdr:spPr>
    </xdr:pic>
  </etc:cellImage>
  <etc:cellImage>
    <xdr:pic>
      <xdr:nvPicPr>
        <xdr:cNvPr id="3307" name="ID_AAD7A73DDA1D423F825C1855D92CC428" descr="core_image_url__exec_download_486733943"/>
        <xdr:cNvPicPr/>
      </xdr:nvPicPr>
      <xdr:blipFill>
        <a:blip r:link="rId31"/>
        <a:stretch>
          <a:fillRect/>
        </a:stretch>
      </xdr:blipFill>
      <xdr:spPr>
        <a:xfrm>
          <a:off x="0" y="0"/>
          <a:ext cx="6724650" cy="2962275"/>
        </a:xfrm>
        <a:prstGeom prst="rect">
          <a:avLst/>
        </a:prstGeom>
      </xdr:spPr>
    </xdr:pic>
  </etc:cellImage>
  <etc:cellImage>
    <xdr:pic>
      <xdr:nvPicPr>
        <xdr:cNvPr id="3339" name="ID_39945D1A5A6545A3ABD202123D81E155" descr="core_image_url__exec_download_414847185"/>
        <xdr:cNvPicPr/>
      </xdr:nvPicPr>
      <xdr:blipFill>
        <a:blip r:link="rId32"/>
        <a:stretch>
          <a:fillRect/>
        </a:stretch>
      </xdr:blipFill>
      <xdr:spPr>
        <a:xfrm>
          <a:off x="0" y="0"/>
          <a:ext cx="10058400" cy="5657850"/>
        </a:xfrm>
        <a:prstGeom prst="rect">
          <a:avLst/>
        </a:prstGeom>
      </xdr:spPr>
    </xdr:pic>
  </etc:cellImage>
  <etc:cellImage>
    <xdr:pic>
      <xdr:nvPicPr>
        <xdr:cNvPr id="3305" name="ID_C4A42FC3D53B4BA3AB401C08AE428EC3" descr="core_image_url__exec_download_2810339069"/>
        <xdr:cNvPicPr/>
      </xdr:nvPicPr>
      <xdr:blipFill>
        <a:blip r:link="rId33"/>
        <a:stretch>
          <a:fillRect/>
        </a:stretch>
      </xdr:blipFill>
      <xdr:spPr>
        <a:xfrm>
          <a:off x="0" y="0"/>
          <a:ext cx="6734175" cy="2676525"/>
        </a:xfrm>
        <a:prstGeom prst="rect">
          <a:avLst/>
        </a:prstGeom>
      </xdr:spPr>
    </xdr:pic>
  </etc:cellImage>
  <etc:cellImage>
    <xdr:pic>
      <xdr:nvPicPr>
        <xdr:cNvPr id="186" name="ID_4DA28032E1BD46689A030CF0A57D145E" descr="core_image_url__exec_download_811214243"/>
        <xdr:cNvPicPr/>
      </xdr:nvPicPr>
      <xdr:blipFill>
        <a:blip r:link="rId34"/>
        <a:stretch>
          <a:fillRect/>
        </a:stretch>
      </xdr:blipFill>
      <xdr:spPr>
        <a:xfrm>
          <a:off x="0" y="0"/>
          <a:ext cx="7543800" cy="10058400"/>
        </a:xfrm>
        <a:prstGeom prst="rect">
          <a:avLst/>
        </a:prstGeom>
      </xdr:spPr>
    </xdr:pic>
  </etc:cellImage>
  <etc:cellImage>
    <xdr:pic>
      <xdr:nvPicPr>
        <xdr:cNvPr id="159" name="ID_7175BCD418C2414AACA0056E28950A44" descr="core_image_url__exec_download_2485265098"/>
        <xdr:cNvPicPr/>
      </xdr:nvPicPr>
      <xdr:blipFill>
        <a:blip r:link="rId35"/>
        <a:stretch>
          <a:fillRect/>
        </a:stretch>
      </xdr:blipFill>
      <xdr:spPr>
        <a:xfrm>
          <a:off x="0" y="0"/>
          <a:ext cx="10058400" cy="7542530"/>
        </a:xfrm>
        <a:prstGeom prst="rect">
          <a:avLst/>
        </a:prstGeom>
      </xdr:spPr>
    </xdr:pic>
  </etc:cellImage>
  <etc:cellImage>
    <xdr:pic>
      <xdr:nvPicPr>
        <xdr:cNvPr id="154" name="ID_BE6697E8A4CB47F28626B1E77AF26C3A" descr="core_image_url__exec_download_3306325472"/>
        <xdr:cNvPicPr/>
      </xdr:nvPicPr>
      <xdr:blipFill>
        <a:blip r:link="rId36"/>
        <a:stretch>
          <a:fillRect/>
        </a:stretch>
      </xdr:blipFill>
      <xdr:spPr>
        <a:xfrm>
          <a:off x="0" y="0"/>
          <a:ext cx="5715000" cy="5715000"/>
        </a:xfrm>
        <a:prstGeom prst="rect">
          <a:avLst/>
        </a:prstGeom>
      </xdr:spPr>
    </xdr:pic>
  </etc:cellImage>
  <etc:cellImage>
    <xdr:pic>
      <xdr:nvPicPr>
        <xdr:cNvPr id="15" name="ID_D902EE39A49543B9AA53DFA515BE5DB7" descr="core_image_url__exec_download_1980713375"/>
        <xdr:cNvPicPr/>
      </xdr:nvPicPr>
      <xdr:blipFill>
        <a:blip r:link="rId37"/>
        <a:stretch>
          <a:fillRect/>
        </a:stretch>
      </xdr:blipFill>
      <xdr:spPr>
        <a:xfrm>
          <a:off x="0" y="0"/>
          <a:ext cx="2914650" cy="3571875"/>
        </a:xfrm>
        <a:prstGeom prst="rect">
          <a:avLst/>
        </a:prstGeom>
      </xdr:spPr>
    </xdr:pic>
  </etc:cellImage>
  <etc:cellImage>
    <xdr:pic>
      <xdr:nvPicPr>
        <xdr:cNvPr id="3105" name="ID_C5BBE678C8854EC89E00FAE9B8048231" descr="core_image_url__exec_download_2408290423"/>
        <xdr:cNvPicPr/>
      </xdr:nvPicPr>
      <xdr:blipFill>
        <a:blip r:link="rId38"/>
        <a:stretch>
          <a:fillRect/>
        </a:stretch>
      </xdr:blipFill>
      <xdr:spPr>
        <a:xfrm>
          <a:off x="0" y="0"/>
          <a:ext cx="5981700" cy="5953125"/>
        </a:xfrm>
        <a:prstGeom prst="rect">
          <a:avLst/>
        </a:prstGeom>
      </xdr:spPr>
    </xdr:pic>
  </etc:cellImage>
  <etc:cellImage>
    <xdr:pic>
      <xdr:nvPicPr>
        <xdr:cNvPr id="9998" name="ID_C4077B97B263427BBA186A35B843B500" descr="core_image_url__exec_download_2888489338"/>
        <xdr:cNvPicPr/>
      </xdr:nvPicPr>
      <xdr:blipFill>
        <a:blip r:link="rId39"/>
        <a:stretch>
          <a:fillRect/>
        </a:stretch>
      </xdr:blipFill>
      <xdr:spPr>
        <a:xfrm>
          <a:off x="0" y="0"/>
          <a:ext cx="5800725" cy="5724525"/>
        </a:xfrm>
        <a:prstGeom prst="rect">
          <a:avLst/>
        </a:prstGeom>
      </xdr:spPr>
    </xdr:pic>
  </etc:cellImage>
  <etc:cellImage>
    <xdr:pic>
      <xdr:nvPicPr>
        <xdr:cNvPr id="51" name="ID_D18AA79784214D3E99E917705F48C21B" descr="core_image_url__exec_download_3721414166"/>
        <xdr:cNvPicPr/>
      </xdr:nvPicPr>
      <xdr:blipFill>
        <a:blip r:link="rId40"/>
        <a:stretch>
          <a:fillRect/>
        </a:stretch>
      </xdr:blipFill>
      <xdr:spPr>
        <a:xfrm>
          <a:off x="0" y="0"/>
          <a:ext cx="3429000" cy="2571750"/>
        </a:xfrm>
        <a:prstGeom prst="rect">
          <a:avLst/>
        </a:prstGeom>
      </xdr:spPr>
    </xdr:pic>
  </etc:cellImage>
  <etc:cellImage>
    <xdr:pic>
      <xdr:nvPicPr>
        <xdr:cNvPr id="209" name="ID_F380C3ECF3B84B579FE1A6465074CDD4" descr="core_image_url__exec_download_251583503"/>
        <xdr:cNvPicPr/>
      </xdr:nvPicPr>
      <xdr:blipFill>
        <a:blip r:link="rId41"/>
        <a:stretch>
          <a:fillRect/>
        </a:stretch>
      </xdr:blipFill>
      <xdr:spPr>
        <a:xfrm>
          <a:off x="0" y="0"/>
          <a:ext cx="5657850" cy="10058400"/>
        </a:xfrm>
        <a:prstGeom prst="rect">
          <a:avLst/>
        </a:prstGeom>
      </xdr:spPr>
    </xdr:pic>
  </etc:cellImage>
  <etc:cellImage>
    <xdr:pic>
      <xdr:nvPicPr>
        <xdr:cNvPr id="46" name="ID_C475F6D6817C48CE9CABA2AB02ED92B7" descr="core_image_url__exec_download_3282075730"/>
        <xdr:cNvPicPr/>
      </xdr:nvPicPr>
      <xdr:blipFill>
        <a:blip r:link="rId42"/>
        <a:stretch>
          <a:fillRect/>
        </a:stretch>
      </xdr:blipFill>
      <xdr:spPr>
        <a:xfrm>
          <a:off x="0" y="0"/>
          <a:ext cx="3429000" cy="2571750"/>
        </a:xfrm>
        <a:prstGeom prst="rect">
          <a:avLst/>
        </a:prstGeom>
      </xdr:spPr>
    </xdr:pic>
  </etc:cellImage>
  <etc:cellImage>
    <xdr:pic>
      <xdr:nvPicPr>
        <xdr:cNvPr id="24" name="ID_9337B89E9C2F4635B8340D139D8CE280" descr="core_image_url__exec_download_863524993"/>
        <xdr:cNvPicPr/>
      </xdr:nvPicPr>
      <xdr:blipFill>
        <a:blip r:link="rId43"/>
        <a:stretch>
          <a:fillRect/>
        </a:stretch>
      </xdr:blipFill>
      <xdr:spPr>
        <a:xfrm>
          <a:off x="0" y="0"/>
          <a:ext cx="2762250" cy="4286250"/>
        </a:xfrm>
        <a:prstGeom prst="rect">
          <a:avLst/>
        </a:prstGeom>
      </xdr:spPr>
    </xdr:pic>
  </etc:cellImage>
  <etc:cellImage>
    <xdr:pic>
      <xdr:nvPicPr>
        <xdr:cNvPr id="26" name="ID_A8ABD764D79F4B21A2F144C31495781B" descr="core_image_url__exec_download_3618884368"/>
        <xdr:cNvPicPr/>
      </xdr:nvPicPr>
      <xdr:blipFill>
        <a:blip r:link="rId44"/>
        <a:stretch>
          <a:fillRect/>
        </a:stretch>
      </xdr:blipFill>
      <xdr:spPr>
        <a:xfrm>
          <a:off x="0" y="0"/>
          <a:ext cx="5076825" cy="6515100"/>
        </a:xfrm>
        <a:prstGeom prst="rect">
          <a:avLst/>
        </a:prstGeom>
      </xdr:spPr>
    </xdr:pic>
  </etc:cellImage>
  <etc:cellImage>
    <xdr:pic>
      <xdr:nvPicPr>
        <xdr:cNvPr id="18" name="ID_420C09C623E64483A5D121CFC5CD72A7" descr="core_image_url__exec_download_5656633"/>
        <xdr:cNvPicPr/>
      </xdr:nvPicPr>
      <xdr:blipFill>
        <a:blip r:link="rId45"/>
        <a:stretch>
          <a:fillRect/>
        </a:stretch>
      </xdr:blipFill>
      <xdr:spPr>
        <a:xfrm>
          <a:off x="0" y="0"/>
          <a:ext cx="5429250" cy="5705475"/>
        </a:xfrm>
        <a:prstGeom prst="rect">
          <a:avLst/>
        </a:prstGeom>
      </xdr:spPr>
    </xdr:pic>
  </etc:cellImage>
  <etc:cellImage>
    <xdr:pic>
      <xdr:nvPicPr>
        <xdr:cNvPr id="22" name="ID_6975375882594AF3AE9ED6E8409E1269" descr="core_image_url__exec_download_3328699276"/>
        <xdr:cNvPicPr/>
      </xdr:nvPicPr>
      <xdr:blipFill>
        <a:blip r:link="rId46"/>
        <a:stretch>
          <a:fillRect/>
        </a:stretch>
      </xdr:blipFill>
      <xdr:spPr>
        <a:xfrm>
          <a:off x="0" y="0"/>
          <a:ext cx="3771900" cy="4914900"/>
        </a:xfrm>
        <a:prstGeom prst="rect">
          <a:avLst/>
        </a:prstGeom>
      </xdr:spPr>
    </xdr:pic>
  </etc:cellImage>
  <etc:cellImage>
    <xdr:pic>
      <xdr:nvPicPr>
        <xdr:cNvPr id="5" name="ID_5F33ADF5F8EC45C983F85F84A55EBF7A" descr="core_image_url__exec_download_1699263398"/>
        <xdr:cNvPicPr/>
      </xdr:nvPicPr>
      <xdr:blipFill>
        <a:blip r:link="rId47"/>
        <a:stretch>
          <a:fillRect/>
        </a:stretch>
      </xdr:blipFill>
      <xdr:spPr>
        <a:xfrm>
          <a:off x="0" y="0"/>
          <a:ext cx="7540625" cy="10058400"/>
        </a:xfrm>
        <a:prstGeom prst="rect">
          <a:avLst/>
        </a:prstGeom>
      </xdr:spPr>
    </xdr:pic>
  </etc:cellImage>
  <etc:cellImage>
    <xdr:pic>
      <xdr:nvPicPr>
        <xdr:cNvPr id="6" name="ID_D5975EF83C634A479E3C892C2E934141" descr="core_image_url__exec_download_3423002502"/>
        <xdr:cNvPicPr/>
      </xdr:nvPicPr>
      <xdr:blipFill>
        <a:blip r:link="rId48"/>
        <a:stretch>
          <a:fillRect/>
        </a:stretch>
      </xdr:blipFill>
      <xdr:spPr>
        <a:xfrm>
          <a:off x="0" y="0"/>
          <a:ext cx="5915025" cy="4381500"/>
        </a:xfrm>
        <a:prstGeom prst="rect">
          <a:avLst/>
        </a:prstGeom>
      </xdr:spPr>
    </xdr:pic>
  </etc:cellImage>
  <etc:cellImage>
    <xdr:pic>
      <xdr:nvPicPr>
        <xdr:cNvPr id="64" name="ID_5C99D4E210ED4C77BDA4CE5DA9BA36FF" descr="core_image_url__exec_download_2879170228"/>
        <xdr:cNvPicPr/>
      </xdr:nvPicPr>
      <xdr:blipFill>
        <a:blip r:link="rId49"/>
        <a:stretch>
          <a:fillRect/>
        </a:stretch>
      </xdr:blipFill>
      <xdr:spPr>
        <a:xfrm>
          <a:off x="0" y="0"/>
          <a:ext cx="10058400" cy="7543800"/>
        </a:xfrm>
        <a:prstGeom prst="rect">
          <a:avLst/>
        </a:prstGeom>
      </xdr:spPr>
    </xdr:pic>
  </etc:cellImage>
  <etc:cellImage>
    <xdr:pic>
      <xdr:nvPicPr>
        <xdr:cNvPr id="7" name="ID_E5259E0B57EA459997EA04E98B4C6C0F" descr="core_image_url__exec_download_3996759470"/>
        <xdr:cNvPicPr/>
      </xdr:nvPicPr>
      <xdr:blipFill>
        <a:blip r:link="rId50"/>
        <a:stretch>
          <a:fillRect/>
        </a:stretch>
      </xdr:blipFill>
      <xdr:spPr>
        <a:xfrm>
          <a:off x="0" y="0"/>
          <a:ext cx="4676775" cy="5200650"/>
        </a:xfrm>
        <a:prstGeom prst="rect">
          <a:avLst/>
        </a:prstGeom>
      </xdr:spPr>
    </xdr:pic>
  </etc:cellImage>
  <etc:cellImage>
    <xdr:pic>
      <xdr:nvPicPr>
        <xdr:cNvPr id="8" name="ID_B7BC898FA2054130A42677CEB5B42E91" descr="core_image_url__exec_download_4225154897"/>
        <xdr:cNvPicPr/>
      </xdr:nvPicPr>
      <xdr:blipFill>
        <a:blip r:link="rId51"/>
        <a:stretch>
          <a:fillRect/>
        </a:stretch>
      </xdr:blipFill>
      <xdr:spPr>
        <a:xfrm>
          <a:off x="0" y="0"/>
          <a:ext cx="7315200" cy="9753600"/>
        </a:xfrm>
        <a:prstGeom prst="rect">
          <a:avLst/>
        </a:prstGeom>
      </xdr:spPr>
    </xdr:pic>
  </etc:cellImage>
  <etc:cellImage>
    <xdr:pic>
      <xdr:nvPicPr>
        <xdr:cNvPr id="9" name="ID_B500202392044D0A97FAF18CB428C8D2" descr="core_image_url__exec_download_2639957854"/>
        <xdr:cNvPicPr/>
      </xdr:nvPicPr>
      <xdr:blipFill>
        <a:blip r:link="rId52"/>
        <a:stretch>
          <a:fillRect/>
        </a:stretch>
      </xdr:blipFill>
      <xdr:spPr>
        <a:xfrm>
          <a:off x="0" y="0"/>
          <a:ext cx="4572000" cy="4476750"/>
        </a:xfrm>
        <a:prstGeom prst="rect">
          <a:avLst/>
        </a:prstGeom>
      </xdr:spPr>
    </xdr:pic>
  </etc:cellImage>
  <etc:cellImage>
    <xdr:pic>
      <xdr:nvPicPr>
        <xdr:cNvPr id="2931" name="ID_15FB24CF06BD4BFD8CE795C58A23A234" descr="core_image_url__exec_download_1030584734"/>
        <xdr:cNvPicPr/>
      </xdr:nvPicPr>
      <xdr:blipFill>
        <a:blip r:link="rId53"/>
        <a:stretch>
          <a:fillRect/>
        </a:stretch>
      </xdr:blipFill>
      <xdr:spPr>
        <a:xfrm>
          <a:off x="0" y="0"/>
          <a:ext cx="5143500" cy="6391275"/>
        </a:xfrm>
        <a:prstGeom prst="rect">
          <a:avLst/>
        </a:prstGeom>
      </xdr:spPr>
    </xdr:pic>
  </etc:cellImage>
  <etc:cellImage>
    <xdr:pic>
      <xdr:nvPicPr>
        <xdr:cNvPr id="779" name="ID_D06E46378C2140E7B1179D985A5F8967" descr="core_image_url__exec_download_598957894"/>
        <xdr:cNvPicPr/>
      </xdr:nvPicPr>
      <xdr:blipFill>
        <a:blip r:link="rId54"/>
        <a:stretch>
          <a:fillRect/>
        </a:stretch>
      </xdr:blipFill>
      <xdr:spPr>
        <a:xfrm>
          <a:off x="0" y="0"/>
          <a:ext cx="3171825" cy="6858000"/>
        </a:xfrm>
        <a:prstGeom prst="rect">
          <a:avLst/>
        </a:prstGeom>
      </xdr:spPr>
    </xdr:pic>
  </etc:cellImage>
  <etc:cellImage>
    <xdr:pic>
      <xdr:nvPicPr>
        <xdr:cNvPr id="3333" name="ID_B817E1AB811244D8B82BC7B728D11702"/>
        <xdr:cNvPicPr>
          <a:picLocks noChangeAspect="1"/>
        </xdr:cNvPicPr>
      </xdr:nvPicPr>
      <xdr:blipFill>
        <a:blip r:link="rId55"/>
        <a:stretch>
          <a:fillRect/>
        </a:stretch>
      </xdr:blipFill>
      <xdr:spPr>
        <a:xfrm>
          <a:off x="4423410" y="-1374541971"/>
          <a:ext cx="4362450" cy="6800850"/>
        </a:xfrm>
        <a:prstGeom prst="rect">
          <a:avLst/>
        </a:prstGeom>
        <a:noFill/>
        <a:ln>
          <a:noFill/>
        </a:ln>
      </xdr:spPr>
    </xdr:pic>
  </etc:cellImage>
  <etc:cellImage>
    <xdr:pic>
      <xdr:nvPicPr>
        <xdr:cNvPr id="3301" name="ID_772591A67D0E4438AB37EE468B7E1DC4"/>
        <xdr:cNvPicPr>
          <a:picLocks noChangeAspect="1"/>
        </xdr:cNvPicPr>
      </xdr:nvPicPr>
      <xdr:blipFill>
        <a:blip r:link="rId56"/>
        <a:stretch>
          <a:fillRect/>
        </a:stretch>
      </xdr:blipFill>
      <xdr:spPr>
        <a:xfrm>
          <a:off x="4423410" y="-1376129471"/>
          <a:ext cx="11430000" cy="15240000"/>
        </a:xfrm>
        <a:prstGeom prst="rect">
          <a:avLst/>
        </a:prstGeom>
        <a:noFill/>
        <a:ln>
          <a:noFill/>
        </a:ln>
      </xdr:spPr>
    </xdr:pic>
  </etc:cellImage>
  <etc:cellImage>
    <xdr:pic>
      <xdr:nvPicPr>
        <xdr:cNvPr id="235" name="ID_72FDABDE3529434D9BFF70A8F4A319E8" descr="core_image_url__exec_download_1467119284"/>
        <xdr:cNvPicPr/>
      </xdr:nvPicPr>
      <xdr:blipFill>
        <a:blip r:link="rId57"/>
        <a:stretch>
          <a:fillRect/>
        </a:stretch>
      </xdr:blipFill>
      <xdr:spPr>
        <a:xfrm>
          <a:off x="0" y="0"/>
          <a:ext cx="7543800" cy="10058400"/>
        </a:xfrm>
        <a:prstGeom prst="rect">
          <a:avLst/>
        </a:prstGeom>
      </xdr:spPr>
    </xdr:pic>
  </etc:cellImage>
  <etc:cellImage>
    <xdr:pic>
      <xdr:nvPicPr>
        <xdr:cNvPr id="211" name="ID_E2EA151EF37844BA96C057C701B207FA" descr="core_image_url__exec_download_4155331838"/>
        <xdr:cNvPicPr/>
      </xdr:nvPicPr>
      <xdr:blipFill>
        <a:blip r:link="rId58"/>
        <a:stretch>
          <a:fillRect/>
        </a:stretch>
      </xdr:blipFill>
      <xdr:spPr>
        <a:xfrm>
          <a:off x="0" y="0"/>
          <a:ext cx="7543800" cy="10058400"/>
        </a:xfrm>
        <a:prstGeom prst="rect">
          <a:avLst/>
        </a:prstGeom>
      </xdr:spPr>
    </xdr:pic>
  </etc:cellImage>
  <etc:cellImage>
    <xdr:pic>
      <xdr:nvPicPr>
        <xdr:cNvPr id="3641" name="ID_0E376FB57C9049DB9A9583B996B7D37C" descr="core_image_url__exec_download_3675959273"/>
        <xdr:cNvPicPr/>
      </xdr:nvPicPr>
      <xdr:blipFill>
        <a:blip r:link="rId59"/>
        <a:stretch>
          <a:fillRect/>
        </a:stretch>
      </xdr:blipFill>
      <xdr:spPr>
        <a:xfrm>
          <a:off x="0" y="0"/>
          <a:ext cx="6486525" cy="6000750"/>
        </a:xfrm>
        <a:prstGeom prst="rect">
          <a:avLst/>
        </a:prstGeom>
      </xdr:spPr>
    </xdr:pic>
  </etc:cellImage>
  <etc:cellImage>
    <xdr:pic>
      <xdr:nvPicPr>
        <xdr:cNvPr id="3549" name="ID_DDFB55C539E0485C9EAF7A75E2C0651F" descr="core_image_url__exec_download_1556233285"/>
        <xdr:cNvPicPr/>
      </xdr:nvPicPr>
      <xdr:blipFill>
        <a:blip r:link="rId60"/>
        <a:stretch>
          <a:fillRect/>
        </a:stretch>
      </xdr:blipFill>
      <xdr:spPr>
        <a:xfrm>
          <a:off x="0" y="0"/>
          <a:ext cx="7143750" cy="5505450"/>
        </a:xfrm>
        <a:prstGeom prst="rect">
          <a:avLst/>
        </a:prstGeom>
      </xdr:spPr>
    </xdr:pic>
  </etc:cellImage>
  <etc:cellImage>
    <xdr:pic>
      <xdr:nvPicPr>
        <xdr:cNvPr id="11355" name="ID_E99860DBF94249AEAC78C28C8C5A120C" descr="core_image_url__exec_download_4062362708"/>
        <xdr:cNvPicPr/>
      </xdr:nvPicPr>
      <xdr:blipFill>
        <a:blip r:link="rId61"/>
        <a:stretch>
          <a:fillRect/>
        </a:stretch>
      </xdr:blipFill>
      <xdr:spPr>
        <a:xfrm>
          <a:off x="0" y="0"/>
          <a:ext cx="5848350" cy="3286125"/>
        </a:xfrm>
        <a:prstGeom prst="rect">
          <a:avLst/>
        </a:prstGeom>
      </xdr:spPr>
    </xdr:pic>
  </etc:cellImage>
  <etc:cellImage>
    <xdr:pic>
      <xdr:nvPicPr>
        <xdr:cNvPr id="11356" name="ID_6BB762CFB1944ADA8C7DA14E8BB60B18" descr="core_image_url__exec_download_3500935060"/>
        <xdr:cNvPicPr/>
      </xdr:nvPicPr>
      <xdr:blipFill>
        <a:blip r:link="rId62"/>
        <a:stretch>
          <a:fillRect/>
        </a:stretch>
      </xdr:blipFill>
      <xdr:spPr>
        <a:xfrm>
          <a:off x="0" y="0"/>
          <a:ext cx="5660390" cy="10058400"/>
        </a:xfrm>
        <a:prstGeom prst="rect">
          <a:avLst/>
        </a:prstGeom>
      </xdr:spPr>
    </xdr:pic>
  </etc:cellImage>
  <etc:cellImage>
    <xdr:pic>
      <xdr:nvPicPr>
        <xdr:cNvPr id="11378" name="ID_D4612AEE91E145179DB430514C337B1A" descr="core_image_url__exec_download_3532459060"/>
        <xdr:cNvPicPr/>
      </xdr:nvPicPr>
      <xdr:blipFill>
        <a:blip r:link="rId63"/>
        <a:stretch>
          <a:fillRect/>
        </a:stretch>
      </xdr:blipFill>
      <xdr:spPr>
        <a:xfrm>
          <a:off x="0" y="0"/>
          <a:ext cx="7505700" cy="3286125"/>
        </a:xfrm>
        <a:prstGeom prst="rect">
          <a:avLst/>
        </a:prstGeom>
      </xdr:spPr>
    </xdr:pic>
  </etc:cellImage>
  <etc:cellImage>
    <xdr:pic>
      <xdr:nvPicPr>
        <xdr:cNvPr id="11379" name="ID_40A367C16CEA4AFCAAF7DC948B949A8B" descr="core_image_url__exec_download_2146510412"/>
        <xdr:cNvPicPr/>
      </xdr:nvPicPr>
      <xdr:blipFill>
        <a:blip r:link="rId64"/>
        <a:stretch>
          <a:fillRect/>
        </a:stretch>
      </xdr:blipFill>
      <xdr:spPr>
        <a:xfrm>
          <a:off x="0" y="0"/>
          <a:ext cx="5660390" cy="10058400"/>
        </a:xfrm>
        <a:prstGeom prst="rect">
          <a:avLst/>
        </a:prstGeom>
      </xdr:spPr>
    </xdr:pic>
  </etc:cellImage>
  <etc:cellImage>
    <xdr:pic>
      <xdr:nvPicPr>
        <xdr:cNvPr id="11380" name="ID_EE91F2562288438993EA519ADA118D74" descr="core_image_url__exec_download_3848127324"/>
        <xdr:cNvPicPr/>
      </xdr:nvPicPr>
      <xdr:blipFill>
        <a:blip r:link="rId65"/>
        <a:stretch>
          <a:fillRect/>
        </a:stretch>
      </xdr:blipFill>
      <xdr:spPr>
        <a:xfrm>
          <a:off x="0" y="0"/>
          <a:ext cx="3400425" cy="2428875"/>
        </a:xfrm>
        <a:prstGeom prst="rect">
          <a:avLst/>
        </a:prstGeom>
      </xdr:spPr>
    </xdr:pic>
  </etc:cellImage>
  <etc:cellImage>
    <xdr:pic>
      <xdr:nvPicPr>
        <xdr:cNvPr id="162" name="ID_95CF092AF6354F5B90A3B85D2900A0BB" descr="core_image_url__exec_download_4014613210"/>
        <xdr:cNvPicPr/>
      </xdr:nvPicPr>
      <xdr:blipFill>
        <a:blip r:link="rId66"/>
        <a:stretch>
          <a:fillRect/>
        </a:stretch>
      </xdr:blipFill>
      <xdr:spPr>
        <a:xfrm>
          <a:off x="0" y="0"/>
          <a:ext cx="5505450" cy="5153025"/>
        </a:xfrm>
        <a:prstGeom prst="rect">
          <a:avLst/>
        </a:prstGeom>
      </xdr:spPr>
    </xdr:pic>
  </etc:cellImage>
  <etc:cellImage>
    <xdr:pic>
      <xdr:nvPicPr>
        <xdr:cNvPr id="3655" name="ID_BDFF7536221F487BB1CBE2CCDC29ABE7" descr="core_image_url__exec_download_2336174148"/>
        <xdr:cNvPicPr/>
      </xdr:nvPicPr>
      <xdr:blipFill>
        <a:blip r:link="rId67"/>
        <a:stretch>
          <a:fillRect/>
        </a:stretch>
      </xdr:blipFill>
      <xdr:spPr>
        <a:xfrm>
          <a:off x="0" y="0"/>
          <a:ext cx="5819775" cy="6115050"/>
        </a:xfrm>
        <a:prstGeom prst="rect">
          <a:avLst/>
        </a:prstGeom>
      </xdr:spPr>
    </xdr:pic>
  </etc:cellImage>
  <etc:cellImage>
    <xdr:pic>
      <xdr:nvPicPr>
        <xdr:cNvPr id="3321" name="ID_538AAC7817464E6AA436B94D24DB2E26" descr="core_image_url__exec_download_2342982544"/>
        <xdr:cNvPicPr/>
      </xdr:nvPicPr>
      <xdr:blipFill>
        <a:blip r:link="rId68"/>
        <a:stretch>
          <a:fillRect/>
        </a:stretch>
      </xdr:blipFill>
      <xdr:spPr>
        <a:xfrm>
          <a:off x="0" y="0"/>
          <a:ext cx="3771900" cy="3619500"/>
        </a:xfrm>
        <a:prstGeom prst="rect">
          <a:avLst/>
        </a:prstGeom>
      </xdr:spPr>
    </xdr:pic>
  </etc:cellImage>
  <etc:cellImage>
    <xdr:pic>
      <xdr:nvPicPr>
        <xdr:cNvPr id="3820" name="ID_8BBDADBCF9B04E6FA8DAD22FB8E935BD" descr="core_image_url__exec_download_868038000"/>
        <xdr:cNvPicPr/>
      </xdr:nvPicPr>
      <xdr:blipFill>
        <a:blip r:link="rId69"/>
        <a:stretch>
          <a:fillRect/>
        </a:stretch>
      </xdr:blipFill>
      <xdr:spPr>
        <a:xfrm>
          <a:off x="0" y="0"/>
          <a:ext cx="2924175" cy="3181350"/>
        </a:xfrm>
        <a:prstGeom prst="rect">
          <a:avLst/>
        </a:prstGeom>
      </xdr:spPr>
    </xdr:pic>
  </etc:cellImage>
  <etc:cellImage>
    <xdr:pic>
      <xdr:nvPicPr>
        <xdr:cNvPr id="3815" name="ID_50660AAA265A41749499C9B382D5A617" descr="core_image_url__exec_download_540853559"/>
        <xdr:cNvPicPr/>
      </xdr:nvPicPr>
      <xdr:blipFill>
        <a:blip r:link="rId70"/>
        <a:stretch>
          <a:fillRect/>
        </a:stretch>
      </xdr:blipFill>
      <xdr:spPr>
        <a:xfrm>
          <a:off x="0" y="0"/>
          <a:ext cx="7543800" cy="10058400"/>
        </a:xfrm>
        <a:prstGeom prst="rect">
          <a:avLst/>
        </a:prstGeom>
      </xdr:spPr>
    </xdr:pic>
  </etc:cellImage>
  <etc:cellImage>
    <xdr:pic>
      <xdr:nvPicPr>
        <xdr:cNvPr id="3817" name="ID_E0DB5B8A9AEC4C40AF33D88443253694" descr="core_image_url__exec_download_3953108376"/>
        <xdr:cNvPicPr/>
      </xdr:nvPicPr>
      <xdr:blipFill>
        <a:blip r:link="rId71"/>
        <a:stretch>
          <a:fillRect/>
        </a:stretch>
      </xdr:blipFill>
      <xdr:spPr>
        <a:xfrm>
          <a:off x="0" y="0"/>
          <a:ext cx="7543800" cy="10057765"/>
        </a:xfrm>
        <a:prstGeom prst="rect">
          <a:avLst/>
        </a:prstGeom>
      </xdr:spPr>
    </xdr:pic>
  </etc:cellImage>
  <etc:cellImage>
    <xdr:pic>
      <xdr:nvPicPr>
        <xdr:cNvPr id="3808" name="ID_DD794363D77F483ABDFADBBFAA669195" descr="core_image_url__exec_download_342344272"/>
        <xdr:cNvPicPr/>
      </xdr:nvPicPr>
      <xdr:blipFill>
        <a:blip r:link="rId72"/>
        <a:stretch>
          <a:fillRect/>
        </a:stretch>
      </xdr:blipFill>
      <xdr:spPr>
        <a:xfrm>
          <a:off x="0" y="0"/>
          <a:ext cx="6858000" cy="6858000"/>
        </a:xfrm>
        <a:prstGeom prst="rect">
          <a:avLst/>
        </a:prstGeom>
      </xdr:spPr>
    </xdr:pic>
  </etc:cellImage>
</etc:cellImages>
</file>

<file path=xl/comments1.xml><?xml version="1.0" encoding="utf-8"?>
<comments xmlns="http://schemas.openxmlformats.org/spreadsheetml/2006/main">
  <authors>
    <author>Unknown User</author>
  </authors>
  <commentList>
    <comment ref="A1" authorId="0">
      <text>
        <r>
          <rPr>
            <b/>
            <sz val="9"/>
            <rFont val="宋体"/>
            <charset val="134"/>
          </rPr>
          <t>Adeline:</t>
        </r>
        <r>
          <rPr>
            <sz val="9"/>
            <rFont val="宋体"/>
            <charset val="134"/>
          </rPr>
          <t xml:space="preserve">
产品类型Product type Type code
化妆品Cosmetic：L01
普通件Gernal good：G01
带电electric product：E01
服装Clothes：C01
报价产品：QU01
</t>
        </r>
        <r>
          <rPr>
            <b/>
            <sz val="9"/>
            <rFont val="宋体"/>
            <charset val="134"/>
          </rPr>
          <t xml:space="preserve">
Adeline:</t>
        </r>
        <r>
          <rPr>
            <sz val="9"/>
            <rFont val="宋体"/>
            <charset val="134"/>
          </rPr>
          <t xml:space="preserve">
举例：C0101S代表服饰红色小码:C0101S
代表第一件化妆品的某容量: L0101
代表第一个普通货: G0101
代表第一个带电产品: E0101</t>
        </r>
        <r>
          <rPr>
            <b/>
            <sz val="9"/>
            <rFont val="宋体"/>
            <charset val="134"/>
          </rPr>
          <t xml:space="preserve">
Adeline:</t>
        </r>
        <r>
          <rPr>
            <sz val="9"/>
            <rFont val="宋体"/>
            <charset val="134"/>
          </rPr>
          <t xml:space="preserve">
1、服装-C
2、普货-G
3、化妆品/液体/粉末-L
4、带电-E</t>
        </r>
        <r>
          <rPr>
            <b/>
            <sz val="9"/>
            <rFont val="宋体"/>
            <charset val="134"/>
          </rPr>
          <t xml:space="preserve">
Adeline:</t>
        </r>
        <r>
          <rPr>
            <sz val="9"/>
            <rFont val="宋体"/>
            <charset val="134"/>
          </rPr>
          <t xml:space="preserve">
1、红色
2、橙色
3、黄色
4、绿色
5、黑色
6、蓝色
7、灰色
8、紫色
9、粉色
10、浅黄色
11、肉色
12、玫红色
13、花色
14、卡其色
15、棕色
16、深棕色</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<sst xmlns="http://schemas.openxmlformats.org/spreadsheetml/2006/main" count="8856" uniqueCount="2431">
  <si>
    <t>产品编码 (Product Original RMB Cost)</t>
  </si>
  <si>
    <t>G00701-JA</t>
  </si>
  <si>
    <t>利润（Profit）</t>
  </si>
  <si>
    <t>计算数量Quantity</t>
  </si>
  <si>
    <t>本期安全汇率 (Current safe exchange rate)</t>
  </si>
  <si>
    <t>Shipping Category运费参考表</t>
  </si>
  <si>
    <t>顺邮宝挂号</t>
  </si>
  <si>
    <t>国家/地区Country</t>
  </si>
  <si>
    <t>缩写Country abbreviation</t>
  </si>
  <si>
    <t>1PCS美元总报价 (USD Quoation Price)</t>
  </si>
  <si>
    <t>2PCS美元总报价 (USD Quoation Price)</t>
  </si>
  <si>
    <t>3PCS美元总报价 (USD Quoation Price)</t>
  </si>
  <si>
    <t>1PCS总运费(USD) (Total Freight)</t>
  </si>
  <si>
    <t>2PCS总运费(USD) (Total Freight)</t>
  </si>
  <si>
    <t>3PCS总运费(USD) (Total Freight)</t>
  </si>
  <si>
    <t>1PCS产品成本（美金）(Product Original Cost USD)</t>
  </si>
  <si>
    <t>2PCS产品成本（美金）(Product Original Cost USD)</t>
  </si>
  <si>
    <t>3PCS产品成本（美金）(Product Original Cost USD)</t>
  </si>
  <si>
    <t>1pcs产品总重量 (Total Product Weight) (KG)</t>
  </si>
  <si>
    <t>2pcs产品总重量 (Total Product Weight) (KG)</t>
  </si>
  <si>
    <t>3pcs产品总重量 (Total Product Weight) (KG)</t>
  </si>
  <si>
    <t>1PCS总运费(RMB)(Total Freight)</t>
  </si>
  <si>
    <t>2PCS总运费(RMB)(Total Freight)</t>
  </si>
  <si>
    <t>3PCS总运费(RMB)(Total Freight)</t>
  </si>
  <si>
    <t>美国</t>
  </si>
  <si>
    <t>US</t>
  </si>
  <si>
    <t>英国</t>
  </si>
  <si>
    <t>UK/GB</t>
  </si>
  <si>
    <t>法国</t>
  </si>
  <si>
    <t>FR</t>
  </si>
  <si>
    <t>奥地利</t>
  </si>
  <si>
    <t>AT</t>
  </si>
  <si>
    <t>意大利</t>
  </si>
  <si>
    <t>IT</t>
  </si>
  <si>
    <t>西班牙</t>
  </si>
  <si>
    <t>ES</t>
  </si>
  <si>
    <t>比利时</t>
  </si>
  <si>
    <t>BE</t>
  </si>
  <si>
    <t>瑞士</t>
  </si>
  <si>
    <t>CH</t>
  </si>
  <si>
    <t>卢森堡</t>
  </si>
  <si>
    <t>LU</t>
  </si>
  <si>
    <t>爱尔兰</t>
  </si>
  <si>
    <t>IE</t>
  </si>
  <si>
    <t>保加利亚</t>
  </si>
  <si>
    <t>BG</t>
  </si>
  <si>
    <t>克罗地亚</t>
  </si>
  <si>
    <t>CRO</t>
  </si>
  <si>
    <t>捷克</t>
  </si>
  <si>
    <t>CZ</t>
  </si>
  <si>
    <t>爱沙尼亚</t>
  </si>
  <si>
    <t>EE</t>
  </si>
  <si>
    <t>芬兰</t>
  </si>
  <si>
    <t>FI</t>
  </si>
  <si>
    <t>匈牙利</t>
  </si>
  <si>
    <t>HU</t>
  </si>
  <si>
    <t>拉脱维亚</t>
  </si>
  <si>
    <t>LV</t>
  </si>
  <si>
    <t>立陶宛</t>
  </si>
  <si>
    <t>LT</t>
  </si>
  <si>
    <t>波兰</t>
  </si>
  <si>
    <t>PL</t>
  </si>
  <si>
    <t>葡萄牙</t>
  </si>
  <si>
    <t>PT</t>
  </si>
  <si>
    <t>罗马尼亚</t>
  </si>
  <si>
    <t>RO</t>
  </si>
  <si>
    <t>斯洛伐克</t>
  </si>
  <si>
    <t>SK</t>
  </si>
  <si>
    <t>斯洛文尼亚</t>
  </si>
  <si>
    <t>SI</t>
  </si>
  <si>
    <t>瑞典</t>
  </si>
  <si>
    <t>SE/SW</t>
  </si>
  <si>
    <t>德国</t>
  </si>
  <si>
    <t>DE</t>
  </si>
  <si>
    <t>丹麦</t>
  </si>
  <si>
    <t>DK</t>
  </si>
  <si>
    <t>希腊</t>
  </si>
  <si>
    <t>GR</t>
  </si>
  <si>
    <t>加拿大</t>
  </si>
  <si>
    <t>CA</t>
  </si>
  <si>
    <t>挪威</t>
  </si>
  <si>
    <t>NO</t>
  </si>
  <si>
    <t>以色列</t>
  </si>
  <si>
    <t>IL</t>
  </si>
  <si>
    <t>新西兰</t>
  </si>
  <si>
    <t>NZ</t>
  </si>
  <si>
    <t>阿拉伯联合酋长国</t>
  </si>
  <si>
    <t>UAE</t>
  </si>
  <si>
    <t>泰国</t>
  </si>
  <si>
    <t>THA</t>
  </si>
  <si>
    <t>日本</t>
  </si>
  <si>
    <t>JP</t>
  </si>
  <si>
    <t>荷兰</t>
  </si>
  <si>
    <t>NL</t>
  </si>
  <si>
    <t>墨西哥</t>
  </si>
  <si>
    <t>MX</t>
  </si>
  <si>
    <t>沙特阿拉伯</t>
  </si>
  <si>
    <t>SA</t>
  </si>
  <si>
    <t>科威特</t>
  </si>
  <si>
    <t>KW</t>
  </si>
  <si>
    <t>卡塔尔</t>
  </si>
  <si>
    <t>QA</t>
  </si>
  <si>
    <t>巴林</t>
  </si>
  <si>
    <t>BH</t>
  </si>
  <si>
    <t>新加坡</t>
  </si>
  <si>
    <t>SG</t>
  </si>
  <si>
    <t>澳大利亚</t>
  </si>
  <si>
    <t>AU</t>
  </si>
  <si>
    <t>塞浦路斯</t>
  </si>
  <si>
    <t>CY</t>
  </si>
  <si>
    <t>格鲁吉亚</t>
  </si>
  <si>
    <t>GE</t>
  </si>
  <si>
    <t>阿曼苏丹国</t>
  </si>
  <si>
    <t>OM/QA</t>
  </si>
  <si>
    <t>莫桑比克</t>
  </si>
  <si>
    <t>MZ</t>
  </si>
  <si>
    <t>法罗群岛</t>
  </si>
  <si>
    <t>FO</t>
  </si>
  <si>
    <t>毛里求斯</t>
  </si>
  <si>
    <t>MU</t>
  </si>
  <si>
    <t>斯里兰卡</t>
  </si>
  <si>
    <t>LK</t>
  </si>
  <si>
    <t>秘鲁</t>
  </si>
  <si>
    <t>PE</t>
  </si>
  <si>
    <t>缅甸</t>
  </si>
  <si>
    <t>MM</t>
  </si>
  <si>
    <t>索马里</t>
  </si>
  <si>
    <t>SO</t>
  </si>
  <si>
    <t>摩洛哥</t>
  </si>
  <si>
    <t>MA</t>
  </si>
  <si>
    <t>哥斯达黎加</t>
  </si>
  <si>
    <t>CR</t>
  </si>
  <si>
    <t>菲律宾</t>
  </si>
  <si>
    <t>PH</t>
  </si>
  <si>
    <t>马来西亚</t>
  </si>
  <si>
    <t>MY</t>
  </si>
  <si>
    <t>巴基斯坦</t>
  </si>
  <si>
    <t>PK</t>
  </si>
  <si>
    <t>南非</t>
  </si>
  <si>
    <t>ZA</t>
  </si>
  <si>
    <t>伯利兹</t>
  </si>
  <si>
    <t>BZ</t>
  </si>
  <si>
    <t>马耳他</t>
  </si>
  <si>
    <t>MAL</t>
  </si>
  <si>
    <t>约旦</t>
  </si>
  <si>
    <t>JO</t>
  </si>
  <si>
    <t>黎巴嫩</t>
  </si>
  <si>
    <t>IB</t>
  </si>
  <si>
    <t>土耳其</t>
  </si>
  <si>
    <t>TR</t>
  </si>
  <si>
    <t>巴西</t>
  </si>
  <si>
    <t>BR</t>
  </si>
  <si>
    <t>韩国</t>
  </si>
  <si>
    <t>KR</t>
  </si>
  <si>
    <t>尼日利亚</t>
  </si>
  <si>
    <t>NG</t>
  </si>
  <si>
    <t>加纳</t>
  </si>
  <si>
    <t>GHA</t>
  </si>
  <si>
    <t>乌干达</t>
  </si>
  <si>
    <t>uga</t>
  </si>
  <si>
    <t>肯尼亚</t>
  </si>
  <si>
    <t>KE</t>
  </si>
  <si>
    <t>坦桑尼亚</t>
  </si>
  <si>
    <t>TZ</t>
  </si>
  <si>
    <t>卢旺达</t>
  </si>
  <si>
    <t>RWA</t>
  </si>
  <si>
    <t>安哥拉</t>
  </si>
  <si>
    <t>AN</t>
  </si>
  <si>
    <t>埃及</t>
  </si>
  <si>
    <t>EG</t>
  </si>
  <si>
    <t>越南</t>
  </si>
  <si>
    <t>VN</t>
  </si>
  <si>
    <t>智利</t>
  </si>
  <si>
    <t>CL</t>
  </si>
  <si>
    <t>哥伦比亚</t>
  </si>
  <si>
    <t>CO</t>
  </si>
  <si>
    <t>中国台湾</t>
  </si>
  <si>
    <t>TW</t>
  </si>
  <si>
    <t>中国香港</t>
  </si>
  <si>
    <t>HK</t>
  </si>
  <si>
    <t>印度</t>
  </si>
  <si>
    <t>IN</t>
  </si>
  <si>
    <t>乌克兰</t>
  </si>
  <si>
    <t>UA</t>
  </si>
  <si>
    <t>波多黎各</t>
  </si>
  <si>
    <t>PR</t>
  </si>
  <si>
    <t>阿曼</t>
  </si>
  <si>
    <t>阿联酋</t>
  </si>
  <si>
    <t>哈萨克斯坦</t>
  </si>
  <si>
    <t>KZ</t>
  </si>
  <si>
    <t>印度尼西亚</t>
  </si>
  <si>
    <t>ID</t>
  </si>
  <si>
    <t>阿尔巴尼亚</t>
  </si>
  <si>
    <t>AL</t>
  </si>
  <si>
    <t>阿尔及利亚</t>
  </si>
  <si>
    <t>DZ</t>
  </si>
  <si>
    <t>阿根廷</t>
  </si>
  <si>
    <t>AR</t>
  </si>
  <si>
    <t>阿塞拜疆</t>
  </si>
  <si>
    <t>AZ</t>
  </si>
  <si>
    <t>巴哈马</t>
  </si>
  <si>
    <t>BS</t>
  </si>
  <si>
    <t>孟加拉国</t>
  </si>
  <si>
    <t>BD</t>
  </si>
  <si>
    <t>不丹</t>
  </si>
  <si>
    <t>BT</t>
  </si>
  <si>
    <t>博茨瓦纳</t>
  </si>
  <si>
    <t>BW</t>
  </si>
  <si>
    <t>文莱</t>
  </si>
  <si>
    <t>BN</t>
  </si>
  <si>
    <t>布隆迪</t>
  </si>
  <si>
    <t>BI</t>
  </si>
  <si>
    <t>柬埔寨</t>
  </si>
  <si>
    <t>KH</t>
  </si>
  <si>
    <t>科特迪瓦</t>
  </si>
  <si>
    <t>CI</t>
  </si>
  <si>
    <t>厄瓜多尔</t>
  </si>
  <si>
    <t>EC</t>
  </si>
  <si>
    <t>萨尔瓦多</t>
  </si>
  <si>
    <t>SV</t>
  </si>
  <si>
    <t>埃塞俄比亚</t>
  </si>
  <si>
    <t>ET</t>
  </si>
  <si>
    <t>格林纳达</t>
  </si>
  <si>
    <t>GD</t>
  </si>
  <si>
    <t>危地马拉</t>
  </si>
  <si>
    <t>GT</t>
  </si>
  <si>
    <t>几内亚</t>
  </si>
  <si>
    <t>GN</t>
  </si>
  <si>
    <t>海地</t>
  </si>
  <si>
    <t>HT</t>
  </si>
  <si>
    <t>冰岛</t>
  </si>
  <si>
    <t>IS</t>
  </si>
  <si>
    <t>伊朗</t>
  </si>
  <si>
    <t>IR</t>
  </si>
  <si>
    <t>伊拉克</t>
  </si>
  <si>
    <t>IQ</t>
  </si>
  <si>
    <t>吉尔吉斯斯坦</t>
  </si>
  <si>
    <t>KG</t>
  </si>
  <si>
    <t>老挝</t>
  </si>
  <si>
    <t>LA</t>
  </si>
  <si>
    <t>马达加斯加</t>
  </si>
  <si>
    <t>MG</t>
  </si>
  <si>
    <t>马尔代夫</t>
  </si>
  <si>
    <t>MV</t>
  </si>
  <si>
    <t>马里</t>
  </si>
  <si>
    <t>ML</t>
  </si>
  <si>
    <t>毛里塔尼亚</t>
  </si>
  <si>
    <t>MR</t>
  </si>
  <si>
    <t>摩尔多瓦</t>
  </si>
  <si>
    <t>MD</t>
  </si>
  <si>
    <t>蒙古</t>
  </si>
  <si>
    <t>MN</t>
  </si>
  <si>
    <t>尼泊尔</t>
  </si>
  <si>
    <t>NP</t>
  </si>
  <si>
    <t>尼日尔</t>
  </si>
  <si>
    <t>NE</t>
  </si>
  <si>
    <t>巴拿马</t>
  </si>
  <si>
    <t>PA</t>
  </si>
  <si>
    <t>圣卢西亚</t>
  </si>
  <si>
    <t>LC</t>
  </si>
  <si>
    <t>圣文森特和格林纳丁斯</t>
  </si>
  <si>
    <t>VC</t>
  </si>
  <si>
    <t>美属萨摩亚</t>
  </si>
  <si>
    <t>AS</t>
  </si>
  <si>
    <t>塞内加尔</t>
  </si>
  <si>
    <t>SN</t>
  </si>
  <si>
    <t>塞尔维亚</t>
  </si>
  <si>
    <t>RS</t>
  </si>
  <si>
    <t>塔吉克斯坦</t>
  </si>
  <si>
    <t>TJ</t>
  </si>
  <si>
    <t>汤加</t>
  </si>
  <si>
    <t>TO</t>
  </si>
  <si>
    <t>突尼斯</t>
  </si>
  <si>
    <t>TN</t>
  </si>
  <si>
    <t>土库曼斯坦</t>
  </si>
  <si>
    <t>TM</t>
  </si>
  <si>
    <t>特克斯和凯科斯群岛</t>
  </si>
  <si>
    <t>TC</t>
  </si>
  <si>
    <t>图瓦卢</t>
  </si>
  <si>
    <t>TV</t>
  </si>
  <si>
    <t>乌拉圭</t>
  </si>
  <si>
    <t>UY</t>
  </si>
  <si>
    <t>乌兹别克斯坦</t>
  </si>
  <si>
    <t>UZ</t>
  </si>
  <si>
    <t>赞比亚</t>
  </si>
  <si>
    <t>ZM</t>
  </si>
  <si>
    <t>津巴布韦</t>
  </si>
  <si>
    <t>ZW</t>
  </si>
  <si>
    <t>留尼汪</t>
  </si>
  <si>
    <t>RE</t>
  </si>
  <si>
    <t>安提瓜和巴布达</t>
  </si>
  <si>
    <t>AG</t>
  </si>
  <si>
    <t>安圭拉</t>
  </si>
  <si>
    <t>AI</t>
  </si>
  <si>
    <t>波黑</t>
  </si>
  <si>
    <t>BA</t>
  </si>
  <si>
    <t>库拉索岛</t>
  </si>
  <si>
    <t>CW</t>
  </si>
  <si>
    <t>厄立特里亚</t>
  </si>
  <si>
    <t>ER</t>
  </si>
  <si>
    <t>法属圭亚那</t>
  </si>
  <si>
    <t>GF</t>
  </si>
  <si>
    <t>冈比亚</t>
  </si>
  <si>
    <t>GM</t>
  </si>
  <si>
    <t>几内亚比绍</t>
  </si>
  <si>
    <t>GW</t>
  </si>
  <si>
    <t>圭亚那</t>
  </si>
  <si>
    <t>GY</t>
  </si>
  <si>
    <t>泽西岛</t>
  </si>
  <si>
    <t>JE</t>
  </si>
  <si>
    <t>科摩罗</t>
  </si>
  <si>
    <t>KM</t>
  </si>
  <si>
    <t>黑山</t>
  </si>
  <si>
    <t>ME</t>
  </si>
  <si>
    <t>马其顿</t>
  </si>
  <si>
    <t>MK</t>
  </si>
  <si>
    <t>马拉维</t>
  </si>
  <si>
    <t>MW</t>
  </si>
  <si>
    <t>巴布亚新几内亚</t>
  </si>
  <si>
    <t>PG</t>
  </si>
  <si>
    <t>南苏丹</t>
  </si>
  <si>
    <t>SS</t>
  </si>
  <si>
    <t>阿鲁巴</t>
  </si>
  <si>
    <t>AW</t>
  </si>
  <si>
    <t>布基纳法索</t>
  </si>
  <si>
    <t>BF</t>
  </si>
  <si>
    <t>贝宁</t>
  </si>
  <si>
    <t>BJ</t>
  </si>
  <si>
    <t>刚果（金）</t>
  </si>
  <si>
    <t>CD</t>
  </si>
  <si>
    <t>刚果（布）</t>
  </si>
  <si>
    <t>CG</t>
  </si>
  <si>
    <t>库克群岛</t>
  </si>
  <si>
    <t>CK</t>
  </si>
  <si>
    <t>喀麦隆</t>
  </si>
  <si>
    <t>CM</t>
  </si>
  <si>
    <t>古巴</t>
  </si>
  <si>
    <t>CU</t>
  </si>
  <si>
    <t>吉布提</t>
  </si>
  <si>
    <t>DJ</t>
  </si>
  <si>
    <t>多米尼克</t>
  </si>
  <si>
    <t>DM</t>
  </si>
  <si>
    <t>加蓬</t>
  </si>
  <si>
    <t>GA</t>
  </si>
  <si>
    <t>直布罗陀</t>
  </si>
  <si>
    <t>GI</t>
  </si>
  <si>
    <t>格陵兰</t>
  </si>
  <si>
    <t>GL</t>
  </si>
  <si>
    <t>赤道几内亚</t>
  </si>
  <si>
    <t>GQ</t>
  </si>
  <si>
    <t>马恩岛</t>
  </si>
  <si>
    <t>IM</t>
  </si>
  <si>
    <t>基里巴斯</t>
  </si>
  <si>
    <t>KI</t>
  </si>
  <si>
    <t>圣基茨和尼维斯</t>
  </si>
  <si>
    <t>KN</t>
  </si>
  <si>
    <t>纳米比亚</t>
  </si>
  <si>
    <t>NA</t>
  </si>
  <si>
    <t>瑙鲁</t>
  </si>
  <si>
    <t>NR</t>
  </si>
  <si>
    <t>法属波利尼西亚</t>
  </si>
  <si>
    <t>PF</t>
  </si>
  <si>
    <t>塞舌尔</t>
  </si>
  <si>
    <t>SC</t>
  </si>
  <si>
    <t>苏丹</t>
  </si>
  <si>
    <t>SD</t>
  </si>
  <si>
    <t>塞拉利昂</t>
  </si>
  <si>
    <t>SL</t>
  </si>
  <si>
    <t>苏里南</t>
  </si>
  <si>
    <t>SR</t>
  </si>
  <si>
    <t>圣多美和普林西比</t>
  </si>
  <si>
    <t>ST</t>
  </si>
  <si>
    <t>乍得</t>
  </si>
  <si>
    <t>TD</t>
  </si>
  <si>
    <t>多哥</t>
  </si>
  <si>
    <t>TG</t>
  </si>
  <si>
    <t>东帝汶</t>
  </si>
  <si>
    <t>TL</t>
  </si>
  <si>
    <t>萨摩亚</t>
  </si>
  <si>
    <t>WS</t>
  </si>
  <si>
    <t>阿富汗</t>
  </si>
  <si>
    <t>AF</t>
  </si>
  <si>
    <t>亚美尼亚</t>
  </si>
  <si>
    <t>AM</t>
  </si>
  <si>
    <t>巴巴多斯</t>
  </si>
  <si>
    <t>BB</t>
  </si>
  <si>
    <t>白俄罗斯</t>
  </si>
  <si>
    <t>BY</t>
  </si>
  <si>
    <t>百慕大</t>
  </si>
  <si>
    <t>BM</t>
  </si>
  <si>
    <t>玻利维亚</t>
  </si>
  <si>
    <t>BO</t>
  </si>
  <si>
    <t>佛得角</t>
  </si>
  <si>
    <t>CV</t>
  </si>
  <si>
    <t>荷兰加勒比区</t>
  </si>
  <si>
    <t>BQ</t>
  </si>
  <si>
    <t>开曼群岛</t>
  </si>
  <si>
    <t>KY</t>
  </si>
  <si>
    <t>中非</t>
  </si>
  <si>
    <t>CF</t>
  </si>
  <si>
    <t>朝鲜</t>
  </si>
  <si>
    <t>KP</t>
  </si>
  <si>
    <t>多米尼加共和国</t>
  </si>
  <si>
    <t>DO</t>
  </si>
  <si>
    <t>福克兰群岛</t>
  </si>
  <si>
    <t>FK</t>
  </si>
  <si>
    <t>洪都拉斯</t>
  </si>
  <si>
    <t>HN</t>
  </si>
  <si>
    <t>牙买加</t>
  </si>
  <si>
    <t>JM</t>
  </si>
  <si>
    <t>莱索托</t>
  </si>
  <si>
    <t>LS</t>
  </si>
  <si>
    <t>利比里亚</t>
  </si>
  <si>
    <t>LR</t>
  </si>
  <si>
    <t>列支敦士登</t>
  </si>
  <si>
    <t>LI</t>
  </si>
  <si>
    <t>摩纳哥</t>
  </si>
  <si>
    <t>MC</t>
  </si>
  <si>
    <t>新喀里多尼亚</t>
  </si>
  <si>
    <t>NC</t>
  </si>
  <si>
    <t>尼加拉瓜</t>
  </si>
  <si>
    <t>NI</t>
  </si>
  <si>
    <t>巴勒斯坦</t>
  </si>
  <si>
    <t>PS</t>
  </si>
  <si>
    <t>巴拉圭</t>
  </si>
  <si>
    <t>PY</t>
  </si>
  <si>
    <t>圣马力诺</t>
  </si>
  <si>
    <t>SM</t>
  </si>
  <si>
    <t>圣马丁</t>
  </si>
  <si>
    <t>MF</t>
  </si>
  <si>
    <t>利比亚</t>
  </si>
  <si>
    <t>LY</t>
  </si>
  <si>
    <t>托克劳</t>
  </si>
  <si>
    <t>TK</t>
  </si>
  <si>
    <t>特立尼达和多巴哥</t>
  </si>
  <si>
    <t>TT</t>
  </si>
  <si>
    <t>瓦努阿图</t>
  </si>
  <si>
    <t>VU</t>
  </si>
  <si>
    <t>委内瑞拉</t>
  </si>
  <si>
    <t>VE</t>
  </si>
  <si>
    <t>瓦利斯和富图纳</t>
  </si>
  <si>
    <t>WF</t>
  </si>
  <si>
    <t>安道尔</t>
  </si>
  <si>
    <t>AD</t>
  </si>
  <si>
    <t>北马里亚纳群岛</t>
  </si>
  <si>
    <t>MP</t>
  </si>
  <si>
    <t>马绍尔群岛</t>
  </si>
  <si>
    <t>MH</t>
  </si>
  <si>
    <t>马提尼克</t>
  </si>
  <si>
    <t>MQ</t>
  </si>
  <si>
    <t>圣皮埃尔和密克隆</t>
  </si>
  <si>
    <t>PM</t>
  </si>
  <si>
    <t>美属维尔京群岛</t>
  </si>
  <si>
    <t>VI</t>
  </si>
  <si>
    <t>格恩西岛</t>
  </si>
  <si>
    <t>GG</t>
  </si>
  <si>
    <t>俄罗斯</t>
  </si>
  <si>
    <t>RU</t>
  </si>
  <si>
    <t>产品名字（Product name）</t>
  </si>
  <si>
    <t>产品编码Product type</t>
  </si>
  <si>
    <r>
      <rPr>
        <sz val="11"/>
        <color theme="1"/>
        <rFont val="宋体"/>
        <charset val="134"/>
      </rPr>
      <t>产品图片</t>
    </r>
    <r>
      <rPr>
        <sz val="11"/>
        <color theme="1"/>
        <rFont val="Arial"/>
        <charset val="134"/>
      </rPr>
      <t>Product image</t>
    </r>
  </si>
  <si>
    <t>计算重量Calculate weight</t>
  </si>
  <si>
    <t>unit weight单个重量KG</t>
  </si>
  <si>
    <t>材积重Volume weight</t>
  </si>
  <si>
    <t>包装尺寸Size</t>
  </si>
  <si>
    <t>产品尺寸</t>
  </si>
  <si>
    <t>unit price商品价格</t>
  </si>
  <si>
    <t>shipping fee to warehouse报价运费</t>
  </si>
  <si>
    <t>Real shipping cost真实运费</t>
  </si>
  <si>
    <t>Client name客户名称</t>
  </si>
  <si>
    <t>报价产品参考链接Quote product reference link</t>
  </si>
  <si>
    <r>
      <rPr>
        <sz val="11"/>
        <color theme="1"/>
        <rFont val="宋体"/>
        <charset val="134"/>
      </rPr>
      <t>颜色</t>
    </r>
    <r>
      <rPr>
        <sz val="11"/>
        <color theme="1"/>
        <rFont val="Arial"/>
        <charset val="134"/>
      </rPr>
      <t>color</t>
    </r>
  </si>
  <si>
    <r>
      <rPr>
        <sz val="11"/>
        <color theme="1"/>
        <rFont val="宋体"/>
        <charset val="134"/>
      </rPr>
      <t>英文标题</t>
    </r>
    <r>
      <rPr>
        <sz val="11"/>
        <color theme="1"/>
        <rFont val="Arial"/>
        <charset val="134"/>
      </rPr>
      <t>English title</t>
    </r>
  </si>
  <si>
    <r>
      <rPr>
        <sz val="11"/>
        <color theme="1"/>
        <rFont val="Arial"/>
        <charset val="134"/>
      </rPr>
      <t>1688link</t>
    </r>
    <r>
      <rPr>
        <sz val="11"/>
        <color theme="1"/>
        <rFont val="宋体"/>
        <charset val="134"/>
      </rPr>
      <t>链接</t>
    </r>
  </si>
  <si>
    <t>报价员</t>
  </si>
  <si>
    <t>是否在售</t>
  </si>
  <si>
    <t>Electric Guasha Scraping Massage Tool</t>
  </si>
  <si>
    <t>EQU0530001A</t>
  </si>
  <si>
    <t>72.5*19*44cm</t>
  </si>
  <si>
    <t>13*12cm</t>
  </si>
  <si>
    <t>下单后2天左右发货</t>
  </si>
  <si>
    <t>https://detail.1688.com/offer/667310265863.html?spm=a26352.b28411319.offerlist.16.1e291e62ZadNuJ</t>
  </si>
  <si>
    <t>EQU0530002A</t>
  </si>
  <si>
    <t>EQU0530001B</t>
  </si>
  <si>
    <t>捆绑价格</t>
  </si>
  <si>
    <t>17*17*11cm</t>
  </si>
  <si>
    <t>EQU0530002B</t>
  </si>
  <si>
    <t>1+A</t>
  </si>
  <si>
    <t>EQU0530001C</t>
  </si>
  <si>
    <t>1+2A</t>
  </si>
  <si>
    <t>26*18*15</t>
  </si>
  <si>
    <t>EQU0530002C</t>
  </si>
  <si>
    <t>EQU0530001D</t>
  </si>
  <si>
    <t>EQU0530002D</t>
  </si>
  <si>
    <t>E001</t>
  </si>
  <si>
    <t>1+1纸箱</t>
  </si>
  <si>
    <t>16*26*18</t>
  </si>
  <si>
    <t>ZK001</t>
  </si>
  <si>
    <t>折扣</t>
  </si>
  <si>
    <t>E002</t>
  </si>
  <si>
    <t>1+2纸箱</t>
  </si>
  <si>
    <t>ZK002</t>
  </si>
  <si>
    <t>E003</t>
  </si>
  <si>
    <t>1+1气泡袋</t>
  </si>
  <si>
    <t>ZK003</t>
  </si>
  <si>
    <t>ZK004</t>
  </si>
  <si>
    <t>E004</t>
  </si>
  <si>
    <t>1+2气泡袋</t>
  </si>
  <si>
    <t>ZK005</t>
  </si>
  <si>
    <t>ZK006</t>
  </si>
  <si>
    <t>E005</t>
  </si>
  <si>
    <t>1+1塑料袋</t>
  </si>
  <si>
    <t>E006</t>
  </si>
  <si>
    <t>1+2塑料袋</t>
  </si>
  <si>
    <t>Oil of Oregano</t>
  </si>
  <si>
    <t>相似款</t>
  </si>
  <si>
    <t>高19.5宽13.5cm</t>
  </si>
  <si>
    <t>https://resilia.shop/collections/best-sellers/products/resilia%E2%84%A2-oil-of-oregano-softgels</t>
  </si>
  <si>
    <t>https://detail.1688.com/offer/910982119982.html?spm=a26352.b28411319.offerlist.1.6b2d1e62zrDVua</t>
  </si>
  <si>
    <t>牛至油180粒，牛至油300粒，有两种</t>
  </si>
  <si>
    <t>SafeMag™ | 
Auto-Telefonhalterung 
[Letzter Tag Rabatt]</t>
  </si>
  <si>
    <t>GQU0623007相似款</t>
  </si>
  <si>
    <t>16×8×2</t>
  </si>
  <si>
    <t>https://cendura.de/products/safemag-auto-telefonhalterung-letzter-tag-rabatt?_pos=1&amp;_sid=8f51d7273&amp;_ss=r%3Fvariant%3D55375716974970&amp;variant=55375716974970</t>
  </si>
  <si>
    <t>https://detail.1688.com/offer/879429116969.html?spm=a26352.b28411319.offerlist.214.6ac71e627r4aTM</t>
  </si>
  <si>
    <r>
      <rPr>
        <sz val="10"/>
        <color theme="1"/>
        <rFont val="宋体"/>
        <charset val="134"/>
        <scheme val="minor"/>
      </rPr>
      <t>a) Handwinding Steel Watch (no electronics!)</t>
    </r>
    <r>
      <rPr>
        <sz val="10"/>
        <color theme="1"/>
        <rFont val="宋体"/>
        <charset val="134"/>
        <scheme val="minor"/>
      </rPr>
      <t xml:space="preserve">
</t>
    </r>
    <r>
      <rPr>
        <sz val="10"/>
        <color theme="1"/>
        <rFont val="宋体"/>
        <charset val="134"/>
        <scheme val="minor"/>
      </rPr>
      <t>b) Book</t>
    </r>
  </si>
  <si>
    <t>CQU0623001</t>
  </si>
  <si>
    <t>22*15*8</t>
  </si>
  <si>
    <t>Handwinding Steel Watch (no electronics!)</t>
  </si>
  <si>
    <t>CQU0623110</t>
  </si>
  <si>
    <t>19*12*6</t>
  </si>
  <si>
    <t>Pedicure set + foot cream + 3*socks</t>
  </si>
  <si>
    <t>G0101-ME</t>
  </si>
  <si>
    <t>30*25*15</t>
  </si>
  <si>
    <t>E011</t>
  </si>
  <si>
    <t>E013</t>
  </si>
  <si>
    <t>E015</t>
  </si>
  <si>
    <t>SkinGuard（1+1）</t>
  </si>
  <si>
    <t>GQU0630007</t>
  </si>
  <si>
    <t>4*4*13</t>
  </si>
  <si>
    <t>https://lettucepets.com/products/pet-skin-treatment-spray-for-fungal-bacterial-infections?fbclid=IwY2xjawLPJKZleHRuA2FlbQIxMABicmlkETFJSU9yaTNBWEpjMkJpOXYxAR4shII-NJrs6eU9LWfVqSfPIsAB3IHewhA5WNMVKYeYQhsg0Q3816RR9wV9bw_aem_Nu3h6lEgB8GK2w8WlMLxrQ&amp;variant=51233243562268</t>
  </si>
  <si>
    <t>https://detail.1688.com/offer/940558935118.html?spm=a26352.b28411319.offerlist.1.6a001e620BDgLt</t>
  </si>
  <si>
    <t>Neck Pain Patches</t>
  </si>
  <si>
    <t>GQU0630008</t>
  </si>
  <si>
    <t>https://www.amazon.com/iShanCare-Neck-Pain-Relief-Patch/dp/B0BKL4NRMQ/ref=sims_dp_d_dex_ai_rank_model_feedback_d_v1_d_sccl_1_2/136-0509895-9428936?pd_rd_w=A2qmS&amp;content-id=amzn1.sym.5daa61ea-dedc-4cc4-b84a-9865d4f36e97&amp;pf_rd_p=5daa61ea-dedc-4cc4-b84a-9865d4f36e97&amp;pf_rd_r=CB9PPYGYQ1H0HQRB9ZJR&amp;pd_rd_wg=m4Buk&amp;pd_rd_r=ceb79ee7-5477-49d7-85aa-c32ec9c0073e&amp;pd_rd_i=B0BKL4NRMQ&amp;th=1</t>
  </si>
  <si>
    <t>https://detail.1688.com/offer/937927916764.html?spm=a26352.b28411319.offerlist.1.3da51e62IS8wCp</t>
  </si>
  <si>
    <t>Combined Quote
（1 massager+ 1pack patches）
"Blue Neck Massager
Neck Pain Patches"</t>
  </si>
  <si>
    <t>GQU0630009</t>
  </si>
  <si>
    <t>24*25*15cm</t>
  </si>
  <si>
    <t>Gluco Gone Blood Sugar Regulating Drops</t>
  </si>
  <si>
    <t>LQU0702101</t>
  </si>
  <si>
    <t>15*5*5</t>
  </si>
  <si>
    <t>https://navanisupps.com/products/droplets</t>
  </si>
  <si>
    <t>https://detail.1688.com/offer/901924596865.html?spm=a26352.b28411319.offerlist.57.4ccb1e625tdpoO</t>
  </si>
  <si>
    <r>
      <rPr>
        <sz val="10"/>
        <color rgb="FF00B0F0"/>
        <rFont val="Calibri"/>
        <charset val="134"/>
      </rPr>
      <t>Sofia</t>
    </r>
    <r>
      <rPr>
        <sz val="10"/>
        <color rgb="FF00B0F0"/>
        <rFont val="宋体"/>
        <charset val="134"/>
      </rPr>
      <t>™</t>
    </r>
    <r>
      <rPr>
        <sz val="10"/>
        <color rgb="FF00B0F0"/>
        <rFont val="Calibri"/>
        <charset val="134"/>
      </rPr>
      <t xml:space="preserve"> | Midi Kjole</t>
    </r>
  </si>
  <si>
    <t>C00106S-LN</t>
  </si>
  <si>
    <t>https://sofiakobenhavn.dk/products/sofia-midi-kjole?variant=51790068646155</t>
  </si>
  <si>
    <t>https://detail.1688.com/offer/773653551668.html?spm=a26352.b28411319.offerlist.7.2e401e62WHncqZ</t>
  </si>
  <si>
    <t>欧码</t>
  </si>
  <si>
    <t>Larineco - Remineralizing Gum（1+1）</t>
  </si>
  <si>
    <t>CQU0704005相似款</t>
  </si>
  <si>
    <t>10*10*3</t>
  </si>
  <si>
    <t>https://buylarine.com/products/larineco%E2%84%A2%EF%B8%8F-remineralizing-gum-copy</t>
  </si>
  <si>
    <t>https://detail.1688.com/offer/836079571684.html?spm=a262eq.8274978.im_chat_detail.pc_zdfw_v1</t>
  </si>
  <si>
    <t>LuminoTeeth™ Whitening Powder Bundle</t>
  </si>
  <si>
    <t>CQU0704006相似款</t>
  </si>
  <si>
    <t>10.8*10.6*8 CM（2pcs）</t>
  </si>
  <si>
    <t>https://luminoteeth.com/products/bundle</t>
  </si>
  <si>
    <t>https://detail.1688.com/offer/937488344684.html?spm=a26352.b28411319.offerlist.1.6def1e62XODgUF</t>
  </si>
  <si>
    <t>AirEase</t>
  </si>
  <si>
    <t>GQU0701013相似款</t>
  </si>
  <si>
    <t>14.2*11.2*5.9cm</t>
  </si>
  <si>
    <t>https://shopellox.com/products/portable-nebulizer?variant=46313676800166</t>
  </si>
  <si>
    <t>https://detail.1688.com/offer/735561815074.html?spm=a26352.b28411319.offerlist.11.37ab1e62MooZsH</t>
  </si>
  <si>
    <t>https://detail.1688.com/offer/714870842310.html?spm=a26352.b28411319.offerlist.59.37ab1e62MooZsH</t>
  </si>
  <si>
    <t>PowerCleaner</t>
  </si>
  <si>
    <t>QUC0705003</t>
  </si>
  <si>
    <t>10*4*13</t>
  </si>
  <si>
    <t>https://nl.aliexpress.com/item/1005007811722783.html?src=google&amp;pdp_npi=4%40dis!EUR!3.55!1.81!!!!!%40!12000042286985414!ppc!!!&amp;src=google&amp;albch=shopping&amp;acnt=272-267-0231&amp;isdl=y&amp;slnk=&amp;plac=&amp;mtctp=&amp;albbt=Google_7_shopping&amp;aff_platform=google&amp;aff_short_key=UneMJZVf&amp;gclsrc=aw.ds&amp;&amp;albagn=888888&amp;&amp;ds_e_adid=&amp;ds_e_matchtype=&amp;ds_e_device=c&amp;ds_e_network=x&amp;ds_e_product_group_id=&amp;ds_e_product_id=nl1005007811722783&amp;ds_e_product_merchant_id=108898720&amp;ds_e_product_country=NL&amp;ds_e_product_language=nl&amp;ds_e_product_channel=online&amp;ds_e_product_store_id=&amp;ds_url_v=2&amp;albcp=20730513328&amp;albag=&amp;isSmbAutoCall=false&amp;needSmbHouyi=false&amp;gad_source=1&amp;gad_campaignid=20726902985&amp;gbraid=0AAAAAoukdWMRq3jp5g1CHnUFX-5kSl5GS&amp;gclid=Cj0KCQjw953DBhCyARIsANhIZoYPgc_jY5fQ5bhqtR1r30bBif4PNLAr4s6S-VgeXhkHsiwjTbMtKn0aAl6IEALw_wcB</t>
  </si>
  <si>
    <t>https://detail.1688.com/offer/889124523217.html?spm=a26352.b28411319.offerlist.6.31bb1e62PK4Os4</t>
  </si>
  <si>
    <t>L0301-ME</t>
  </si>
  <si>
    <t>11*14*2</t>
  </si>
  <si>
    <t>https://detail.1688.com/offer/784675028700.html?spm=a26352.28064800.offerlist.2.3c751e62aifkyc&amp;cosite=baidujj_pz&amp;tracelog=p4p&amp;_p_isad=1&amp;clickid=5221096e5ce7436486ae3c7d08a7e351&amp;sessionid=0553a9ede33dd86d6bca5c03b60c2bac</t>
  </si>
  <si>
    <r>
      <rPr>
        <sz val="10"/>
        <color rgb="FFFF0000"/>
        <rFont val="宋体"/>
        <charset val="134"/>
      </rPr>
      <t xml:space="preserve">Combined SKU
</t>
    </r>
    <r>
      <rPr>
        <sz val="10"/>
        <color rgb="FF000000"/>
        <rFont val="宋体"/>
        <charset val="134"/>
      </rPr>
      <t>Neck Pain Patches+E0301-ME</t>
    </r>
  </si>
  <si>
    <r>
      <rPr>
        <sz val="11"/>
        <color rgb="FFFF0000"/>
        <rFont val="宋体"/>
        <charset val="134"/>
      </rPr>
      <t>Combined SKU</t>
    </r>
    <r>
      <rPr>
        <sz val="11"/>
        <color rgb="FF000000"/>
        <rFont val="宋体"/>
        <charset val="134"/>
      </rPr>
      <t xml:space="preserve">
E0401-ME</t>
    </r>
  </si>
  <si>
    <t>220*209*115mm</t>
  </si>
  <si>
    <t>E0401-ME</t>
  </si>
  <si>
    <t>CQU0710007</t>
  </si>
  <si>
    <t>6.5*6.5*12</t>
  </si>
  <si>
    <t>https://www.alibaba.com/product-detail/Kangmao-OEM-Private-Label-Vegan-Supplements_1601149654630.html?spm=a2700.galleryofferlist.normal_offer.d_image.468413a0BaKGVe</t>
  </si>
  <si>
    <t>https://detail.1688.com/offer/913290493193.html?spm=a26352.b28411319.offerlist.5.7e6c1e62jRJITo</t>
  </si>
  <si>
    <t>2瓶起批</t>
  </si>
  <si>
    <t>CQU0710008相似款</t>
  </si>
  <si>
    <t>195*105*135mm</t>
  </si>
  <si>
    <t>https://www.alibaba.com/product-detail/Sea-Moss-Black-Seed-Oil-Ashwagandha_1601338096781.html?spm=a2700.galleryofferlist.normal_offer.d_image.2f2513a0BNBPUc</t>
  </si>
  <si>
    <t>https://detail.1688.com/offer/927985422229.html?spm=a26352.b28411319.offerlist.7.423b1e627oNdbV</t>
  </si>
  <si>
    <t>CQU0710009</t>
  </si>
  <si>
    <t>12*4*4</t>
  </si>
  <si>
    <t>https://www.alibaba.com/product-detail/Manufacturer-OEM-apple-Cider-Vinegar-Slimming_1601242189552.html?spm=a2700.galleryofferlist.normal_offer.d_image.177f13a01ylBFX</t>
  </si>
  <si>
    <t>https://detail.1688.com/offer/675776595713.html?spm=a262eq.8274978.im_chat_detail.pc_zdfw_v1</t>
  </si>
  <si>
    <t>5瓶起批</t>
  </si>
  <si>
    <t>SkinGuard™ - Natuurlijke spray tegen jeuk, schimmel en infecties</t>
  </si>
  <si>
    <t>L002</t>
  </si>
  <si>
    <t>Waterproof Chemical-Free Tick Repellent Tag</t>
  </si>
  <si>
    <t>CQU0710020</t>
  </si>
  <si>
    <t>8*8*4</t>
  </si>
  <si>
    <t>https://lettucepets.com/products/waterproof-chemical-free-tick-repellent-tag?variant=52225679393052</t>
  </si>
  <si>
    <t>https://detail.1688.com/offer/918240739048.html?spm=a26352.b28411319.offerlist.1.aa0e1e62scZKa7</t>
  </si>
  <si>
    <t>CQU0710021</t>
  </si>
  <si>
    <t>8.5*8.5*3</t>
  </si>
  <si>
    <t>https://detail.1688.com/offer/932694172151.html?spm=a26352.b28411319.offerlist.11.9e781e62pZe3it</t>
  </si>
  <si>
    <t>Waterproof Chemical-Free Tick Repellent Tag（1+1）</t>
  </si>
  <si>
    <t>CQU0710022</t>
  </si>
  <si>
    <t>9*9*3</t>
  </si>
  <si>
    <t>https://detail.1688.com/offer/931244039185.html</t>
  </si>
  <si>
    <t>L002--1</t>
  </si>
  <si>
    <t>L002--2</t>
  </si>
  <si>
    <t>GQU0716013</t>
  </si>
  <si>
    <t>6*6*10cm</t>
  </si>
  <si>
    <t>https://detail.1688.com/offer/899875437113.html?spm=a26352.b28411319.offerlist.1.3c861e622Pyivy</t>
  </si>
  <si>
    <t>Leather strap</t>
  </si>
  <si>
    <t>GQU0716005</t>
  </si>
  <si>
    <t>18*13*2</t>
  </si>
  <si>
    <t>Stainless steel strap</t>
  </si>
  <si>
    <t>GQU0716006</t>
  </si>
  <si>
    <t>a) Handwinding Steel Watch (no electronics!)
b) Book</t>
  </si>
  <si>
    <t>27*16*9</t>
  </si>
  <si>
    <t>21*11*14cm</t>
  </si>
  <si>
    <t xml:space="preserve">FindTag
</t>
  </si>
  <si>
    <t>EQU0719003</t>
  </si>
  <si>
    <t>https://detail.1688.com/offer/843271744153.html?spm=a26352.b28411319.offerlist.6.47681e623mtfjC</t>
  </si>
  <si>
    <t xml:space="preserve">FreshTip
</t>
  </si>
  <si>
    <t>CQU0721003-lars</t>
  </si>
  <si>
    <t>7*10</t>
  </si>
  <si>
    <t xml:space="preserve">https://m.lifesparking.com/funnel/checkout-fungal-nail-patches
</t>
  </si>
  <si>
    <t>https://detail.1688.com/offer/943414252843.html</t>
  </si>
  <si>
    <t>VeloStep - Neuropathy</t>
  </si>
  <si>
    <t>G030537-ME</t>
  </si>
  <si>
    <t>30*7*12</t>
  </si>
  <si>
    <t>https://try-nova.de/products/velostep?variant=52100624089421</t>
  </si>
  <si>
    <t>https://detail.1688.com/offer/820489605443.html?spm=a26352.b28411319.offerlist.1.3be81e62ZNlZwd</t>
  </si>
  <si>
    <t>TurboFix</t>
  </si>
  <si>
    <t>CQU0722001</t>
  </si>
  <si>
    <t>https://detail.1688.com/offer/899842547767.html?spm=a26352.b28411319.offerlist.12.68791e62irjsFT</t>
  </si>
  <si>
    <t xml:space="preserve">SOPHIE | SANDALI ELEGANTI
</t>
  </si>
  <si>
    <t>CQU0721046</t>
  </si>
  <si>
    <t>30*20*10</t>
  </si>
  <si>
    <t>https://lorano-firenze.com/collections/sandali-eleganti/products/sophie-sandali-eleganti</t>
  </si>
  <si>
    <t>https://detail.1688.com/offer/772677466543.html?spm=a26352.b28411319.offerlist.7.63db1e62fpP9aQ</t>
  </si>
  <si>
    <t xml:space="preserve">SafeTag
</t>
  </si>
  <si>
    <t>CQU07250223</t>
  </si>
  <si>
    <t>16*11*6</t>
  </si>
  <si>
    <t>https://detail.1688.com/offer/925284637144.html?spm=a26352.b28411319.offerlist.120.753b1e62tTEt5h</t>
  </si>
  <si>
    <r>
      <rPr>
        <sz val="9"/>
        <color rgb="FF333333"/>
        <rFont val="微软雅黑"/>
        <charset val="134"/>
      </rPr>
      <t>SealFix</t>
    </r>
    <r>
      <rPr>
        <sz val="9"/>
        <color rgb="FF333333"/>
        <rFont val="宋体"/>
        <charset val="134"/>
      </rPr>
      <t>™</t>
    </r>
    <r>
      <rPr>
        <sz val="9"/>
        <color rgb="FF333333"/>
        <rFont val="微软雅黑"/>
        <charset val="134"/>
      </rPr>
      <t> | Wasserdichte Isolierende Dichtungsmasse Für Jede Oberfläche
走华翰特惠</t>
    </r>
  </si>
  <si>
    <t>17*7*7</t>
  </si>
  <si>
    <t>30g</t>
  </si>
  <si>
    <t>https://cendura.de/products/gleam1?variant=55362353299834</t>
  </si>
  <si>
    <t>https://detail.1688.com/offer/891013940553.html?spm=a26352.b28411319.offerlist.6.34a71e62suWeyE</t>
  </si>
  <si>
    <r>
      <rPr>
        <b/>
        <sz val="26"/>
        <color rgb="FF009F9E"/>
        <rFont val="微软雅黑"/>
        <charset val="134"/>
      </rPr>
      <t xml:space="preserve">             </t>
    </r>
    <r>
      <rPr>
        <b/>
        <sz val="26"/>
        <color rgb="FF009F9E"/>
        <rFont val="微软雅黑"/>
        <charset val="134"/>
      </rPr>
      <t>全球专线-特敏</t>
    </r>
  </si>
  <si>
    <t>生效日期：2025.07.21 9:00</t>
  </si>
  <si>
    <t>返回目录</t>
  </si>
  <si>
    <t>国家</t>
  </si>
  <si>
    <t>重量段KG</t>
  </si>
  <si>
    <r>
      <rPr>
        <b/>
        <sz val="11"/>
        <color rgb="FFFFFFFF"/>
        <rFont val="微软雅黑"/>
        <charset val="134"/>
      </rPr>
      <t>运费</t>
    </r>
    <r>
      <rPr>
        <b/>
        <sz val="11"/>
        <color rgb="FFFFFFFF"/>
        <rFont val="微软雅黑"/>
        <charset val="134"/>
      </rPr>
      <t xml:space="preserve">
</t>
    </r>
    <r>
      <rPr>
        <b/>
        <sz val="11"/>
        <color rgb="FFFFFFFF"/>
        <rFont val="微软雅黑"/>
        <charset val="134"/>
      </rPr>
      <t>RMB/KG</t>
    </r>
  </si>
  <si>
    <r>
      <rPr>
        <b/>
        <sz val="11"/>
        <color rgb="FFFFFFFF"/>
        <rFont val="微软雅黑"/>
        <charset val="134"/>
      </rPr>
      <t>挂号费</t>
    </r>
    <r>
      <rPr>
        <b/>
        <sz val="11"/>
        <color rgb="FFFFFFFF"/>
        <rFont val="微软雅黑"/>
        <charset val="134"/>
      </rPr>
      <t xml:space="preserve">
</t>
    </r>
    <r>
      <rPr>
        <b/>
        <sz val="11"/>
        <color rgb="FFFFFFFF"/>
        <rFont val="微软雅黑"/>
        <charset val="134"/>
      </rPr>
      <t>RMB/票</t>
    </r>
  </si>
  <si>
    <t>尺寸限制cm</t>
  </si>
  <si>
    <t>参考时效（工作日）</t>
  </si>
  <si>
    <t>0.05≤W≤0.3</t>
  </si>
  <si>
    <r>
      <rPr>
        <sz val="11"/>
        <color rgb="FF000000"/>
        <rFont val="微软雅黑"/>
        <charset val="134"/>
      </rPr>
      <t>最长边≤60cm；长+宽+高≤90cm</t>
    </r>
    <r>
      <rPr>
        <sz val="11"/>
        <color rgb="FF000000"/>
        <rFont val="微软雅黑"/>
        <charset val="134"/>
      </rPr>
      <t xml:space="preserve">
</t>
    </r>
    <r>
      <rPr>
        <sz val="11"/>
        <color rgb="FF000000"/>
        <rFont val="微软雅黑"/>
        <charset val="134"/>
      </rPr>
      <t>最小尺寸≥15x10x1cm</t>
    </r>
  </si>
  <si>
    <t>9-15</t>
  </si>
  <si>
    <t>0.3&lt;W≤0.75</t>
  </si>
  <si>
    <t>0.75&lt;W≤1</t>
  </si>
  <si>
    <t>1&lt;W≤1.5</t>
  </si>
  <si>
    <t>1.5&lt;W≤2</t>
  </si>
  <si>
    <t>2&lt;W≤15</t>
  </si>
  <si>
    <t>0.01≤W≤1</t>
  </si>
  <si>
    <r>
      <rPr>
        <sz val="11"/>
        <color rgb="FF000000"/>
        <rFont val="微软雅黑"/>
        <charset val="134"/>
      </rPr>
      <t xml:space="preserve">最大尺寸&lt;60x40x40cm </t>
    </r>
    <r>
      <rPr>
        <sz val="11"/>
        <color rgb="FF000000"/>
        <rFont val="微软雅黑"/>
        <charset val="134"/>
      </rPr>
      <t xml:space="preserve">
</t>
    </r>
    <r>
      <rPr>
        <sz val="11"/>
        <color rgb="FF000000"/>
        <rFont val="微软雅黑"/>
        <charset val="134"/>
      </rPr>
      <t>最小尺寸≥15x10x1cm</t>
    </r>
  </si>
  <si>
    <t>6-10</t>
  </si>
  <si>
    <t>1&lt;W≤2</t>
  </si>
  <si>
    <t>英国-Royal Mail偏远邮编</t>
  </si>
  <si>
    <t>2&lt;W≤10</t>
  </si>
  <si>
    <r>
      <rPr>
        <sz val="11"/>
        <color rgb="FF000000"/>
        <rFont val="微软雅黑"/>
        <charset val="134"/>
      </rPr>
      <t>0&lt;W≤1：最大尺寸≤ 35x25x10cm</t>
    </r>
    <r>
      <rPr>
        <sz val="11"/>
        <color rgb="FF000000"/>
        <rFont val="微软雅黑"/>
        <charset val="134"/>
      </rPr>
      <t xml:space="preserve">
</t>
    </r>
    <r>
      <rPr>
        <sz val="11"/>
        <color rgb="FF000000"/>
        <rFont val="微软雅黑"/>
        <charset val="134"/>
      </rPr>
      <t>1&lt;W≤10：最大尺寸≤ 60x50x40cm</t>
    </r>
    <r>
      <rPr>
        <sz val="11"/>
        <color rgb="FF000000"/>
        <rFont val="微软雅黑"/>
        <charset val="134"/>
      </rPr>
      <t xml:space="preserve">
</t>
    </r>
    <r>
      <rPr>
        <sz val="11"/>
        <color rgb="FF000000"/>
        <rFont val="微软雅黑"/>
        <charset val="134"/>
      </rPr>
      <t>最小尺寸≥15x10x1cm</t>
    </r>
    <r>
      <rPr>
        <sz val="11"/>
        <color rgb="FF000000"/>
        <rFont val="微软雅黑"/>
        <charset val="134"/>
      </rPr>
      <t xml:space="preserve">
</t>
    </r>
    <r>
      <rPr>
        <sz val="11"/>
        <color rgb="FF000000"/>
        <rFont val="微软雅黑"/>
        <charset val="134"/>
      </rPr>
      <t>Packstation：尺寸限制&lt;60x30x30cm</t>
    </r>
  </si>
  <si>
    <t>8-12</t>
  </si>
  <si>
    <r>
      <rPr>
        <sz val="11"/>
        <color rgb="FF000000"/>
        <rFont val="微软雅黑"/>
        <charset val="134"/>
      </rPr>
      <t>最大尺寸≤60x50x40cm</t>
    </r>
    <r>
      <rPr>
        <sz val="11"/>
        <color rgb="FF000000"/>
        <rFont val="微软雅黑"/>
        <charset val="134"/>
      </rPr>
      <t xml:space="preserve">
</t>
    </r>
    <r>
      <rPr>
        <sz val="11"/>
        <color rgb="FF000000"/>
        <rFont val="微软雅黑"/>
        <charset val="134"/>
      </rPr>
      <t>最小尺寸≥15x10x1cm</t>
    </r>
  </si>
  <si>
    <t>8-14</t>
  </si>
  <si>
    <t>返回主目录</t>
  </si>
  <si>
    <t>2025-07-16 00:00:00</t>
  </si>
  <si>
    <t>481</t>
  </si>
  <si>
    <t>CountryCode</t>
  </si>
  <si>
    <t>公斤运费(元/KG)</t>
  </si>
  <si>
    <t>处理费(元/件)</t>
  </si>
  <si>
    <t>重量段(KG)</t>
  </si>
  <si>
    <t>最小计费重量(KG)</t>
  </si>
  <si>
    <t>120</t>
  </si>
  <si>
    <t>20</t>
  </si>
  <si>
    <t>0.001 - 0.1</t>
  </si>
  <si>
    <t>0.05</t>
  </si>
  <si>
    <t>114</t>
  </si>
  <si>
    <t>18</t>
  </si>
  <si>
    <t>0.101 - 0.2</t>
  </si>
  <si>
    <t>110</t>
  </si>
  <si>
    <t>16</t>
  </si>
  <si>
    <t>0.201 - 0.45</t>
  </si>
  <si>
    <t>103</t>
  </si>
  <si>
    <t>0.451 - 0.7</t>
  </si>
  <si>
    <t>9</t>
  </si>
  <si>
    <t>0.701 - 1.5</t>
  </si>
  <si>
    <t>1.501 - 2</t>
  </si>
  <si>
    <t>96</t>
  </si>
  <si>
    <t>2.001 - 30</t>
  </si>
  <si>
    <t>78</t>
  </si>
  <si>
    <t>21</t>
  </si>
  <si>
    <t>0.001 - 0.15</t>
  </si>
  <si>
    <t>79</t>
  </si>
  <si>
    <t>22</t>
  </si>
  <si>
    <t>0.151 - 0.45</t>
  </si>
  <si>
    <t>82</t>
  </si>
  <si>
    <t>23</t>
  </si>
  <si>
    <t>0.451 - 0.75</t>
  </si>
  <si>
    <t>83</t>
  </si>
  <si>
    <t>0.751 - 1</t>
  </si>
  <si>
    <t>1.001 - 30</t>
  </si>
  <si>
    <t>84</t>
  </si>
  <si>
    <t>0.001 - 0.5</t>
  </si>
  <si>
    <t>19</t>
  </si>
  <si>
    <t>0.501 - 1</t>
  </si>
  <si>
    <t>90</t>
  </si>
  <si>
    <t>1.001 - 5</t>
  </si>
  <si>
    <t>30</t>
  </si>
  <si>
    <t>35</t>
  </si>
  <si>
    <t>0.201 - 0.34</t>
  </si>
  <si>
    <t>40</t>
  </si>
  <si>
    <t>0.341 - 0.45</t>
  </si>
  <si>
    <t>108</t>
  </si>
  <si>
    <t>55</t>
  </si>
  <si>
    <t>美国偏远地区</t>
  </si>
  <si>
    <t>68</t>
  </si>
  <si>
    <t>0.001 - 1</t>
  </si>
  <si>
    <t>0.001</t>
  </si>
  <si>
    <t>70</t>
  </si>
  <si>
    <t>1.001 - 20</t>
  </si>
  <si>
    <t>0.001 - 0.2</t>
  </si>
  <si>
    <t>0.201 - 0.5</t>
  </si>
  <si>
    <t>0.501 - 30</t>
  </si>
  <si>
    <t>0.001 - 0.3</t>
  </si>
  <si>
    <t>65</t>
  </si>
  <si>
    <t>0.301 - 30</t>
  </si>
  <si>
    <t>25</t>
  </si>
  <si>
    <t>0.001 - 30</t>
  </si>
  <si>
    <t>74</t>
  </si>
  <si>
    <t>93</t>
  </si>
  <si>
    <t>81</t>
  </si>
  <si>
    <t>0.201 - 2</t>
  </si>
  <si>
    <t>80</t>
  </si>
  <si>
    <t>72</t>
  </si>
  <si>
    <t>88</t>
  </si>
  <si>
    <t>77</t>
  </si>
  <si>
    <t>17</t>
  </si>
  <si>
    <t>85</t>
  </si>
  <si>
    <t>100</t>
  </si>
  <si>
    <t>24</t>
  </si>
  <si>
    <t>104</t>
  </si>
  <si>
    <t>1.001 - 2</t>
  </si>
  <si>
    <t>112</t>
  </si>
  <si>
    <t>34</t>
  </si>
  <si>
    <t>29</t>
  </si>
  <si>
    <t>132</t>
  </si>
  <si>
    <t>0.201 - 20</t>
  </si>
  <si>
    <t>52</t>
  </si>
  <si>
    <t>0.001 - 2</t>
  </si>
  <si>
    <t>91</t>
  </si>
  <si>
    <t>75</t>
  </si>
  <si>
    <t>0.301 - 2</t>
  </si>
  <si>
    <t>26</t>
  </si>
  <si>
    <t>0.001 - 20</t>
  </si>
  <si>
    <t>69</t>
  </si>
  <si>
    <t>115</t>
  </si>
  <si>
    <t>31</t>
  </si>
  <si>
    <t>66</t>
  </si>
  <si>
    <t>0.101 - 0.3</t>
  </si>
  <si>
    <t>58</t>
  </si>
  <si>
    <t>0.301 - 5</t>
  </si>
  <si>
    <t>11</t>
  </si>
  <si>
    <t>64</t>
  </si>
  <si>
    <t>15</t>
  </si>
  <si>
    <t>89</t>
  </si>
  <si>
    <t>62</t>
  </si>
  <si>
    <t>2.001 - 20</t>
  </si>
  <si>
    <t>105</t>
  </si>
  <si>
    <t>95</t>
  </si>
  <si>
    <t>12</t>
  </si>
  <si>
    <t>0.151 - 30</t>
  </si>
  <si>
    <t>38</t>
  </si>
  <si>
    <t>45</t>
  </si>
  <si>
    <t>1.001 - 1.5</t>
  </si>
  <si>
    <t>49</t>
  </si>
  <si>
    <t>2.001 - 3</t>
  </si>
  <si>
    <t>3.001 - 5</t>
  </si>
  <si>
    <t>27</t>
  </si>
  <si>
    <t>32</t>
  </si>
  <si>
    <t>134</t>
  </si>
  <si>
    <t>185</t>
  </si>
  <si>
    <t>0.001 - 25</t>
  </si>
  <si>
    <t>116</t>
  </si>
  <si>
    <t>13</t>
  </si>
  <si>
    <t>0 - 30</t>
  </si>
  <si>
    <t>6</t>
  </si>
  <si>
    <t>8</t>
  </si>
  <si>
    <t>30.5</t>
  </si>
  <si>
    <t>0 - 1</t>
  </si>
  <si>
    <t>33.5</t>
  </si>
  <si>
    <t>0 - 0.5</t>
  </si>
  <si>
    <t>86</t>
  </si>
  <si>
    <t>0.501 - 10</t>
  </si>
  <si>
    <t>10.001 - 30</t>
  </si>
  <si>
    <t>46</t>
  </si>
  <si>
    <t>50</t>
  </si>
  <si>
    <t>0.001 - 5</t>
  </si>
  <si>
    <t>5.001 - 30</t>
  </si>
  <si>
    <t>37</t>
  </si>
  <si>
    <t>0.301 - 0.5</t>
  </si>
  <si>
    <t>0.501 - 1.5</t>
  </si>
  <si>
    <t>1.501 - 5</t>
  </si>
  <si>
    <t>0.501 - 5</t>
  </si>
  <si>
    <t>0.501 - 2</t>
  </si>
  <si>
    <t>2.001 - 5</t>
  </si>
  <si>
    <t>5.001 - 15</t>
  </si>
  <si>
    <t>76</t>
  </si>
  <si>
    <t>67</t>
  </si>
  <si>
    <t>99</t>
  </si>
  <si>
    <t>0.201 - 1</t>
  </si>
  <si>
    <t>1.001 - 10</t>
  </si>
  <si>
    <t>10</t>
  </si>
  <si>
    <t>122</t>
  </si>
  <si>
    <t>147</t>
  </si>
  <si>
    <t>208</t>
  </si>
  <si>
    <t>2.001 - 10</t>
  </si>
  <si>
    <t>180</t>
  </si>
  <si>
    <t>113</t>
  </si>
  <si>
    <t>161</t>
  </si>
  <si>
    <t>140</t>
  </si>
  <si>
    <t>48</t>
  </si>
  <si>
    <t>94</t>
  </si>
  <si>
    <t>150</t>
  </si>
  <si>
    <t>130</t>
  </si>
  <si>
    <t>106</t>
  </si>
  <si>
    <t>215</t>
  </si>
  <si>
    <t>186</t>
  </si>
  <si>
    <t>171</t>
  </si>
  <si>
    <t>0.001 - 8</t>
  </si>
  <si>
    <t>首重</t>
  </si>
  <si>
    <t>首重价格</t>
  </si>
  <si>
    <t>续重</t>
  </si>
  <si>
    <t>0.5</t>
  </si>
  <si>
    <t>分区</t>
  </si>
  <si>
    <t>51</t>
  </si>
  <si>
    <t>117</t>
  </si>
  <si>
    <t>5.001 - 10</t>
  </si>
  <si>
    <t>155</t>
  </si>
  <si>
    <t>10.001 - 22</t>
  </si>
  <si>
    <t>可提供全程追踪服务，请详见下方国家维度具体要求，参考时效为自然日</t>
  </si>
  <si>
    <r>
      <rPr>
        <sz val="11"/>
        <color rgb="FF000000"/>
        <rFont val="微软雅黑"/>
        <charset val="134"/>
      </rPr>
      <t>人民币计价，按克计费</t>
    </r>
    <r>
      <rPr>
        <sz val="11"/>
        <color rgb="FF000000"/>
        <rFont val="微软雅黑"/>
        <charset val="134"/>
      </rPr>
      <t xml:space="preserve">      </t>
    </r>
  </si>
  <si>
    <t>无燃油附加费</t>
  </si>
  <si>
    <t>（1）英国、法国、德国、意大利、西班牙、荷兰、波兰、澳大利亚、新西兰、奥地利、葡萄牙、希腊、塞浦路斯、克罗地亚、斯洛文尼亚无50g起重 ；</t>
  </si>
  <si>
    <r>
      <rPr>
        <sz val="11"/>
        <color rgb="FF000000"/>
        <rFont val="微软雅黑"/>
        <charset val="134"/>
      </rPr>
      <t xml:space="preserve">          </t>
    </r>
    <r>
      <rPr>
        <sz val="11"/>
        <color rgb="FF000000"/>
        <rFont val="微软雅黑"/>
        <charset val="134"/>
      </rPr>
      <t>其余国家50g起重，不足50g的部分按50g计价。</t>
    </r>
  </si>
  <si>
    <t>（2）针对≤2kg货物，若泡重比≤1.5，免泡，按实际重量计费；若泡重比＞1.5，按包裹实际重量和体积重量相比，取较大者计费（体积重量计费方式为: 长*宽*高cm/8000=KG)</t>
  </si>
  <si>
    <t>（3）针对&gt;2kg货物，按包裹实际重量和体积重量相比，取较大者计费（体积重量计费方式为: 长*宽*高cm/8000=KG)</t>
  </si>
  <si>
    <t>（4）税费汇率计算基准：以揽收日期所在周周一上午10点中行外汇牌价现汇卖出价汇率为基准计算。</t>
  </si>
  <si>
    <t>注：</t>
  </si>
  <si>
    <t>1：泡比计算方式与行业通用标准一致：（长*宽*高）/8000/实重</t>
  </si>
  <si>
    <t>2：单件泡比过高或者批量单一品类泡货请提前沟通</t>
  </si>
  <si>
    <t>3：服装类包括普通衣服、帽子、袜子等软包装/袋子包装货物不计泡，但不包含以下情况： （1）纸盒包装产品（包括内件和外包装）；（2）枕头，棉被，玩具娃娃等较泡的产品；</t>
  </si>
  <si>
    <t>同时，不接受附带LED灯或有加热功能等含电和含违禁品的服装类产品。</t>
  </si>
  <si>
    <t>（1）禁限寄物品: 所有电池与含电产品、液体粉末等航空禁止运输物品</t>
  </si>
  <si>
    <t>（2）严禁邮寄违反中国法律、国际航空运输协会（IATA）禁限寄物品条例及当地法例的物品。比如：仿牌，纯电，烟酒，刀具，电子烟，打火机，液体，粉末，膏状体，食品，医疗器械，毒品，军火，植物，动物以及植物种子等。如有违反，引致的损失、罚款、清关费用等及法律责任由客户承担。</t>
  </si>
  <si>
    <t>见下方国家维度具体要求</t>
  </si>
  <si>
    <t>（1）请参考下方国家维度表格，找到对应国家的申报要求</t>
  </si>
  <si>
    <r>
      <rPr>
        <sz val="11"/>
        <color rgb="FF000000"/>
        <rFont val="微软雅黑"/>
        <charset val="134"/>
      </rPr>
      <t>（2）为了方便清关，最好提供销售链接和海关编码</t>
    </r>
    <r>
      <rPr>
        <sz val="11"/>
        <color rgb="FF000000"/>
        <rFont val="微软雅黑"/>
        <charset val="134"/>
      </rPr>
      <t xml:space="preserve"> </t>
    </r>
  </si>
  <si>
    <r>
      <rPr>
        <sz val="11"/>
        <color rgb="FF000000"/>
        <rFont val="微软雅黑"/>
        <charset val="134"/>
      </rPr>
      <t>（3）申报品名不能为大类申报，必须为具体品名。如不能只申报电子配件，部件等</t>
    </r>
    <r>
      <rPr>
        <sz val="11"/>
        <color rgb="FF000000"/>
        <rFont val="微软雅黑"/>
        <charset val="134"/>
      </rPr>
      <t xml:space="preserve">   </t>
    </r>
  </si>
  <si>
    <t>（4）所有税费由发件人承担，需如实申报货物价值，如当地海关怀疑低报，将按照海关认定价值收取税费并且和客户补收费用</t>
  </si>
  <si>
    <t>特别提示：如客户一旦同意接受我司服务，即认为客户已详细阅读过此价格表备注内容以及我司托运条款，并接受各条款的约束</t>
  </si>
  <si>
    <t>请详见下方国家维度具体要求</t>
  </si>
  <si>
    <r>
      <rPr>
        <sz val="11"/>
        <color rgb="FF000000"/>
        <rFont val="微软雅黑"/>
        <charset val="134"/>
      </rPr>
      <t>（1）所有国家：不接受亚马逊仓库地址。</t>
    </r>
    <r>
      <rPr>
        <sz val="11"/>
        <color rgb="FF000000"/>
        <rFont val="微软雅黑"/>
        <charset val="134"/>
      </rPr>
      <t xml:space="preserve">      </t>
    </r>
  </si>
  <si>
    <t>（2）其他要求：请详见下方国家维度具体要求。</t>
  </si>
  <si>
    <t>暂不提供保险服务</t>
  </si>
  <si>
    <t xml:space="preserve"> </t>
  </si>
  <si>
    <r>
      <rPr>
        <sz val="11"/>
        <color rgb="FF000000"/>
        <rFont val="微软雅黑"/>
        <charset val="134"/>
      </rPr>
      <t>(1)赔偿受理截止时间：自收寄后10个自然日可提交查询，超过60天的包裹不受理查件和索赔请求</t>
    </r>
    <r>
      <rPr>
        <sz val="11"/>
        <color rgb="FF000000"/>
        <rFont val="微软雅黑"/>
        <charset val="134"/>
      </rPr>
      <t xml:space="preserve">       </t>
    </r>
  </si>
  <si>
    <r>
      <rPr>
        <sz val="11"/>
        <color rgb="FF000000"/>
        <rFont val="微软雅黑"/>
        <charset val="134"/>
      </rPr>
      <t>(2)赔偿标准：</t>
    </r>
    <r>
      <rPr>
        <sz val="11"/>
        <color rgb="FF000000"/>
        <rFont val="微软雅黑"/>
        <charset val="134"/>
      </rPr>
      <t xml:space="preserve">      </t>
    </r>
  </si>
  <si>
    <r>
      <rPr>
        <sz val="11"/>
        <color rgb="FF000000"/>
        <rFont val="微软雅黑"/>
        <charset val="134"/>
      </rPr>
      <t>A. 上网前丢件赔偿标准：有揽收信息或交接单证明且自收寄后7个自然日无上网追踪信息的快件；赔偿货物申报价值（最高不超200元/件）+退运费（如已收取）</t>
    </r>
    <r>
      <rPr>
        <sz val="11"/>
        <color rgb="FF000000"/>
        <rFont val="微软雅黑"/>
        <charset val="134"/>
      </rPr>
      <t xml:space="preserve">    </t>
    </r>
  </si>
  <si>
    <r>
      <rPr>
        <sz val="11"/>
        <color rgb="FF000000"/>
        <rFont val="微软雅黑"/>
        <charset val="134"/>
      </rPr>
      <t>B. 上网后丢件赔偿标准：</t>
    </r>
    <r>
      <rPr>
        <sz val="11"/>
        <color rgb="FF000000"/>
        <rFont val="微软雅黑"/>
        <charset val="134"/>
      </rPr>
      <t xml:space="preserve">      </t>
    </r>
  </si>
  <si>
    <r>
      <rPr>
        <sz val="11"/>
        <color rgb="FF000000"/>
        <rFont val="微软雅黑"/>
        <charset val="134"/>
      </rPr>
      <t>a)若货物在到达服务商后丢失，经我司确认后，将不退运费，按申报价值赔偿，最高不超过200RMB/票</t>
    </r>
    <r>
      <rPr>
        <sz val="11"/>
        <color rgb="FF000000"/>
        <rFont val="微软雅黑"/>
        <charset val="134"/>
      </rPr>
      <t xml:space="preserve">      </t>
    </r>
  </si>
  <si>
    <r>
      <rPr>
        <sz val="11"/>
        <color rgb="FF000000"/>
        <rFont val="微软雅黑"/>
        <charset val="134"/>
      </rPr>
      <t>b)若服务商官网显示签收，但收件人反馈未收到包裹的情况，我司会协助查询，但不提供赔偿</t>
    </r>
    <r>
      <rPr>
        <sz val="11"/>
        <color rgb="FF000000"/>
        <rFont val="微软雅黑"/>
        <charset val="134"/>
      </rPr>
      <t xml:space="preserve">      </t>
    </r>
  </si>
  <si>
    <r>
      <rPr>
        <sz val="11"/>
        <color rgb="FF000000"/>
        <rFont val="微软雅黑"/>
        <charset val="134"/>
      </rPr>
      <t>c）海外退件，如没有选择重派，则默认按销毁处理，不提供赔偿</t>
    </r>
    <r>
      <rPr>
        <sz val="11"/>
        <color rgb="FF000000"/>
        <rFont val="微软雅黑"/>
        <charset val="134"/>
      </rPr>
      <t xml:space="preserve">     </t>
    </r>
  </si>
  <si>
    <r>
      <rPr>
        <sz val="11"/>
        <color rgb="FF000000"/>
        <rFont val="微软雅黑"/>
        <charset val="134"/>
      </rPr>
      <t>(3)索赔要求：</t>
    </r>
    <r>
      <rPr>
        <sz val="11"/>
        <color rgb="FF000000"/>
        <rFont val="微软雅黑"/>
        <charset val="134"/>
      </rPr>
      <t xml:space="preserve">      </t>
    </r>
  </si>
  <si>
    <r>
      <rPr>
        <sz val="11"/>
        <color rgb="FF000000"/>
        <rFont val="微软雅黑"/>
        <charset val="134"/>
      </rPr>
      <t>A. 货物在我司至到达服务商的这期间丢失,即上网前确认丢失，赔偿申请需提交证明</t>
    </r>
    <r>
      <rPr>
        <sz val="11"/>
        <color rgb="FF000000"/>
        <rFont val="微软雅黑"/>
        <charset val="134"/>
      </rPr>
      <t xml:space="preserve"> </t>
    </r>
  </si>
  <si>
    <r>
      <rPr>
        <sz val="11"/>
        <color rgb="FF000000"/>
        <rFont val="微软雅黑"/>
        <charset val="134"/>
      </rPr>
      <t>a) 燕文已收寄或有揽收司机签字的交接单证明</t>
    </r>
    <r>
      <rPr>
        <sz val="11"/>
        <color rgb="FF000000"/>
        <rFont val="微软雅黑"/>
        <charset val="134"/>
      </rPr>
      <t xml:space="preserve">      </t>
    </r>
  </si>
  <si>
    <r>
      <rPr>
        <sz val="11"/>
        <color rgb="FF000000"/>
        <rFont val="微软雅黑"/>
        <charset val="134"/>
      </rPr>
      <t>B.货物在末端服务商确认丢失，即上网后确认丢失，赔偿申请需提交证明</t>
    </r>
    <r>
      <rPr>
        <sz val="11"/>
        <color rgb="FF000000"/>
        <rFont val="微软雅黑"/>
        <charset val="134"/>
      </rPr>
      <t xml:space="preserve">    </t>
    </r>
  </si>
  <si>
    <r>
      <rPr>
        <sz val="11"/>
        <color rgb="FF000000"/>
        <rFont val="微软雅黑"/>
        <charset val="134"/>
      </rPr>
      <t>a)平台的网上交易截图/退款截图/成本发票/内件物品图片/收件人信息（姓名+邮箱）/发件人店铺名称等（具体索赔资料根据各国家要求提供）</t>
    </r>
    <r>
      <rPr>
        <sz val="11"/>
        <color rgb="FF000000"/>
        <rFont val="微软雅黑"/>
        <charset val="134"/>
      </rPr>
      <t xml:space="preserve">      </t>
    </r>
  </si>
  <si>
    <r>
      <rPr>
        <sz val="11"/>
        <color rgb="FF000000"/>
        <rFont val="微软雅黑"/>
        <charset val="134"/>
      </rPr>
      <t>b)若在未退款情况下安排的货物补寄，需提交平台的网上交易截图+争议内容+补寄单号</t>
    </r>
    <r>
      <rPr>
        <sz val="11"/>
        <color rgb="FF000000"/>
        <rFont val="微软雅黑"/>
        <charset val="134"/>
      </rPr>
      <t xml:space="preserve">      </t>
    </r>
  </si>
  <si>
    <r>
      <rPr>
        <sz val="11"/>
        <color rgb="FF000000"/>
        <rFont val="微软雅黑"/>
        <charset val="134"/>
      </rPr>
      <t>(4)赔偿处理原则：所有问题件要接受先开查后赔偿的原则，需按产品要求提供相关资料</t>
    </r>
    <r>
      <rPr>
        <sz val="11"/>
        <color rgb="FF000000"/>
        <rFont val="微软雅黑"/>
        <charset val="134"/>
      </rPr>
      <t xml:space="preserve">      </t>
    </r>
  </si>
  <si>
    <r>
      <rPr>
        <sz val="11"/>
        <color rgb="FF000000"/>
        <rFont val="微软雅黑"/>
        <charset val="134"/>
      </rPr>
      <t>(5)免责申明：</t>
    </r>
    <r>
      <rPr>
        <sz val="11"/>
        <color rgb="FF000000"/>
        <rFont val="微软雅黑"/>
        <charset val="134"/>
      </rPr>
      <t xml:space="preserve">                                           </t>
    </r>
  </si>
  <si>
    <r>
      <rPr>
        <sz val="11"/>
        <color rgb="FF000000"/>
        <rFont val="微软雅黑"/>
        <charset val="134"/>
      </rPr>
      <t>A. 服务商、机场、海关安检时发现违禁品、侵权产品或超限制产品导致扣货、禁止进口或退运的包裹，均不受理赔偿，并且保留追究发件人责任的权利；</t>
    </r>
    <r>
      <rPr>
        <sz val="11"/>
        <color rgb="FF000000"/>
        <rFont val="微软雅黑"/>
        <charset val="134"/>
      </rPr>
      <t xml:space="preserve">     </t>
    </r>
  </si>
  <si>
    <t>B. 由于跨境物流无法控制因素较多，在任何情况下，因不可抗力事件而产生的任何种类的任何丢失、损坏、毁坏、损失、罚没、滞期费或未履行义务，燕文物流不向客户承担任何责任。以下情况均无赔偿：</t>
  </si>
  <si>
    <t>a)社会异常事件（包括但不限于如罢工、骚乱、战争、恐怖主义活动、公共卫生事件、重大流行病、瘟疫等）；</t>
  </si>
  <si>
    <t>b)自然灾害（包括但不限于如暴风雪、冰雹、火灾、洪水、泥石流、地震、海啸、台风、停电、天灾等）；</t>
  </si>
  <si>
    <t>c)任何政府行为（包括但不限于如征收、征用、限制令、管制、措施等）；</t>
  </si>
  <si>
    <t>d)包括但不限于意外交通事故、法规政策 的修改、司法机关的行为、决定或命令、海关查验延误、海关扣关、航班延误及其他不可预见、不可避免且无法控制的情况或事件；</t>
  </si>
  <si>
    <t>e)易碎品不接受任何损坏赔偿；</t>
  </si>
  <si>
    <r>
      <rPr>
        <sz val="11"/>
        <color rgb="FF000000"/>
        <rFont val="微软雅黑"/>
        <charset val="134"/>
      </rPr>
      <t>f)高价值的货物建议客户自行购买保险。</t>
    </r>
    <r>
      <rPr>
        <sz val="11"/>
        <color rgb="FF000000"/>
        <rFont val="微软雅黑"/>
        <charset val="134"/>
      </rPr>
      <t xml:space="preserve">        </t>
    </r>
  </si>
  <si>
    <r>
      <rPr>
        <sz val="11"/>
        <color rgb="FF000000"/>
        <rFont val="微软雅黑"/>
        <charset val="134"/>
      </rPr>
      <t>C. 国外退件由于中转过程较长，往来海关多次检查，同时经中转环节较多，无法控制返程流转环节，因此我公司只负责将收到的退件退回，对未退回和退回快件破损，内件短少的情况不承担任何赔偿责任</t>
    </r>
    <r>
      <rPr>
        <sz val="11"/>
        <color rgb="FF000000"/>
        <rFont val="微软雅黑"/>
        <charset val="134"/>
      </rPr>
      <t xml:space="preserve">      </t>
    </r>
  </si>
  <si>
    <r>
      <rPr>
        <sz val="11"/>
        <color rgb="FF000000"/>
        <rFont val="微软雅黑"/>
        <charset val="134"/>
      </rPr>
      <t>D. 专线服务赔偿附加特别申明，以下情况不受理赔偿</t>
    </r>
    <r>
      <rPr>
        <sz val="11"/>
        <color rgb="FF000000"/>
        <rFont val="微软雅黑"/>
        <charset val="134"/>
      </rPr>
      <t xml:space="preserve">      </t>
    </r>
  </si>
  <si>
    <r>
      <rPr>
        <sz val="11"/>
        <color rgb="FF000000"/>
        <rFont val="微软雅黑"/>
        <charset val="134"/>
      </rPr>
      <t>a) 如因价值申报、知识产权、当地禁止进口、产品认证等原因导致的海关扣货不在赔偿范围内，但会协助发件人提交资料处理</t>
    </r>
    <r>
      <rPr>
        <sz val="11"/>
        <color rgb="FF000000"/>
        <rFont val="微软雅黑"/>
        <charset val="134"/>
      </rPr>
      <t xml:space="preserve">      </t>
    </r>
  </si>
  <si>
    <r>
      <rPr>
        <sz val="11"/>
        <color rgb="FF000000"/>
        <rFont val="微软雅黑"/>
        <charset val="134"/>
      </rPr>
      <t>b) 只对整箱、整袋丢失按照我司赔偿标准赔偿，内件物品缺失、损坏不受理赔偿</t>
    </r>
    <r>
      <rPr>
        <sz val="11"/>
        <color rgb="FF000000"/>
        <rFont val="微软雅黑"/>
        <charset val="134"/>
      </rPr>
      <t xml:space="preserve"> </t>
    </r>
  </si>
  <si>
    <t>特别注明：国家美国&amp;波多黎各&amp;美国偏远地区，因航班起飞后，清关预报已上传至美国海关系统，并产生对应关税，因关税属于我司代缴，故缴税后发生的任何异常，都将无法办理退税；</t>
  </si>
  <si>
    <r>
      <rPr>
        <sz val="11"/>
        <color rgb="FF000000"/>
        <rFont val="微软雅黑"/>
        <charset val="134"/>
      </rPr>
      <t>(1)燕文网站：www.yw56.com.cn</t>
    </r>
    <r>
      <rPr>
        <sz val="11"/>
        <color rgb="FF000000"/>
        <rFont val="微软雅黑"/>
        <charset val="134"/>
      </rPr>
      <t xml:space="preserve">      </t>
    </r>
  </si>
  <si>
    <r>
      <rPr>
        <sz val="11"/>
        <color rgb="FF000000"/>
        <rFont val="微软雅黑"/>
        <charset val="134"/>
      </rPr>
      <t>(2)https://www.ship24.com/</t>
    </r>
    <r>
      <rPr>
        <sz val="11"/>
        <color rgb="FF000000"/>
        <rFont val="微软雅黑"/>
        <charset val="134"/>
      </rPr>
      <t xml:space="preserve">  </t>
    </r>
  </si>
  <si>
    <t>暂无</t>
  </si>
  <si>
    <t>Country Code</t>
  </si>
  <si>
    <t>参考时效 (自然日)</t>
  </si>
  <si>
    <t>特殊要求</t>
  </si>
  <si>
    <t>申报价值</t>
  </si>
  <si>
    <t>重量要求</t>
  </si>
  <si>
    <t>包装尺寸</t>
  </si>
  <si>
    <t>派送地址要求</t>
  </si>
  <si>
    <t>退件重派</t>
  </si>
  <si>
    <t>税费征收说明</t>
  </si>
  <si>
    <t>8-15天</t>
  </si>
  <si>
    <r>
      <rPr>
        <sz val="11"/>
        <color rgb="FF000000"/>
        <rFont val="微软雅黑"/>
        <charset val="134"/>
      </rPr>
      <t>A.货物申报品名及相关信息，必须具体、精确，而某些常见的模糊描述将不再被接受；必须确保清关预报品名描述包括货物名称，用途，材质等信息；</t>
    </r>
    <r>
      <rPr>
        <sz val="11"/>
        <color rgb="FF000000"/>
        <rFont val="微软雅黑"/>
        <charset val="134"/>
      </rPr>
      <t xml:space="preserve">
</t>
    </r>
    <r>
      <rPr>
        <sz val="11"/>
        <color rgb="FF000000"/>
        <rFont val="微软雅黑"/>
        <charset val="134"/>
      </rPr>
      <t>B.收件人名应该包括""名+姓""，而不是单名/单姓；</t>
    </r>
    <r>
      <rPr>
        <sz val="11"/>
        <color rgb="FF000000"/>
        <rFont val="微软雅黑"/>
        <charset val="134"/>
      </rPr>
      <t xml:space="preserve">
</t>
    </r>
    <r>
      <rPr>
        <sz val="11"/>
        <color rgb="FF000000"/>
        <rFont val="微软雅黑"/>
        <charset val="134"/>
      </rPr>
      <t>C.请客户留意如实填写货物信息，并保证申报信息的真实性、准确性和完整性，我司对客户交寄的货物不具有审查义务，如因美国海关重新估值产生的扣关、延误、补交税款及额外罚款，我司保留追责和补收的权利。</t>
    </r>
  </si>
  <si>
    <t>请如实申报，单个品名的申报价值需大于等于1美金，小于等于249美金；不接受同一个收件人名且同一个地址，当天累计包裹申报价值超过249美金。</t>
  </si>
  <si>
    <t>不超过30kg</t>
  </si>
  <si>
    <r>
      <rPr>
        <sz val="11"/>
        <color rgb="FF000000"/>
        <rFont val="微软雅黑"/>
        <charset val="134"/>
      </rPr>
      <t>1、不接受异形件如圆柱状，管状或者棱状包裹等</t>
    </r>
    <r>
      <rPr>
        <sz val="11"/>
        <color rgb="FF000000"/>
        <rFont val="微软雅黑"/>
        <charset val="134"/>
      </rPr>
      <t xml:space="preserve">
</t>
    </r>
    <r>
      <rPr>
        <sz val="11"/>
        <color rgb="FF000000"/>
        <rFont val="微软雅黑"/>
        <charset val="134"/>
      </rPr>
      <t>2、A. 最小尺寸 15*10*2cm</t>
    </r>
    <r>
      <rPr>
        <sz val="11"/>
        <color rgb="FF000000"/>
        <rFont val="微软雅黑"/>
        <charset val="134"/>
      </rPr>
      <t xml:space="preserve">
</t>
    </r>
    <r>
      <rPr>
        <sz val="11"/>
        <color rgb="FF000000"/>
        <rFont val="微软雅黑"/>
        <charset val="134"/>
      </rPr>
      <t>B.最大尺寸：55*45*38cm（无需加收费用）；</t>
    </r>
    <r>
      <rPr>
        <sz val="11"/>
        <color rgb="FF000000"/>
        <rFont val="微软雅黑"/>
        <charset val="134"/>
      </rPr>
      <t xml:space="preserve">
</t>
    </r>
    <r>
      <rPr>
        <sz val="11"/>
        <color rgb="FF000000"/>
        <rFont val="微软雅黑"/>
        <charset val="134"/>
      </rPr>
      <t>C.若发货包裹任意一边超最大尺寸但未超拒绝承运尺寸需加收100RMB。</t>
    </r>
    <r>
      <rPr>
        <sz val="11"/>
        <color rgb="FF000000"/>
        <rFont val="微软雅黑"/>
        <charset val="134"/>
      </rPr>
      <t xml:space="preserve">
</t>
    </r>
    <r>
      <rPr>
        <sz val="11"/>
        <color rgb="FF000000"/>
        <rFont val="微软雅黑"/>
        <charset val="134"/>
      </rPr>
      <t>3、美国拒绝承运包裹尺寸：</t>
    </r>
    <r>
      <rPr>
        <sz val="11"/>
        <color rgb="FF000000"/>
        <rFont val="微软雅黑"/>
        <charset val="134"/>
      </rPr>
      <t xml:space="preserve">
</t>
    </r>
    <r>
      <rPr>
        <sz val="11"/>
        <color rgb="FF000000"/>
        <rFont val="微软雅黑"/>
        <charset val="134"/>
      </rPr>
      <t>任意单边 &gt;90cm或长+2x（宽+高）&gt; 213cm。</t>
    </r>
    <r>
      <rPr>
        <sz val="11"/>
        <color rgb="FF000000"/>
        <rFont val="微软雅黑"/>
        <charset val="134"/>
      </rPr>
      <t xml:space="preserve">
</t>
    </r>
    <r>
      <rPr>
        <sz val="11"/>
        <color rgb="FF000000"/>
        <rFont val="微软雅黑"/>
        <charset val="134"/>
      </rPr>
      <t>若客户发运拒绝承运尺寸的包裹，我司将保留补收高额附加费权利。</t>
    </r>
  </si>
  <si>
    <t>美国通达本土全境，但不接受APO/FPO地址、阿拉斯加、夏威夷等偏远地区，波多黎各、关岛等境外地址。限制邮编（前三位）：090-099、340、962-966、006-009、967-969、995-999。</t>
  </si>
  <si>
    <t>无退回中国服务，可提供本土重派服务，如需重派请在制单前联系您的燕文销售进行申请配置。自退回海外仓并通知客户包裹退回日起，30天内客户可选择重派，重派费用为50元/票，若超过30天无回复，包裹默认被销毁，销毁免费。</t>
  </si>
  <si>
    <t>关税费用根据美国海关执行的各HTS CODE对应税率收取（具体可查询CBP官网），税金我司垫付并随约定账期出具账单，因新的清关模式约束，我司无法提供各个包裹的税单凭证。</t>
  </si>
  <si>
    <t>10-15天</t>
  </si>
  <si>
    <r>
      <rPr>
        <sz val="11"/>
        <color rgb="FF000000"/>
        <rFont val="微软雅黑"/>
        <charset val="134"/>
      </rPr>
      <t>1. 过滤器、户外工具（管制刀具、火石、弹弓等）、手电筒（激光）、刀具、克隆粉（粉末）等，加拿大海关严查品名不建议申报。（filter，flashlight，laser，military，nunchakus，silencer等）</t>
    </r>
    <r>
      <rPr>
        <sz val="11"/>
        <color rgb="FF000000"/>
        <rFont val="微软雅黑"/>
        <charset val="134"/>
      </rPr>
      <t xml:space="preserve">
</t>
    </r>
    <r>
      <rPr>
        <sz val="11"/>
        <color rgb="FF000000"/>
        <rFont val="微软雅黑"/>
        <charset val="134"/>
      </rPr>
      <t>2. 若包裹因申报不正确、低报、瞒报、发运违禁品、侵权等不合规行为导致清关异常而产生异常费用（包括但不限于税费、罚款、销毁费等），具体判决结果以实际当地海关判定的为准，后期会统一向发件人收取</t>
    </r>
  </si>
  <si>
    <t>请如实申报，申报价值不能超过300加币（约等同于210美金），其中5.001-30KG重量段申报价值限制不能低于20加币（约等同于13.9美金）</t>
  </si>
  <si>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最小为：15*10cm, 最大为: 最长边≤100cm，第二边长≤76cm, 长+2*宽+2*高≤250cm</t>
    </r>
  </si>
  <si>
    <r>
      <rPr>
        <sz val="11"/>
        <color rgb="FF000000"/>
        <rFont val="微软雅黑"/>
        <charset val="134"/>
      </rPr>
      <t>1.</t>
    </r>
    <r>
      <rPr>
        <sz val="11"/>
        <color rgb="FF000000"/>
        <rFont val="微软雅黑"/>
        <charset val="134"/>
      </rPr>
      <t xml:space="preserve">  </t>
    </r>
    <r>
      <rPr>
        <sz val="11"/>
        <color rgb="FF000000"/>
        <rFont val="微软雅黑"/>
        <charset val="134"/>
      </rPr>
      <t>收件人名称必填且需提供收件人的全名-first name（名）and last name（姓），英文名字需要用空格隔开名和姓。</t>
    </r>
    <r>
      <rPr>
        <sz val="11"/>
        <color rgb="FF000000"/>
        <rFont val="微软雅黑"/>
        <charset val="134"/>
      </rPr>
      <t xml:space="preserve">
</t>
    </r>
    <r>
      <rPr>
        <sz val="11"/>
        <color rgb="FF000000"/>
        <rFont val="微软雅黑"/>
        <charset val="134"/>
      </rPr>
      <t>2.</t>
    </r>
    <r>
      <rPr>
        <sz val="11"/>
        <color rgb="FF000000"/>
        <rFont val="微软雅黑"/>
        <charset val="134"/>
      </rPr>
      <t xml:space="preserve">  </t>
    </r>
    <r>
      <rPr>
        <sz val="11"/>
        <color rgb="FF000000"/>
        <rFont val="微软雅黑"/>
        <charset val="134"/>
      </rPr>
      <t>商品中英文描述需详细且完整，申报超过20CAD的货物，必须在填申报品名时注明材质，如塑料玩具：plastic toys。</t>
    </r>
  </si>
  <si>
    <r>
      <rPr>
        <sz val="11"/>
        <color rgb="FF000000"/>
        <rFont val="微软雅黑"/>
        <charset val="134"/>
      </rPr>
      <t>无退回中国服务，可提供重派服务，个别服务无重派，具体请以客服通知为准。</t>
    </r>
    <r>
      <rPr>
        <sz val="11"/>
        <color rgb="FF000000"/>
        <rFont val="微软雅黑"/>
        <charset val="134"/>
      </rPr>
      <t xml:space="preserve">
</t>
    </r>
    <r>
      <rPr>
        <sz val="11"/>
        <color rgb="FF000000"/>
        <rFont val="微软雅黑"/>
        <charset val="134"/>
      </rPr>
      <t>重派费：首1KG为82RMB/票，续1KG为12RMB/票，不足1公斤按1公斤计费（含退回运费）。</t>
    </r>
  </si>
  <si>
    <r>
      <rPr>
        <sz val="11"/>
        <color rgb="FF000000"/>
        <rFont val="微软雅黑"/>
        <charset val="134"/>
      </rPr>
      <t>DDP服务，加拿大免税额为20CAD，申报价值在20CAD以下，免税费；</t>
    </r>
    <r>
      <rPr>
        <sz val="11"/>
        <color rgb="FF000000"/>
        <rFont val="微软雅黑"/>
        <charset val="134"/>
      </rPr>
      <t xml:space="preserve">
</t>
    </r>
    <r>
      <rPr>
        <sz val="11"/>
        <color rgb="FF000000"/>
        <rFont val="微软雅黑"/>
        <charset val="134"/>
      </rPr>
      <t>申报价值超过20CAD（约等同13.9USD）时，我司将依据客户申报的产品价值收取20%税费</t>
    </r>
  </si>
  <si>
    <t>15-30天</t>
  </si>
  <si>
    <r>
      <rPr>
        <sz val="11"/>
        <color rgb="FF000000"/>
        <rFont val="微软雅黑"/>
        <charset val="134"/>
      </rPr>
      <t>因墨西哥海关针对原产中国的鞋类产品实施反倾销政策，增收高额反倾销税以及增值税，该渠道自2024.11.11起停收鞋类产品。</t>
    </r>
    <r>
      <rPr>
        <sz val="11"/>
        <color rgb="FF000000"/>
        <rFont val="微软雅黑"/>
        <charset val="134"/>
      </rPr>
      <t xml:space="preserve">
</t>
    </r>
    <r>
      <rPr>
        <sz val="11"/>
        <color rgb="FF000000"/>
        <rFont val="微软雅黑"/>
        <charset val="134"/>
      </rPr>
      <t>墨西哥海关将于2025年起正式开启查验包裏的收件人RFC/CURP信息，具体强制认证时间暂确认为2025年1月1日，建议发件人提前收集，并且下单时请开始在“税号”字段填写此信息，以下提供RFC/CURP税号规则，请参考。</t>
    </r>
    <r>
      <rPr>
        <sz val="11"/>
        <color rgb="FF000000"/>
        <rFont val="微软雅黑"/>
        <charset val="134"/>
      </rPr>
      <t xml:space="preserve">
</t>
    </r>
    <r>
      <rPr>
        <sz val="11"/>
        <color rgb="FF000000"/>
        <rFont val="微软雅黑"/>
        <charset val="134"/>
      </rPr>
      <t>RFC：由13位字符组成，格式为4位字母+6位数字+3位字母/数字。</t>
    </r>
    <r>
      <rPr>
        <sz val="11"/>
        <color rgb="FF000000"/>
        <rFont val="微软雅黑"/>
        <charset val="134"/>
      </rPr>
      <t xml:space="preserve">
</t>
    </r>
    <r>
      <rPr>
        <sz val="11"/>
        <color rgb="FF000000"/>
        <rFont val="微软雅黑"/>
        <charset val="134"/>
      </rPr>
      <t>CURP：由18位字符组成，格式为4位字母+6位数字+8位字母/数字</t>
    </r>
    <r>
      <rPr>
        <sz val="11"/>
        <color rgb="FF000000"/>
        <rFont val="微软雅黑"/>
        <charset val="134"/>
      </rPr>
      <t xml:space="preserve">
</t>
    </r>
    <r>
      <rPr>
        <sz val="11"/>
        <color rgb="FF000000"/>
        <rFont val="微软雅黑"/>
        <charset val="134"/>
      </rPr>
      <t>禁寄品主要类别：</t>
    </r>
    <r>
      <rPr>
        <sz val="11"/>
        <color rgb="FF000000"/>
        <rFont val="微软雅黑"/>
        <charset val="134"/>
      </rPr>
      <t xml:space="preserve">
</t>
    </r>
    <r>
      <rPr>
        <sz val="11"/>
        <color rgb="FF000000"/>
        <rFont val="微软雅黑"/>
        <charset val="134"/>
      </rPr>
      <t>1.个人护理、美容、按摩功能用品：</t>
    </r>
    <r>
      <rPr>
        <sz val="11"/>
        <color rgb="FF000000"/>
        <rFont val="微软雅黑"/>
        <charset val="134"/>
      </rPr>
      <t xml:space="preserve">
</t>
    </r>
    <r>
      <rPr>
        <sz val="11"/>
        <color rgb="FF000000"/>
        <rFont val="微软雅黑"/>
        <charset val="134"/>
      </rPr>
      <t>洗脸仪、吸黑头仪、电动牙刷、UV光面罩等美容仪；电动、非电动按摩仪器；减肥腰带、减肥仪；塑形、束腰类穿戴；脚趾矫正、牙齿保持器、牙齿矫正等正畸用品</t>
    </r>
    <r>
      <rPr>
        <sz val="11"/>
        <color rgb="FF000000"/>
        <rFont val="微软雅黑"/>
        <charset val="134"/>
      </rPr>
      <t xml:space="preserve">
</t>
    </r>
    <r>
      <rPr>
        <sz val="11"/>
        <color rgb="FF000000"/>
        <rFont val="微软雅黑"/>
        <charset val="134"/>
      </rPr>
      <t>2.三岁以下儿童用品、玩具：</t>
    </r>
    <r>
      <rPr>
        <sz val="11"/>
        <color rgb="FF000000"/>
        <rFont val="微软雅黑"/>
        <charset val="134"/>
      </rPr>
      <t xml:space="preserve">
</t>
    </r>
    <r>
      <rPr>
        <sz val="11"/>
        <color rgb="FF000000"/>
        <rFont val="微软雅黑"/>
        <charset val="134"/>
      </rPr>
      <t>所有适用于三岁及三岁以下儿童使用的物品，如奶嘴、婴儿水壶等。</t>
    </r>
    <r>
      <rPr>
        <sz val="11"/>
        <color rgb="FF000000"/>
        <rFont val="微软雅黑"/>
        <charset val="134"/>
      </rPr>
      <t xml:space="preserve">
</t>
    </r>
    <r>
      <rPr>
        <sz val="11"/>
        <color rgb="FF000000"/>
        <rFont val="微软雅黑"/>
        <charset val="134"/>
      </rPr>
      <t>3.医疗器械、用品：吸鼻器、听诊器、注射器、血氧仪、血压计、血压仪、血糖仪、体温计、温度计、心电仪、针灸仪，轮椅、负压器、耳镜、多普勒设备、电疗设备、牙科红外摄像仪内窥镜、助听器、理疗用品等医疗设备；止血带，创口贴等外用医疗用品；</t>
    </r>
    <r>
      <rPr>
        <sz val="11"/>
        <color rgb="FF000000"/>
        <rFont val="微软雅黑"/>
        <charset val="134"/>
      </rPr>
      <t xml:space="preserve">
</t>
    </r>
    <r>
      <rPr>
        <sz val="11"/>
        <color rgb="FF000000"/>
        <rFont val="微软雅黑"/>
        <charset val="134"/>
      </rPr>
      <t>4.空气、水等净化仪器和有消毒功能的物品：如空气净化器、水净化器，包括空气加湿器；带有消毒功能的仪器</t>
    </r>
    <r>
      <rPr>
        <sz val="11"/>
        <color rgb="FF000000"/>
        <rFont val="微软雅黑"/>
        <charset val="134"/>
      </rPr>
      <t xml:space="preserve">
</t>
    </r>
    <r>
      <rPr>
        <sz val="11"/>
        <color rgb="FF000000"/>
        <rFont val="微软雅黑"/>
        <charset val="134"/>
      </rPr>
      <t>5.涉及名牌、奢侈品、注册品牌物品：</t>
    </r>
    <r>
      <rPr>
        <sz val="11"/>
        <color rgb="FF000000"/>
        <rFont val="微软雅黑"/>
        <charset val="134"/>
      </rPr>
      <t xml:space="preserve">
</t>
    </r>
    <r>
      <rPr>
        <sz val="11"/>
        <color rgb="FF000000"/>
        <rFont val="微软雅黑"/>
        <charset val="134"/>
      </rPr>
      <t>Gucci、Prada、Channel等奢侈品；带有著名品牌、奢侈品标志的物品；采用著名品牌、奢侈品牌设计的物品；涉及、带有知名动漫、电影人物形象的物品；</t>
    </r>
    <r>
      <rPr>
        <sz val="11"/>
        <color rgb="FF000000"/>
        <rFont val="微软雅黑"/>
        <charset val="134"/>
      </rPr>
      <t xml:space="preserve">
</t>
    </r>
    <r>
      <rPr>
        <sz val="11"/>
        <color rgb="FF000000"/>
        <rFont val="微软雅黑"/>
        <charset val="134"/>
      </rPr>
      <t>6.盗版、假冒、仿品：所有仿牌鞋服装、山寨电子产品等</t>
    </r>
    <r>
      <rPr>
        <sz val="11"/>
        <color rgb="FF000000"/>
        <rFont val="微软雅黑"/>
        <charset val="134"/>
      </rPr>
      <t xml:space="preserve">
</t>
    </r>
    <r>
      <rPr>
        <sz val="11"/>
        <color rgb="FF000000"/>
        <rFont val="微软雅黑"/>
        <charset val="134"/>
      </rPr>
      <t>7.特定种类的玩具：人形的、有人体形象的玩具、玩偶（如手办等），带有著名动画、影视人物图片、图标的玩具（如带有迪士尼、漫威人物的玩具）</t>
    </r>
    <r>
      <rPr>
        <sz val="11"/>
        <color rgb="FF000000"/>
        <rFont val="微软雅黑"/>
        <charset val="134"/>
      </rPr>
      <t xml:space="preserve">
</t>
    </r>
    <r>
      <rPr>
        <sz val="11"/>
        <color rgb="FF000000"/>
        <rFont val="微软雅黑"/>
        <charset val="134"/>
      </rPr>
      <t>8.成人用品、性玩具</t>
    </r>
    <r>
      <rPr>
        <sz val="11"/>
        <color rgb="FF000000"/>
        <rFont val="微软雅黑"/>
        <charset val="134"/>
      </rPr>
      <t xml:space="preserve">
</t>
    </r>
    <r>
      <rPr>
        <sz val="11"/>
        <color rgb="FF000000"/>
        <rFont val="微软雅黑"/>
        <charset val="134"/>
      </rPr>
      <t>9.涉及反倾销物品：自行车及自行车配件；木制铅笔、中性笔、圆珠笔；其他涉及反倾销的物品</t>
    </r>
    <r>
      <rPr>
        <sz val="11"/>
        <color rgb="FF000000"/>
        <rFont val="微软雅黑"/>
        <charset val="134"/>
      </rPr>
      <t xml:space="preserve">
</t>
    </r>
    <r>
      <rPr>
        <sz val="11"/>
        <color rgb="FF000000"/>
        <rFont val="微软雅黑"/>
        <charset val="134"/>
      </rPr>
      <t>10.其他：粉末、颗粒状：眼影、粉饼等；</t>
    </r>
    <r>
      <rPr>
        <sz val="11"/>
        <color rgb="FF000000"/>
        <rFont val="微软雅黑"/>
        <charset val="134"/>
      </rPr>
      <t xml:space="preserve">
</t>
    </r>
    <r>
      <rPr>
        <sz val="11"/>
        <color rgb="FF000000"/>
        <rFont val="微软雅黑"/>
        <charset val="134"/>
      </rPr>
      <t>液体状：护手霜、牙膏、护肤液、香水、指甲油等；针状物；墨粉、墨水</t>
    </r>
    <r>
      <rPr>
        <sz val="11"/>
        <color rgb="FF000000"/>
        <rFont val="微软雅黑"/>
        <charset val="134"/>
      </rPr>
      <t xml:space="preserve">
</t>
    </r>
    <r>
      <rPr>
        <sz val="11"/>
        <color rgb="FF000000"/>
        <rFont val="微软雅黑"/>
        <charset val="134"/>
      </rPr>
      <t>面膜类：面膜、鼻贴等</t>
    </r>
    <r>
      <rPr>
        <sz val="11"/>
        <color rgb="FF000000"/>
        <rFont val="微软雅黑"/>
        <charset val="134"/>
      </rPr>
      <t xml:space="preserve">
</t>
    </r>
    <r>
      <rPr>
        <sz val="11"/>
        <color rgb="FF000000"/>
        <rFont val="微软雅黑"/>
        <charset val="134"/>
      </rPr>
      <t>压缩喷剂：防晒喷剂等</t>
    </r>
    <r>
      <rPr>
        <sz val="11"/>
        <color rgb="FF000000"/>
        <rFont val="微软雅黑"/>
        <charset val="134"/>
      </rPr>
      <t xml:space="preserve">
</t>
    </r>
    <r>
      <rPr>
        <sz val="11"/>
        <color rgb="FF000000"/>
        <rFont val="微软雅黑"/>
        <charset val="134"/>
      </rPr>
      <t>下港敏感货物：头盔，面具，防护面具，雨伞等</t>
    </r>
    <r>
      <rPr>
        <sz val="11"/>
        <color rgb="FF000000"/>
        <rFont val="微软雅黑"/>
        <charset val="134"/>
      </rPr>
      <t xml:space="preserve">
</t>
    </r>
    <r>
      <rPr>
        <sz val="11"/>
        <color rgb="FF000000"/>
        <rFont val="微软雅黑"/>
        <charset val="134"/>
      </rPr>
      <t>防疫物资：任何形式的口罩，口罩滤片，酒精消毒纸巾，防护隔离面罩，测温枪，防护手套，防护服等</t>
    </r>
    <r>
      <rPr>
        <sz val="11"/>
        <color rgb="FF000000"/>
        <rFont val="微软雅黑"/>
        <charset val="134"/>
      </rPr>
      <t xml:space="preserve">
</t>
    </r>
    <r>
      <rPr>
        <sz val="11"/>
        <color rgb="FF000000"/>
        <rFont val="微软雅黑"/>
        <charset val="134"/>
      </rPr>
      <t>植物和植物材料：植物、花卉、种子</t>
    </r>
    <r>
      <rPr>
        <sz val="11"/>
        <color rgb="FF000000"/>
        <rFont val="微软雅黑"/>
        <charset val="134"/>
      </rPr>
      <t xml:space="preserve">
</t>
    </r>
    <r>
      <rPr>
        <sz val="11"/>
        <color rgb="FF000000"/>
        <rFont val="微软雅黑"/>
        <charset val="134"/>
      </rPr>
      <t>高货值：古董、文物、珠宝、黄金、白银、钻石、玉器、高价值字画等贵重货品</t>
    </r>
    <r>
      <rPr>
        <sz val="11"/>
        <color rgb="FF000000"/>
        <rFont val="微软雅黑"/>
        <charset val="134"/>
      </rPr>
      <t xml:space="preserve">
</t>
    </r>
    <r>
      <rPr>
        <sz val="11"/>
        <color rgb="FF000000"/>
        <rFont val="微软雅黑"/>
        <charset val="134"/>
      </rPr>
      <t>木制品：木盒，木勺，木桶，木铲，竹蒸笼，木质玩具（积木，孔明锁等），实木家具（如木桌，木椅，木书架…等），实木工具，非厨房用途的竹制品</t>
    </r>
    <r>
      <rPr>
        <sz val="11"/>
        <color rgb="FF000000"/>
        <rFont val="微软雅黑"/>
        <charset val="134"/>
      </rPr>
      <t xml:space="preserve">
</t>
    </r>
    <r>
      <rPr>
        <sz val="11"/>
        <color rgb="FF000000"/>
        <rFont val="微软雅黑"/>
        <charset val="134"/>
      </rPr>
      <t>燃油滤清器</t>
    </r>
  </si>
  <si>
    <t>申报价值不能超过300美元，请注意，以下品名不接受50美元以下的低申报价值：Mobile Phone（手机），HD Media Player（高清媒体播放器），Multimedia Player（多媒体播放器），3D Printer（3D打印机），Tablet Notebook（平板笔记本），Laptop（笔记本电脑），CPU（中央处理器），Sports bracelet（运动手环）等；</t>
  </si>
  <si>
    <t>不超过5kg</t>
  </si>
  <si>
    <r>
      <rPr>
        <sz val="11"/>
        <color rgb="FF000000"/>
        <rFont val="微软雅黑"/>
        <charset val="134"/>
      </rPr>
      <t>最大尺寸：长+宽+高＜150CM，最长边＜120CM</t>
    </r>
    <r>
      <rPr>
        <sz val="11"/>
        <color rgb="FF000000"/>
        <rFont val="微软雅黑"/>
        <charset val="134"/>
      </rPr>
      <t xml:space="preserve">
</t>
    </r>
  </si>
  <si>
    <r>
      <rPr>
        <sz val="11"/>
        <color rgb="FF000000"/>
        <rFont val="微软雅黑"/>
        <charset val="134"/>
      </rPr>
      <t>1.收件人电话：必填，格式要求为 52+8位数字或52+10位数字</t>
    </r>
    <r>
      <rPr>
        <sz val="11"/>
        <color rgb="FF000000"/>
        <rFont val="微软雅黑"/>
        <charset val="134"/>
      </rPr>
      <t xml:space="preserve">
</t>
    </r>
    <r>
      <rPr>
        <sz val="11"/>
        <color rgb="FF000000"/>
        <rFont val="微软雅黑"/>
        <charset val="134"/>
      </rPr>
      <t>2.邮编服务范围调整：新增部分邮编覆盖范围，具体通达覆盖邮编请参考报价单附录</t>
    </r>
  </si>
  <si>
    <t>无退回中国服务，能否重派以实际收到重派通知为准，重派费25元/件</t>
  </si>
  <si>
    <r>
      <rPr>
        <sz val="11"/>
        <color rgb="FF000000"/>
        <rFont val="微软雅黑"/>
        <charset val="134"/>
      </rPr>
      <t>墨西哥税费改为0起征，自2024年12月23日起到达我司揽收仓库的包裹，我司将代收代缴申报价值19%的综合税金。</t>
    </r>
    <r>
      <rPr>
        <sz val="11"/>
        <color rgb="FF000000"/>
        <rFont val="微软雅黑"/>
        <charset val="134"/>
      </rPr>
      <t xml:space="preserve">
</t>
    </r>
  </si>
  <si>
    <t>12-18天</t>
  </si>
  <si>
    <r>
      <rPr>
        <sz val="11"/>
        <color rgb="FF000000"/>
        <rFont val="微软雅黑"/>
        <charset val="134"/>
      </rPr>
      <t>1、不接受异形件如圆柱状，管状或者棱状包裹等</t>
    </r>
    <r>
      <rPr>
        <sz val="11"/>
        <color rgb="FF000000"/>
        <rFont val="微软雅黑"/>
        <charset val="134"/>
      </rPr>
      <t xml:space="preserve">  </t>
    </r>
    <r>
      <rPr>
        <sz val="11"/>
        <color rgb="FF000000"/>
        <rFont val="微软雅黑"/>
        <charset val="134"/>
      </rPr>
      <t xml:space="preserve">
</t>
    </r>
    <r>
      <rPr>
        <sz val="11"/>
        <color rgb="FF000000"/>
        <rFont val="微软雅黑"/>
        <charset val="134"/>
      </rPr>
      <t>2、A. 最小尺寸 15*10*2cm</t>
    </r>
    <r>
      <rPr>
        <sz val="11"/>
        <color rgb="FF000000"/>
        <rFont val="微软雅黑"/>
        <charset val="134"/>
      </rPr>
      <t xml:space="preserve">  </t>
    </r>
    <r>
      <rPr>
        <sz val="11"/>
        <color rgb="FF000000"/>
        <rFont val="微软雅黑"/>
        <charset val="134"/>
      </rPr>
      <t xml:space="preserve">
</t>
    </r>
    <r>
      <rPr>
        <sz val="11"/>
        <color rgb="FF000000"/>
        <rFont val="微软雅黑"/>
        <charset val="134"/>
      </rPr>
      <t>B.最大尺寸：55*45*38cm（无需加收费用）；</t>
    </r>
    <r>
      <rPr>
        <sz val="11"/>
        <color rgb="FF000000"/>
        <rFont val="微软雅黑"/>
        <charset val="134"/>
      </rPr>
      <t xml:space="preserve">
</t>
    </r>
    <r>
      <rPr>
        <sz val="11"/>
        <color rgb="FF000000"/>
        <rFont val="微软雅黑"/>
        <charset val="134"/>
      </rPr>
      <t>C.若发货包裹任意一边超最大尺寸但未超拒绝承运尺寸需加收100RMB。</t>
    </r>
    <r>
      <rPr>
        <sz val="11"/>
        <color rgb="FF000000"/>
        <rFont val="微软雅黑"/>
        <charset val="134"/>
      </rPr>
      <t xml:space="preserve">
</t>
    </r>
    <r>
      <rPr>
        <sz val="11"/>
        <color rgb="FF000000"/>
        <rFont val="微软雅黑"/>
        <charset val="134"/>
      </rPr>
      <t>3、美国拒绝承运包裹尺寸：</t>
    </r>
    <r>
      <rPr>
        <sz val="11"/>
        <color rgb="FF000000"/>
        <rFont val="微软雅黑"/>
        <charset val="134"/>
      </rPr>
      <t xml:space="preserve">  </t>
    </r>
    <r>
      <rPr>
        <sz val="11"/>
        <color rgb="FF000000"/>
        <rFont val="微软雅黑"/>
        <charset val="134"/>
      </rPr>
      <t>任意单边 &gt;90cm或长+2x（宽+高）&gt; 213cm。</t>
    </r>
    <r>
      <rPr>
        <sz val="11"/>
        <color rgb="FF000000"/>
        <rFont val="微软雅黑"/>
        <charset val="134"/>
      </rPr>
      <t xml:space="preserve">  </t>
    </r>
    <r>
      <rPr>
        <sz val="11"/>
        <color rgb="FF000000"/>
        <rFont val="微软雅黑"/>
        <charset val="134"/>
      </rPr>
      <t xml:space="preserve">
</t>
    </r>
    <r>
      <rPr>
        <sz val="11"/>
        <color rgb="FF000000"/>
        <rFont val="微软雅黑"/>
        <charset val="134"/>
      </rPr>
      <t>若客户发运拒绝承运尺寸的包裹，我司将保留补收高额附加费权利。</t>
    </r>
    <r>
      <rPr>
        <sz val="11"/>
        <color rgb="FF000000"/>
        <rFont val="微软雅黑"/>
        <charset val="134"/>
      </rPr>
      <t xml:space="preserve">  </t>
    </r>
  </si>
  <si>
    <t>可达006,007,009开头波多黎各地区邮编</t>
  </si>
  <si>
    <t>无退回中国服务，无重派服务，派送不成功默认销毁。</t>
  </si>
  <si>
    <t>RA</t>
  </si>
  <si>
    <t>可达967（除96799）,968,995,996,997998,999开头的美国偏远地区（夏威夷&amp;阿拉斯加）邮编。</t>
  </si>
  <si>
    <r>
      <rPr>
        <sz val="11"/>
        <color rgb="FF000000"/>
        <rFont val="微软雅黑"/>
        <charset val="134"/>
      </rPr>
      <t>关税费用根据美国海关执行的各HTS CODE对应税率收取（具体可查询CBP官网），税金我司垫付并随约定账期出具账单，因新的清关模式约束，我司无法提供各个包裹的税单凭证。</t>
    </r>
    <r>
      <rPr>
        <sz val="11"/>
        <color rgb="FF000000"/>
        <rFont val="微软雅黑"/>
        <charset val="134"/>
      </rPr>
      <t xml:space="preserve">
</t>
    </r>
  </si>
  <si>
    <t>GB</t>
  </si>
  <si>
    <t>5-12天</t>
  </si>
  <si>
    <t>-</t>
  </si>
  <si>
    <r>
      <rPr>
        <sz val="11"/>
        <color rgb="FF000000"/>
        <rFont val="微软雅黑"/>
        <charset val="134"/>
      </rPr>
      <t>英国（包括北爱尔兰地区）每日发给同一收件人包裹的合计申报价值＜135 英镑</t>
    </r>
    <r>
      <rPr>
        <sz val="11"/>
        <color rgb="FF000000"/>
        <rFont val="微软雅黑"/>
        <charset val="134"/>
      </rPr>
      <t xml:space="preserve">
</t>
    </r>
    <r>
      <rPr>
        <sz val="11"/>
        <color rgb="FF000000"/>
        <rFont val="微软雅黑"/>
        <charset val="134"/>
      </rPr>
      <t>为了预防万一，防止在海外查验时被要求提供相关信息，我们强烈建议！您在发货时，同时提供以下信息给我们，店铺的VAT税号，HS CODE 和销售订单号 order number。以上信息非必填。</t>
    </r>
    <r>
      <rPr>
        <sz val="11"/>
        <color rgb="FF000000"/>
        <rFont val="微软雅黑"/>
        <charset val="134"/>
      </rPr>
      <t xml:space="preserve">
</t>
    </r>
  </si>
  <si>
    <t>不超过20kg</t>
  </si>
  <si>
    <r>
      <rPr>
        <sz val="11"/>
        <color rgb="FF000000"/>
        <rFont val="微软雅黑"/>
        <charset val="134"/>
      </rPr>
      <t>0-20kg，单边不能超60CM，最大尺寸60*46*46</t>
    </r>
    <r>
      <rPr>
        <sz val="11"/>
        <color rgb="FF000000"/>
        <rFont val="微软雅黑"/>
        <charset val="134"/>
      </rPr>
      <t xml:space="preserve">
</t>
    </r>
    <r>
      <rPr>
        <sz val="11"/>
        <color rgb="FF000000"/>
        <rFont val="微软雅黑"/>
        <charset val="134"/>
      </rPr>
      <t>不接受圆柱体和异型件，有特殊需求请咨询销售</t>
    </r>
  </si>
  <si>
    <r>
      <rPr>
        <sz val="11"/>
        <color rgb="FF000000"/>
        <rFont val="微软雅黑"/>
        <charset val="134"/>
      </rPr>
      <t>1. 0-20kg 全境可达，军事地址除外</t>
    </r>
    <r>
      <rPr>
        <sz val="11"/>
        <color rgb="FF000000"/>
        <rFont val="微软雅黑"/>
        <charset val="134"/>
      </rPr>
      <t xml:space="preserve">
</t>
    </r>
    <r>
      <rPr>
        <sz val="11"/>
        <color rgb="FF000000"/>
        <rFont val="微软雅黑"/>
        <charset val="134"/>
      </rPr>
      <t>2. Jersey/Guernsey /Isle of Man 为偏远岛屿，派送至邮局无妥投节点</t>
    </r>
  </si>
  <si>
    <r>
      <rPr>
        <sz val="11"/>
        <color rgb="FF000000"/>
        <rFont val="微软雅黑"/>
        <charset val="134"/>
      </rPr>
      <t>1. 无退回中国服务；</t>
    </r>
    <r>
      <rPr>
        <sz val="11"/>
        <color rgb="FF000000"/>
        <rFont val="微软雅黑"/>
        <charset val="134"/>
      </rPr>
      <t xml:space="preserve">
</t>
    </r>
    <r>
      <rPr>
        <sz val="11"/>
        <color rgb="FF000000"/>
        <rFont val="微软雅黑"/>
        <charset val="134"/>
      </rPr>
      <t>2. 提供二次重派服务，可重派至英国境内(不含外岛)，重派期限为5天，即自通知客户包裹退回起，5天内，客户可选择重派，若不回复，超过5天后，包裹默认被销毁。重派费：45元/件；</t>
    </r>
    <r>
      <rPr>
        <sz val="11"/>
        <color rgb="FF000000"/>
        <rFont val="微软雅黑"/>
        <charset val="134"/>
      </rPr>
      <t xml:space="preserve">
</t>
    </r>
    <r>
      <rPr>
        <sz val="11"/>
        <color rgb="FF000000"/>
        <rFont val="微软雅黑"/>
        <charset val="134"/>
      </rPr>
      <t>3. 当包裹重量大于20kg或尺寸大于60*46*46cm，无二次重派服务。</t>
    </r>
  </si>
  <si>
    <t>增值税0起征点，0-135英镑的货物都需要缴纳VAT，税率20%，无论是平台卖家/自建站客户/个人商户/都在销售环节缴纳，燕文不再收取VAT。</t>
  </si>
  <si>
    <t>8-12天</t>
  </si>
  <si>
    <r>
      <rPr>
        <sz val="11"/>
        <color rgb="FF000000"/>
        <rFont val="微软雅黑"/>
        <charset val="134"/>
      </rPr>
      <t>法国对于玩具、电子产品、眼镜、太阳眼镜这些类别的产品，商品本身需要带有CE标识，且被海关查验时需要及时提供证明，若查验未能及时提供证明会导致货物被扣押。</t>
    </r>
    <r>
      <rPr>
        <sz val="11"/>
        <color rgb="FF000000"/>
        <rFont val="微软雅黑"/>
        <charset val="134"/>
      </rPr>
      <t xml:space="preserve">
</t>
    </r>
    <r>
      <rPr>
        <sz val="11"/>
        <color rgb="FF000000"/>
        <rFont val="微软雅黑"/>
        <charset val="134"/>
      </rPr>
      <t>自2021年7月16日，全新的商品安全条例正式在欧盟国家生效，具体条例要求如下：</t>
    </r>
    <r>
      <rPr>
        <sz val="11"/>
        <color rgb="FF000000"/>
        <rFont val="微软雅黑"/>
        <charset val="134"/>
      </rPr>
      <t xml:space="preserve">
</t>
    </r>
    <r>
      <rPr>
        <sz val="11"/>
        <color rgb="FF000000"/>
        <rFont val="微软雅黑"/>
        <charset val="134"/>
      </rPr>
      <t>1 所有向法国境内出售的带有CE标志的商品，除了要持有CE认证标志外，还需要带有CE标志的产品具有法国境内负责人作为商品合规性的联系人；</t>
    </r>
    <r>
      <rPr>
        <sz val="11"/>
        <color rgb="FF000000"/>
        <rFont val="微软雅黑"/>
        <charset val="134"/>
      </rPr>
      <t xml:space="preserve">
</t>
    </r>
    <r>
      <rPr>
        <sz val="11"/>
        <color rgb="FF000000"/>
        <rFont val="微软雅黑"/>
        <charset val="134"/>
      </rPr>
      <t>2 在 7 月 16 日之后，向法国销售带有 CE 标志的商品，但没有位于法国境内的负责人属于违法行为；</t>
    </r>
    <r>
      <rPr>
        <sz val="11"/>
        <color rgb="FF000000"/>
        <rFont val="微软雅黑"/>
        <charset val="134"/>
      </rPr>
      <t xml:space="preserve">
</t>
    </r>
    <r>
      <rPr>
        <sz val="11"/>
        <color rgb="FF000000"/>
        <rFont val="微软雅黑"/>
        <charset val="134"/>
      </rPr>
      <t>3 您需要确保自己带有 CE 标志的商品贴有联系人的信息，此类标签可以贴在商品本身、商品包装、快递包裹或者随附文件上均可。</t>
    </r>
    <r>
      <rPr>
        <sz val="11"/>
        <color rgb="FF000000"/>
        <rFont val="微软雅黑"/>
        <charset val="134"/>
      </rPr>
      <t xml:space="preserve">
</t>
    </r>
    <r>
      <rPr>
        <sz val="11"/>
        <color rgb="FF000000"/>
        <rFont val="微软雅黑"/>
        <charset val="134"/>
      </rPr>
      <t>若不符合以上安全条例，将有可能出现被海关查验、扣关、销毁的情况，由此带来的费用及损失由客户自行承担，海关查验的费用以账单为准。</t>
    </r>
    <r>
      <rPr>
        <sz val="11"/>
        <color rgb="FF000000"/>
        <rFont val="微软雅黑"/>
        <charset val="134"/>
      </rPr>
      <t xml:space="preserve">
</t>
    </r>
    <r>
      <rPr>
        <sz val="11"/>
        <color rgb="FF000000"/>
        <rFont val="微软雅黑"/>
        <charset val="134"/>
      </rPr>
      <t>严禁发仿牌，如有违反，引致的损失、罚款、清关费用等及法律责任由客户承担。</t>
    </r>
  </si>
  <si>
    <t>自2021年6月24日起，本产品发往欧盟27国的货物，每日发给同一收件人包裹的合计申报价值小于150欧元，均为DDP服务。暂不接受150欧元以上货物。</t>
  </si>
  <si>
    <r>
      <rPr>
        <sz val="11"/>
        <color rgb="FF000000"/>
        <rFont val="微软雅黑"/>
        <charset val="134"/>
      </rPr>
      <t>0-2KG 最长边≤60cm，长+宽+高≤90cm；2-30KG 最长边≤100cm，长+宽+高≤150cm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</si>
  <si>
    <r>
      <rPr>
        <sz val="11"/>
        <color rgb="FF000000"/>
        <rFont val="微软雅黑"/>
        <charset val="134"/>
      </rPr>
      <t>1.不接受PO.BOX地址的包裹</t>
    </r>
    <r>
      <rPr>
        <sz val="11"/>
        <color rgb="FF000000"/>
        <rFont val="微软雅黑"/>
        <charset val="134"/>
      </rPr>
      <t xml:space="preserve">
</t>
    </r>
    <r>
      <rPr>
        <sz val="11"/>
        <color rgb="FF000000"/>
        <rFont val="微软雅黑"/>
        <charset val="134"/>
      </rPr>
      <t>2.邮编限制：必须为5位纯数字（海外省以及军事基地不可），邮编开头为00、97、98的法属岛屿区域不通达</t>
    </r>
    <r>
      <rPr>
        <sz val="11"/>
        <color rgb="FF000000"/>
        <rFont val="微软雅黑"/>
        <charset val="134"/>
      </rPr>
      <t xml:space="preserve">
</t>
    </r>
    <r>
      <rPr>
        <sz val="11"/>
        <color rgb="FF000000"/>
        <rFont val="微软雅黑"/>
        <charset val="134"/>
      </rPr>
      <t>3.含ARMEE/CEDEX不可以发</t>
    </r>
  </si>
  <si>
    <t>无退回中国服务，能否重派以实际收到重派通知为准，重派费50元/件</t>
  </si>
  <si>
    <r>
      <rPr>
        <sz val="11"/>
        <color rgb="FF000000"/>
        <rFont val="微软雅黑"/>
        <charset val="134"/>
      </rPr>
      <t>根据欧盟海关新政要求，从2021年7月1日起，欧盟27国取消22欧以下免税政策，0欧起征。新政实施的时间节点是以货物抵达清关口岸为准。</t>
    </r>
    <r>
      <rPr>
        <sz val="11"/>
        <color rgb="FF000000"/>
        <rFont val="微软雅黑"/>
        <charset val="134"/>
      </rPr>
      <t xml:space="preserve">
</t>
    </r>
    <r>
      <rPr>
        <sz val="11"/>
        <color rgb="FF000000"/>
        <rFont val="微软雅黑"/>
        <charset val="134"/>
      </rPr>
      <t>对于2021年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t>
    </r>
    <r>
      <rPr>
        <sz val="11"/>
        <color rgb="FF000000"/>
        <rFont val="微软雅黑"/>
        <charset val="134"/>
      </rPr>
      <t xml:space="preserve">
</t>
    </r>
    <r>
      <rPr>
        <sz val="11"/>
        <color rgb="FF000000"/>
        <rFont val="微软雅黑"/>
        <charset val="134"/>
      </rPr>
      <t>凡是预缴税金的货物，收件人无需再支付税款。请如实申报，切勿低报，否则相关查验延误，扣留和罚款等风险均由发件人自行承担，同时，对低报货物，我司有权拒收。</t>
    </r>
    <r>
      <rPr>
        <sz val="11"/>
        <color rgb="FF000000"/>
        <rFont val="微软雅黑"/>
        <charset val="134"/>
      </rPr>
      <t xml:space="preserve">
</t>
    </r>
    <r>
      <rPr>
        <sz val="11"/>
        <color rgb="FF000000"/>
        <rFont val="微软雅黑"/>
        <charset val="134"/>
      </rPr>
      <t>货物因低报被法国海关查扣，要求按照实际价值缴纳税金和罚金，产生的费用由客户承担，费用以实际账单为准。</t>
    </r>
  </si>
  <si>
    <r>
      <rPr>
        <sz val="11"/>
        <color rgb="FF000000"/>
        <rFont val="微软雅黑"/>
        <charset val="134"/>
      </rPr>
      <t>1. 海关查验货物包裹的销售链接请务必在48小时内提供，超时和未提供的将会产生150欧罚金且无法豁免；</t>
    </r>
    <r>
      <rPr>
        <sz val="11"/>
        <color rgb="FF000000"/>
        <rFont val="微软雅黑"/>
        <charset val="134"/>
      </rPr>
      <t xml:space="preserve">
</t>
    </r>
    <r>
      <rPr>
        <sz val="11"/>
        <color rgb="FF000000"/>
        <rFont val="微软雅黑"/>
        <charset val="134"/>
      </rPr>
      <t>2. 海关近期严查仿牌和假货，查出即罚没</t>
    </r>
  </si>
  <si>
    <r>
      <rPr>
        <sz val="11"/>
        <color rgb="FF000000"/>
        <rFont val="微软雅黑"/>
        <charset val="134"/>
      </rPr>
      <t>最大尺寸：60*50*40；最小尺寸：15*11*1。不接受圆柱体和异型件，有特殊需求请咨询销售</t>
    </r>
    <r>
      <rPr>
        <sz val="11"/>
        <color rgb="FF000000"/>
        <rFont val="微软雅黑"/>
        <charset val="134"/>
      </rPr>
      <t xml:space="preserve">  </t>
    </r>
    <r>
      <rPr>
        <sz val="11"/>
        <color rgb="FF000000"/>
        <rFont val="微软雅黑"/>
        <charset val="134"/>
      </rPr>
      <t>异形件说明：</t>
    </r>
    <r>
      <rPr>
        <sz val="11"/>
        <color rgb="FF000000"/>
        <rFont val="微软雅黑"/>
        <charset val="134"/>
      </rPr>
      <t xml:space="preserve">         </t>
    </r>
    <r>
      <rPr>
        <sz val="11"/>
        <color rgb="FF000000"/>
        <rFont val="微软雅黑"/>
        <charset val="134"/>
      </rPr>
      <t>1.库内判定是否为异形件，若确认为异形件，客服会联系客户确认处理方式：退回、换产品、继续发送。若确认继续通过原产品发送，需预付150元异形件费用；</t>
    </r>
    <r>
      <rPr>
        <sz val="11"/>
        <color rgb="FF000000"/>
        <rFont val="微软雅黑"/>
        <charset val="134"/>
      </rPr>
      <t xml:space="preserve">         </t>
    </r>
    <r>
      <rPr>
        <sz val="11"/>
        <color rgb="FF000000"/>
        <rFont val="微软雅黑"/>
        <charset val="134"/>
      </rPr>
      <t>2.异形件说明文档，请咨询相关客服。</t>
    </r>
  </si>
  <si>
    <t>收件人姓名需跟地址对应门铃/邮箱上显示的姓名完全一致，否则可能影响包裹正常投递</t>
  </si>
  <si>
    <t>无退回中国服务，全重量段可提供重派和销毁服务，重派48元/票</t>
  </si>
  <si>
    <t>根据欧盟海关新政要求，从2021年7月1日起，欧盟27国取消22欧以下免税政策，0欧起征。新政实施的时间节点是以货物抵达清关口岸为准。对于2021年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凡是预缴税金的货物，收件人无需再支付税款。请如实申报，切勿低报，否则相关查验延误，扣留和罚款等风险均由发件人自行承担，同时，对低报货物，我司有权拒收。</t>
  </si>
  <si>
    <t>10-12天</t>
  </si>
  <si>
    <t>严禁发仿牌，如有违反，引致的损失、罚款、清关费用等及法律责任由客户承担。(155欧元/件）</t>
  </si>
  <si>
    <t>自6月24日起，本产品发往欧盟27国的货物，每日发给同一收件人包裹的合计申报价值小于150欧元，均为DDP服务。暂不接受150欧元以上货物。</t>
  </si>
  <si>
    <r>
      <rPr>
        <sz val="11"/>
        <color rgb="FF000000"/>
        <rFont val="微软雅黑"/>
        <charset val="134"/>
      </rPr>
      <t>最大尺寸（实重）：</t>
    </r>
    <r>
      <rPr>
        <sz val="11"/>
        <color rgb="FF000000"/>
        <rFont val="微软雅黑"/>
        <charset val="134"/>
      </rPr>
      <t xml:space="preserve">
</t>
    </r>
    <r>
      <rPr>
        <sz val="11"/>
        <color rgb="FF000000"/>
        <rFont val="微软雅黑"/>
        <charset val="134"/>
      </rPr>
      <t>0-5kg：L≤60cm，W≤50cm，L+W+H≤130cm</t>
    </r>
    <r>
      <rPr>
        <sz val="11"/>
        <color rgb="FF000000"/>
        <rFont val="微软雅黑"/>
        <charset val="134"/>
      </rPr>
      <t xml:space="preserve">
</t>
    </r>
    <r>
      <rPr>
        <sz val="11"/>
        <color rgb="FF000000"/>
        <rFont val="微软雅黑"/>
        <charset val="134"/>
      </rPr>
      <t>5kg以上：120cm*50cm*40cm</t>
    </r>
    <r>
      <rPr>
        <sz val="11"/>
        <color rgb="FF000000"/>
        <rFont val="微软雅黑"/>
        <charset val="134"/>
      </rPr>
      <t xml:space="preserve">
</t>
    </r>
    <r>
      <rPr>
        <sz val="11"/>
        <color rgb="FF000000"/>
        <rFont val="微软雅黑"/>
        <charset val="134"/>
      </rPr>
      <t>不接受圆柱体和异型件</t>
    </r>
  </si>
  <si>
    <r>
      <rPr>
        <sz val="11"/>
        <color rgb="FF000000"/>
        <rFont val="微软雅黑"/>
        <charset val="134"/>
      </rPr>
      <t>系统会验证邮编有效性，通达邮编请见附件。具体请咨询客服。</t>
    </r>
    <r>
      <rPr>
        <sz val="11"/>
        <color rgb="FF000000"/>
        <rFont val="微软雅黑"/>
        <charset val="134"/>
      </rPr>
      <t xml:space="preserve">
</t>
    </r>
  </si>
  <si>
    <r>
      <rPr>
        <sz val="11"/>
        <color rgb="FF000000"/>
        <rFont val="微软雅黑"/>
        <charset val="134"/>
      </rPr>
      <t>无退回中国服务，可提供重派服务，重派费50元/件</t>
    </r>
    <r>
      <rPr>
        <sz val="11"/>
        <color rgb="FF000000"/>
        <rFont val="微软雅黑"/>
        <charset val="134"/>
      </rPr>
      <t xml:space="preserve">
</t>
    </r>
  </si>
  <si>
    <r>
      <rPr>
        <sz val="11"/>
        <color rgb="FF000000"/>
        <rFont val="微软雅黑"/>
        <charset val="134"/>
      </rPr>
      <t>根据欧盟海关新政要求，从2021年7月1日起，欧盟27国取消22欧以下免税政策，0欧起征。新政实施的时间节点是以货物抵达清关口岸为准。</t>
    </r>
    <r>
      <rPr>
        <sz val="11"/>
        <color rgb="FF000000"/>
        <rFont val="微软雅黑"/>
        <charset val="134"/>
      </rPr>
      <t xml:space="preserve">
</t>
    </r>
    <r>
      <rPr>
        <sz val="11"/>
        <color rgb="FF000000"/>
        <rFont val="微软雅黑"/>
        <charset val="134"/>
      </rPr>
      <t>对于2021年6月24日上午8时后到仓货物，客户已经填写IOSS号的，按正常运费结算。对于没有填写IOSS号的订单，默认由燕文预收增值税，收费税率标准为按各国应缴VAT标准税率统一增加2%收取，例如，荷兰VAT为21%，实收则为23%，且该部分税金无法用作未来的VAT进项抵扣。</t>
    </r>
    <r>
      <rPr>
        <sz val="11"/>
        <color rgb="FF000000"/>
        <rFont val="微软雅黑"/>
        <charset val="134"/>
      </rPr>
      <t xml:space="preserve">
</t>
    </r>
    <r>
      <rPr>
        <sz val="11"/>
        <color rgb="FF000000"/>
        <rFont val="微软雅黑"/>
        <charset val="134"/>
      </rPr>
      <t>凡是预缴税金的货物，收件人无需再支付税款。请如实申报，切勿低报，否则相关查验延误，扣留和罚款等风险均由发件人自行承担，同时，对低报货物，我司有权拒收。</t>
    </r>
  </si>
  <si>
    <t>7-12天</t>
  </si>
  <si>
    <r>
      <rPr>
        <sz val="11"/>
        <color rgb="FF000000"/>
        <rFont val="微软雅黑"/>
        <charset val="134"/>
      </rPr>
      <t>一、禁寄品：</t>
    </r>
    <r>
      <rPr>
        <sz val="11"/>
        <color rgb="FF000000"/>
        <rFont val="微软雅黑"/>
        <charset val="134"/>
      </rPr>
      <t xml:space="preserve">
</t>
    </r>
    <r>
      <rPr>
        <sz val="11"/>
        <color rgb="FF000000"/>
        <rFont val="微软雅黑"/>
        <charset val="134"/>
      </rPr>
      <t>1.母婴用品：如奶嘴、奶瓶等婴儿用品；</t>
    </r>
    <r>
      <rPr>
        <sz val="11"/>
        <color rgb="FF000000"/>
        <rFont val="微软雅黑"/>
        <charset val="134"/>
      </rPr>
      <t xml:space="preserve">
</t>
    </r>
    <r>
      <rPr>
        <sz val="11"/>
        <color rgb="FF000000"/>
        <rFont val="微软雅黑"/>
        <charset val="134"/>
      </rPr>
      <t>2.药品及医疗器械：麻醉药、药膏、足贴、水银温度计等产品以及注射器、纹身针等对人体皮肤有强烈侵入性产品；听诊器、血氧仪、血压计、血压仪、血糖仪、体温计、温度计、心电仪、针灸仪、口罩、绷带，止血带，创口贴等医疗用品；</t>
    </r>
    <r>
      <rPr>
        <sz val="11"/>
        <color rgb="FF000000"/>
        <rFont val="微软雅黑"/>
        <charset val="134"/>
      </rPr>
      <t xml:space="preserve">
</t>
    </r>
    <r>
      <rPr>
        <sz val="11"/>
        <color rgb="FF000000"/>
        <rFont val="微软雅黑"/>
        <charset val="134"/>
      </rPr>
      <t>3. 手机、平板电脑、相机等高货值产品；</t>
    </r>
    <r>
      <rPr>
        <sz val="11"/>
        <color rgb="FF000000"/>
        <rFont val="微软雅黑"/>
        <charset val="134"/>
      </rPr>
      <t xml:space="preserve">
</t>
    </r>
    <r>
      <rPr>
        <sz val="11"/>
        <color rgb="FF000000"/>
        <rFont val="微软雅黑"/>
        <charset val="134"/>
      </rPr>
      <t>4. 山寨、仿牌、盗版及其他侵犯知识产权的产品；</t>
    </r>
    <r>
      <rPr>
        <sz val="11"/>
        <color rgb="FF000000"/>
        <rFont val="微软雅黑"/>
        <charset val="134"/>
      </rPr>
      <t xml:space="preserve">
</t>
    </r>
    <r>
      <rPr>
        <sz val="11"/>
        <color rgb="FF000000"/>
        <rFont val="微软雅黑"/>
        <charset val="134"/>
      </rPr>
      <t>5. 无人机</t>
    </r>
    <r>
      <rPr>
        <sz val="11"/>
        <color rgb="FF000000"/>
        <rFont val="微软雅黑"/>
        <charset val="134"/>
      </rPr>
      <t xml:space="preserve">
</t>
    </r>
    <r>
      <rPr>
        <sz val="11"/>
        <color rgb="FF000000"/>
        <rFont val="微软雅黑"/>
        <charset val="134"/>
      </rPr>
      <t>6. 其他含电含磁货物（普货渠道无法承运）</t>
    </r>
    <r>
      <rPr>
        <sz val="11"/>
        <color rgb="FF000000"/>
        <rFont val="微软雅黑"/>
        <charset val="134"/>
      </rPr>
      <t xml:space="preserve">
</t>
    </r>
    <r>
      <rPr>
        <sz val="11"/>
        <color rgb="FF000000"/>
        <rFont val="微软雅黑"/>
        <charset val="134"/>
      </rPr>
      <t>7.成人用品</t>
    </r>
    <r>
      <rPr>
        <sz val="11"/>
        <color rgb="FF000000"/>
        <rFont val="微软雅黑"/>
        <charset val="134"/>
      </rPr>
      <t xml:space="preserve">
</t>
    </r>
    <r>
      <rPr>
        <sz val="11"/>
        <color rgb="FF000000"/>
        <rFont val="微软雅黑"/>
        <charset val="134"/>
      </rPr>
      <t>二、其他品类：</t>
    </r>
    <r>
      <rPr>
        <sz val="11"/>
        <color rgb="FF000000"/>
        <rFont val="微软雅黑"/>
        <charset val="134"/>
      </rPr>
      <t xml:space="preserve">
</t>
    </r>
    <r>
      <rPr>
        <sz val="11"/>
        <color rgb="FF000000"/>
        <rFont val="微软雅黑"/>
        <charset val="134"/>
      </rPr>
      <t>1. 电子产品、电器、灯具、玩具类、机械类、带电产品、眼镜（太阳镜、光学眼镜、镜片等）等需要欧盟CE认证或产品上有CE标志，其中玩具类因涉及儿童健康，还需要EN71标准测试报告，主要涉及无毒无害证明，玩具上还要有具体吊牌、商标、适合年龄段等详细说明；</t>
    </r>
    <r>
      <rPr>
        <sz val="11"/>
        <color rgb="FF000000"/>
        <rFont val="微软雅黑"/>
        <charset val="134"/>
      </rPr>
      <t xml:space="preserve">
</t>
    </r>
    <r>
      <rPr>
        <sz val="11"/>
        <color rgb="FF000000"/>
        <rFont val="微软雅黑"/>
        <charset val="134"/>
      </rPr>
      <t>2. 塑料制品（塑料袋，塑料餐具，搅拌棒和吸管，气球棒，气球等），因涉及欧盟禁塑令，该类产品进口清关时海关查验扣货风险较高。</t>
    </r>
    <r>
      <rPr>
        <sz val="11"/>
        <color rgb="FF000000"/>
        <rFont val="微软雅黑"/>
        <charset val="134"/>
      </rPr>
      <t xml:space="preserve">
</t>
    </r>
    <r>
      <rPr>
        <sz val="11"/>
        <color rgb="FF000000"/>
        <rFont val="微软雅黑"/>
        <charset val="134"/>
      </rPr>
      <t>三、申报品名：申报品名应详细准确，和实物保持一致，不要填写笼统的泛指品名，如sample、gift、accessories、others等。 （清关敏感品名：clothes, gift, paint, tool,phone accessaries,phone case,medical, electronic,请谨慎申报）</t>
    </r>
  </si>
  <si>
    <r>
      <rPr>
        <sz val="11"/>
        <color rgb="FF000000"/>
        <rFont val="微软雅黑"/>
        <charset val="134"/>
      </rPr>
      <t xml:space="preserve">自6月24日起，本产品发往欧盟27国的货物，每日发给同一收件人包裹的合计申报价值小于150欧元，均为DDP服务。暂不接受150欧元以上货物。 </t>
    </r>
    <r>
      <rPr>
        <sz val="11"/>
        <color rgb="FF000000"/>
        <rFont val="微软雅黑"/>
        <charset val="134"/>
      </rPr>
      <t xml:space="preserve">
</t>
    </r>
    <r>
      <rPr>
        <sz val="11"/>
        <color rgb="FF000000"/>
        <rFont val="微软雅黑"/>
        <charset val="134"/>
      </rPr>
      <t>国外海关查验新要求：</t>
    </r>
    <r>
      <rPr>
        <sz val="11"/>
        <color rgb="FF000000"/>
        <rFont val="微软雅黑"/>
        <charset val="134"/>
      </rPr>
      <t xml:space="preserve">
</t>
    </r>
    <r>
      <rPr>
        <sz val="11"/>
        <color rgb="FF000000"/>
        <rFont val="微软雅黑"/>
        <charset val="134"/>
      </rPr>
      <t>货值小于150欧元的，需提供交易水单截图，交易截图、商业发票</t>
    </r>
    <r>
      <rPr>
        <sz val="11"/>
        <color rgb="FF000000"/>
        <rFont val="微软雅黑"/>
        <charset val="134"/>
      </rPr>
      <t xml:space="preserve">
</t>
    </r>
    <r>
      <rPr>
        <sz val="11"/>
        <color rgb="FF000000"/>
        <rFont val="微软雅黑"/>
        <charset val="134"/>
      </rPr>
      <t>注：</t>
    </r>
    <r>
      <rPr>
        <sz val="11"/>
        <color rgb="FF000000"/>
        <rFont val="微软雅黑"/>
        <charset val="134"/>
      </rPr>
      <t xml:space="preserve">
</t>
    </r>
    <r>
      <rPr>
        <sz val="11"/>
        <color rgb="FF000000"/>
        <rFont val="微软雅黑"/>
        <charset val="134"/>
      </rPr>
      <t>1、请在截止日期前提供所需文件资料或收件人联系方式（电话+email），逾期未提供文件资料的海关会直接联系收件人要交易证明</t>
    </r>
    <r>
      <rPr>
        <sz val="11"/>
        <color rgb="FF000000"/>
        <rFont val="微软雅黑"/>
        <charset val="134"/>
      </rPr>
      <t xml:space="preserve">
</t>
    </r>
    <r>
      <rPr>
        <sz val="11"/>
        <color rgb="FF000000"/>
        <rFont val="微软雅黑"/>
        <charset val="134"/>
      </rPr>
      <t>2、逾期提供或者默认销毁的可能会有150欧的罚款，销毁会产生20欧左右额外销毁费用，具体金额后续以海关账单为准</t>
    </r>
    <r>
      <rPr>
        <sz val="11"/>
        <color rgb="FF000000"/>
        <rFont val="微软雅黑"/>
        <charset val="134"/>
      </rPr>
      <t xml:space="preserve">
</t>
    </r>
    <r>
      <rPr>
        <sz val="11"/>
        <color rgb="FF000000"/>
        <rFont val="微软雅黑"/>
        <charset val="134"/>
      </rPr>
      <t>以下是对这几种文件的具体要求：</t>
    </r>
    <r>
      <rPr>
        <sz val="11"/>
        <color rgb="FF000000"/>
        <rFont val="微软雅黑"/>
        <charset val="134"/>
      </rPr>
      <t xml:space="preserve">
</t>
    </r>
    <r>
      <rPr>
        <sz val="11"/>
        <color rgb="FF000000"/>
        <rFont val="微软雅黑"/>
        <charset val="134"/>
      </rPr>
      <t>1、交易水单截图（Proof of Payment）,交易证明必需显示卖家或者买家的交易流水金额（例如信用卡和Paypal等证明）</t>
    </r>
    <r>
      <rPr>
        <sz val="11"/>
        <color rgb="FF000000"/>
        <rFont val="微软雅黑"/>
        <charset val="134"/>
      </rPr>
      <t xml:space="preserve">
</t>
    </r>
    <r>
      <rPr>
        <sz val="11"/>
        <color rgb="FF000000"/>
        <rFont val="微软雅黑"/>
        <charset val="134"/>
      </rPr>
      <t>2、交易截图，也就是订单截图（proof of order）</t>
    </r>
    <r>
      <rPr>
        <sz val="11"/>
        <color rgb="FF000000"/>
        <rFont val="微软雅黑"/>
        <charset val="134"/>
      </rPr>
      <t xml:space="preserve">
</t>
    </r>
    <r>
      <rPr>
        <sz val="11"/>
        <color rgb="FF000000"/>
        <rFont val="微软雅黑"/>
        <charset val="134"/>
      </rPr>
      <t>3、商业发票（货值大于等于150欧元，发票内必须注明收件人税号、 联系电话、有效的电子邮箱）</t>
    </r>
  </si>
  <si>
    <r>
      <rPr>
        <sz val="11"/>
        <color rgb="FF000000"/>
        <rFont val="微软雅黑"/>
        <charset val="134"/>
      </rPr>
      <t>长*宽*高≤60*50*40cm</t>
    </r>
    <r>
      <rPr>
        <sz val="11"/>
        <color rgb="FF000000"/>
        <rFont val="微软雅黑"/>
        <charset val="134"/>
      </rPr>
      <t xml:space="preserve">    </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</si>
  <si>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t>请见附件：部分国家通达邮编汇总</t>
  </si>
  <si>
    <r>
      <rPr>
        <sz val="11"/>
        <color rgb="FF000000"/>
        <rFont val="微软雅黑"/>
        <charset val="134"/>
      </rPr>
      <t>①收件人手机/电话必填其一</t>
    </r>
    <r>
      <rPr>
        <sz val="11"/>
        <color rgb="FF000000"/>
        <rFont val="微软雅黑"/>
        <charset val="134"/>
      </rPr>
      <t xml:space="preserve">
</t>
    </r>
    <r>
      <rPr>
        <sz val="11"/>
        <color rgb="FF000000"/>
        <rFont val="微软雅黑"/>
        <charset val="134"/>
      </rPr>
      <t>②300g以上收件人邮箱必填</t>
    </r>
  </si>
  <si>
    <r>
      <rPr>
        <sz val="11"/>
        <color rgb="FF000000"/>
        <rFont val="微软雅黑"/>
        <charset val="134"/>
      </rPr>
      <t>0-300g：单边长＜60cm，长+宽+高＜90cm</t>
    </r>
    <r>
      <rPr>
        <sz val="11"/>
        <color rgb="FF000000"/>
        <rFont val="微软雅黑"/>
        <charset val="134"/>
      </rPr>
      <t xml:space="preserve">
</t>
    </r>
    <r>
      <rPr>
        <sz val="11"/>
        <color rgb="FF000000"/>
        <rFont val="微软雅黑"/>
        <charset val="134"/>
      </rPr>
      <t>300g以上：单边长＜60cm，长+宽+高＜120cm（如未填写收件人邮箱，限制长+宽+高＜90cm）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</si>
  <si>
    <r>
      <rPr>
        <sz val="11"/>
        <color rgb="FF000000"/>
        <rFont val="微软雅黑"/>
        <charset val="134"/>
      </rPr>
      <t>不接受PO.BOX地址的包裹</t>
    </r>
    <r>
      <rPr>
        <sz val="11"/>
        <color rgb="FF000000"/>
        <rFont val="微软雅黑"/>
        <charset val="134"/>
      </rPr>
      <t xml:space="preserve">
</t>
    </r>
    <r>
      <rPr>
        <sz val="11"/>
        <color rgb="FF000000"/>
        <rFont val="微软雅黑"/>
        <charset val="134"/>
      </rPr>
      <t>门牌号必填</t>
    </r>
    <r>
      <rPr>
        <sz val="11"/>
        <color rgb="FF000000"/>
        <rFont val="微软雅黑"/>
        <charset val="134"/>
      </rPr>
      <t xml:space="preserve">
</t>
    </r>
    <r>
      <rPr>
        <sz val="11"/>
        <color rgb="FF000000"/>
        <rFont val="微软雅黑"/>
        <charset val="134"/>
      </rPr>
      <t>荷兰瓦登群岛不通达</t>
    </r>
    <r>
      <rPr>
        <sz val="11"/>
        <color rgb="FF000000"/>
        <rFont val="微软雅黑"/>
        <charset val="134"/>
      </rPr>
      <t xml:space="preserve">
</t>
    </r>
    <r>
      <rPr>
        <sz val="11"/>
        <color rgb="FF000000"/>
        <rFont val="微软雅黑"/>
        <charset val="134"/>
      </rPr>
      <t>不通达邮编：</t>
    </r>
    <r>
      <rPr>
        <sz val="11"/>
        <color rgb="FF000000"/>
        <rFont val="微软雅黑"/>
        <charset val="134"/>
      </rPr>
      <t xml:space="preserve">
</t>
    </r>
    <r>
      <rPr>
        <sz val="11"/>
        <color rgb="FF000000"/>
        <rFont val="微软雅黑"/>
        <charset val="134"/>
      </rPr>
      <t>1791AA to 1797ZZ</t>
    </r>
    <r>
      <rPr>
        <sz val="11"/>
        <color rgb="FF000000"/>
        <rFont val="微软雅黑"/>
        <charset val="134"/>
      </rPr>
      <t xml:space="preserve">
</t>
    </r>
    <r>
      <rPr>
        <sz val="11"/>
        <color rgb="FF000000"/>
        <rFont val="微软雅黑"/>
        <charset val="134"/>
      </rPr>
      <t>8880AA to 8899ZZ</t>
    </r>
    <r>
      <rPr>
        <sz val="11"/>
        <color rgb="FF000000"/>
        <rFont val="微软雅黑"/>
        <charset val="134"/>
      </rPr>
      <t xml:space="preserve">
</t>
    </r>
    <r>
      <rPr>
        <sz val="11"/>
        <color rgb="FF000000"/>
        <rFont val="微软雅黑"/>
        <charset val="134"/>
      </rPr>
      <t>9160AA to 9166ZZ</t>
    </r>
  </si>
  <si>
    <t>9-11天</t>
  </si>
  <si>
    <r>
      <rPr>
        <sz val="11"/>
        <color rgb="FF000000"/>
        <rFont val="微软雅黑"/>
        <charset val="134"/>
      </rPr>
      <t>1. 海关查验货物包裹的销售链接请务必在48小时内提供，超时和未提供的将会产生150欧罚金且无法豁免；</t>
    </r>
    <r>
      <rPr>
        <sz val="11"/>
        <color rgb="FF000000"/>
        <rFont val="微软雅黑"/>
        <charset val="134"/>
      </rPr>
      <t xml:space="preserve">
</t>
    </r>
    <r>
      <rPr>
        <sz val="11"/>
        <color rgb="FF000000"/>
        <rFont val="微软雅黑"/>
        <charset val="134"/>
      </rPr>
      <t>2. 海关近期严查仿牌和假货，查出即罚没</t>
    </r>
    <r>
      <rPr>
        <sz val="11"/>
        <color rgb="FF000000"/>
        <rFont val="微软雅黑"/>
        <charset val="134"/>
      </rPr>
      <t xml:space="preserve">
</t>
    </r>
    <r>
      <rPr>
        <sz val="11"/>
        <color rgb="FF000000"/>
        <rFont val="微软雅黑"/>
        <charset val="134"/>
      </rPr>
      <t>3. 需填门牌号，规则如下：</t>
    </r>
    <r>
      <rPr>
        <sz val="11"/>
        <color rgb="FF000000"/>
        <rFont val="微软雅黑"/>
        <charset val="134"/>
      </rPr>
      <t xml:space="preserve">
</t>
    </r>
    <r>
      <rPr>
        <sz val="11"/>
        <color rgb="FF000000"/>
        <rFont val="微软雅黑"/>
        <charset val="134"/>
      </rPr>
      <t>门牌号最多 5 位，规则为：</t>
    </r>
    <r>
      <rPr>
        <sz val="11"/>
        <color rgb="FF000000"/>
        <rFont val="微软雅黑"/>
        <charset val="134"/>
      </rPr>
      <t xml:space="preserve">
</t>
    </r>
    <r>
      <rPr>
        <sz val="11"/>
        <color rgb="FF000000"/>
        <rFont val="微软雅黑"/>
        <charset val="134"/>
      </rPr>
      <t>数字短横杠数字如 2-5；数字杠数字如 11/20；</t>
    </r>
    <r>
      <rPr>
        <sz val="11"/>
        <color rgb="FF000000"/>
        <rFont val="微软雅黑"/>
        <charset val="134"/>
      </rPr>
      <t xml:space="preserve">
</t>
    </r>
    <r>
      <rPr>
        <sz val="11"/>
        <color rgb="FF000000"/>
        <rFont val="微软雅黑"/>
        <charset val="134"/>
      </rPr>
      <t>数字+字母如 123a；纯数字如 123</t>
    </r>
  </si>
  <si>
    <r>
      <rPr>
        <sz val="11"/>
        <color rgb="FF000000"/>
        <rFont val="微软雅黑"/>
        <charset val="134"/>
      </rPr>
      <t>0-30KG：单边≤60cm，长+宽+高≤150cm</t>
    </r>
    <r>
      <rPr>
        <sz val="11"/>
        <color rgb="FF000000"/>
        <rFont val="微软雅黑"/>
        <charset val="134"/>
      </rPr>
      <t xml:space="preserve">  </t>
    </r>
    <r>
      <rPr>
        <sz val="11"/>
        <color rgb="FF000000"/>
        <rFont val="微软雅黑"/>
        <charset val="134"/>
      </rPr>
      <t xml:space="preserve">
</t>
    </r>
    <r>
      <rPr>
        <sz val="11"/>
        <color rgb="FF000000"/>
        <rFont val="微软雅黑"/>
        <charset val="134"/>
      </rPr>
      <t>最小包裹尺寸为 14.8*21*2（CM）</t>
    </r>
    <r>
      <rPr>
        <sz val="11"/>
        <color rgb="FF000000"/>
        <rFont val="微软雅黑"/>
        <charset val="134"/>
      </rPr>
      <t xml:space="preserve">  </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</si>
  <si>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r>
      <rPr>
        <sz val="11"/>
        <color rgb="FF000000"/>
        <rFont val="微软雅黑"/>
        <charset val="134"/>
      </rPr>
      <t>1）仅接受英文和德文</t>
    </r>
    <r>
      <rPr>
        <sz val="11"/>
        <color rgb="FF000000"/>
        <rFont val="微软雅黑"/>
        <charset val="134"/>
      </rPr>
      <t xml:space="preserve">
</t>
    </r>
    <r>
      <rPr>
        <sz val="11"/>
        <color rgb="FF000000"/>
        <rFont val="微软雅黑"/>
        <charset val="134"/>
      </rPr>
      <t>2）PLZ AT-6991 Riezlern, AT-6992 Hirschegg, AT-6993 Mittelberg, AT-6691 Jungholz，不通达</t>
    </r>
    <r>
      <rPr>
        <sz val="11"/>
        <color rgb="FF000000"/>
        <rFont val="微软雅黑"/>
        <charset val="134"/>
      </rPr>
      <t xml:space="preserve">
</t>
    </r>
    <r>
      <rPr>
        <sz val="11"/>
        <color rgb="FF000000"/>
        <rFont val="微软雅黑"/>
        <charset val="134"/>
      </rPr>
      <t>3）不接受PO.BOX地址的包裹</t>
    </r>
    <r>
      <rPr>
        <sz val="11"/>
        <color rgb="FF000000"/>
        <rFont val="微软雅黑"/>
        <charset val="134"/>
      </rPr>
      <t xml:space="preserve">
</t>
    </r>
    <r>
      <rPr>
        <sz val="11"/>
        <color rgb="FF000000"/>
        <rFont val="微软雅黑"/>
        <charset val="134"/>
      </rPr>
      <t>4）奥地利通达邮编见附件</t>
    </r>
  </si>
  <si>
    <t>无退回中国服务，不提供重派服务。</t>
  </si>
  <si>
    <t>收件人联系方式必填，座机9位数字，手机10位数字。</t>
  </si>
  <si>
    <r>
      <rPr>
        <sz val="11"/>
        <color rgb="FF000000"/>
        <rFont val="微软雅黑"/>
        <charset val="134"/>
      </rPr>
      <t>0-2KG:最长边≤60cm，次长≤50cm，长+宽+高≤90cm，</t>
    </r>
    <r>
      <rPr>
        <sz val="11"/>
        <color rgb="FF000000"/>
        <rFont val="微软雅黑"/>
        <charset val="134"/>
      </rPr>
      <t xml:space="preserve">    </t>
    </r>
    <r>
      <rPr>
        <sz val="11"/>
        <color rgb="FF000000"/>
        <rFont val="微软雅黑"/>
        <charset val="134"/>
      </rPr>
      <t xml:space="preserve">
</t>
    </r>
    <r>
      <rPr>
        <sz val="11"/>
        <color rgb="FF000000"/>
        <rFont val="微软雅黑"/>
        <charset val="134"/>
      </rPr>
      <t>2.001-30KG：单边≤60cm，次长≤50cm，长+宽+高≤120cm</t>
    </r>
    <r>
      <rPr>
        <sz val="11"/>
        <color rgb="FF000000"/>
        <rFont val="微软雅黑"/>
        <charset val="134"/>
      </rPr>
      <t xml:space="preserve">    </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</si>
  <si>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t>只接受表格内邮编（详见附录）。具体请咨询客服。</t>
  </si>
  <si>
    <t>无退回中国服务，无重派服务，派送不成功默认销毁</t>
  </si>
  <si>
    <t>7-15天</t>
  </si>
  <si>
    <r>
      <rPr>
        <sz val="11"/>
        <color rgb="FF000000"/>
        <rFont val="微软雅黑"/>
        <charset val="134"/>
      </rPr>
      <t>自2021年6月24日起，本产品发往欧盟27国的货物，每日发给同一收件人包裹的合计申报价值小于150欧元，均为DDP服务。暂不接受150欧元以上货物。</t>
    </r>
    <r>
      <rPr>
        <sz val="11"/>
        <color rgb="FF000000"/>
        <rFont val="微软雅黑"/>
        <charset val="134"/>
      </rPr>
      <t xml:space="preserve">
</t>
    </r>
  </si>
  <si>
    <r>
      <rPr>
        <sz val="11"/>
        <color rgb="FF000000"/>
        <rFont val="微软雅黑"/>
        <charset val="134"/>
      </rPr>
      <t>最长边≤60cm，长+宽+高≤90cm</t>
    </r>
    <r>
      <rPr>
        <sz val="11"/>
        <color rgb="FF000000"/>
        <rFont val="微软雅黑"/>
        <charset val="134"/>
      </rPr>
      <t xml:space="preserve">
</t>
    </r>
    <r>
      <rPr>
        <sz val="11"/>
        <color rgb="FF000000"/>
        <rFont val="微软雅黑"/>
        <charset val="134"/>
      </rPr>
      <t>不接受圆柱体和异型件，有特殊需求请咨询销售</t>
    </r>
  </si>
  <si>
    <r>
      <rPr>
        <sz val="11"/>
        <color rgb="FF000000"/>
        <rFont val="微软雅黑"/>
        <charset val="134"/>
      </rPr>
      <t>电话格式要求：</t>
    </r>
    <r>
      <rPr>
        <sz val="11"/>
        <color rgb="FF000000"/>
        <rFont val="微软雅黑"/>
        <charset val="134"/>
      </rPr>
      <t xml:space="preserve">
</t>
    </r>
    <r>
      <rPr>
        <sz val="11"/>
        <color rgb="FF000000"/>
        <rFont val="微软雅黑"/>
        <charset val="134"/>
      </rPr>
      <t>(1)</t>
    </r>
    <r>
      <rPr>
        <sz val="11"/>
        <color rgb="FF000000"/>
        <rFont val="微软雅黑"/>
        <charset val="134"/>
      </rPr>
      <t xml:space="preserve">  </t>
    </r>
    <r>
      <rPr>
        <sz val="11"/>
        <color rgb="FF000000"/>
        <rFont val="微软雅黑"/>
        <charset val="134"/>
      </rPr>
      <t>+国家区号 +9位纯数字</t>
    </r>
    <r>
      <rPr>
        <sz val="11"/>
        <color rgb="FF000000"/>
        <rFont val="微软雅黑"/>
        <charset val="134"/>
      </rPr>
      <t xml:space="preserve">
</t>
    </r>
    <r>
      <rPr>
        <sz val="11"/>
        <color rgb="FF000000"/>
        <rFont val="微软雅黑"/>
        <charset val="134"/>
      </rPr>
      <t>(2)</t>
    </r>
    <r>
      <rPr>
        <sz val="11"/>
        <color rgb="FF000000"/>
        <rFont val="微软雅黑"/>
        <charset val="134"/>
      </rPr>
      <t xml:space="preserve">  </t>
    </r>
    <r>
      <rPr>
        <sz val="11"/>
        <color rgb="FF000000"/>
        <rFont val="微软雅黑"/>
        <charset val="134"/>
      </rPr>
      <t>00+国家区号 +9位纯数字</t>
    </r>
    <r>
      <rPr>
        <sz val="11"/>
        <color rgb="FF000000"/>
        <rFont val="微软雅黑"/>
        <charset val="134"/>
      </rPr>
      <t xml:space="preserve">
</t>
    </r>
    <r>
      <rPr>
        <sz val="11"/>
        <color rgb="FF000000"/>
        <rFont val="微软雅黑"/>
        <charset val="134"/>
      </rPr>
      <t>(3)</t>
    </r>
    <r>
      <rPr>
        <sz val="11"/>
        <color rgb="FF000000"/>
        <rFont val="微软雅黑"/>
        <charset val="134"/>
      </rPr>
      <t xml:space="preserve">  </t>
    </r>
    <r>
      <rPr>
        <sz val="11"/>
        <color rgb="FF000000"/>
        <rFont val="微软雅黑"/>
        <charset val="134"/>
      </rPr>
      <t>0+9位纯数字</t>
    </r>
    <r>
      <rPr>
        <sz val="11"/>
        <color rgb="FF000000"/>
        <rFont val="微软雅黑"/>
        <charset val="134"/>
      </rPr>
      <t xml:space="preserve">
</t>
    </r>
  </si>
  <si>
    <r>
      <rPr>
        <sz val="11"/>
        <color rgb="FF000000"/>
        <rFont val="微软雅黑"/>
        <charset val="134"/>
      </rPr>
      <t>无退回中国服务，不提供重派</t>
    </r>
    <r>
      <rPr>
        <sz val="11"/>
        <color rgb="FF000000"/>
        <rFont val="微软雅黑"/>
        <charset val="134"/>
      </rPr>
      <t xml:space="preserve">
</t>
    </r>
  </si>
  <si>
    <r>
      <rPr>
        <sz val="11"/>
        <color rgb="FF000000"/>
        <rFont val="微软雅黑"/>
        <charset val="134"/>
      </rPr>
      <t>"根据欧盟海关新政要求，从2021年7月1日起，欧盟27国取消22欧以下免税政策，0欧起征。新政实施的时间节点是以货物抵达清关口岸为准。</t>
    </r>
    <r>
      <rPr>
        <sz val="11"/>
        <color rgb="FF000000"/>
        <rFont val="微软雅黑"/>
        <charset val="134"/>
      </rPr>
      <t xml:space="preserve">
</t>
    </r>
    <r>
      <rPr>
        <sz val="11"/>
        <color rgb="FF000000"/>
        <rFont val="微软雅黑"/>
        <charset val="134"/>
      </rPr>
      <t>对于2021年6月24日上午8时后到仓货物，客户已经填写IOSS号的，按正常运费结算。对于没有填写IOSS号的订单，默认由燕文预收增值税，收费税率标准为按各国应缴VAT标准税率统一增加2%收取，例如，荷兰VAT为21%，实收则为23%，且该部分税金无法用作未来的VAT进项抵扣。</t>
    </r>
    <r>
      <rPr>
        <sz val="11"/>
        <color rgb="FF000000"/>
        <rFont val="微软雅黑"/>
        <charset val="134"/>
      </rPr>
      <t xml:space="preserve">
</t>
    </r>
    <r>
      <rPr>
        <sz val="11"/>
        <color rgb="FF000000"/>
        <rFont val="微软雅黑"/>
        <charset val="134"/>
      </rPr>
      <t>凡是预缴税金的货物，收件人无需再支付税款。请如实申报，切勿低报，否则相关查验延误，扣留和罚款等风险均由发件人自行承担，同时，对低报货物，我司有权拒收。"</t>
    </r>
    <r>
      <rPr>
        <sz val="11"/>
        <color rgb="FF000000"/>
        <rFont val="微软雅黑"/>
        <charset val="134"/>
      </rPr>
      <t xml:space="preserve">
</t>
    </r>
  </si>
  <si>
    <r>
      <rPr>
        <sz val="11"/>
        <color rgb="FF000000"/>
        <rFont val="微软雅黑"/>
        <charset val="134"/>
      </rPr>
      <t>请填写正确城市、街道地址、邮编信息；</t>
    </r>
    <r>
      <rPr>
        <sz val="11"/>
        <color rgb="FF000000"/>
        <rFont val="微软雅黑"/>
        <charset val="134"/>
      </rPr>
      <t xml:space="preserve">
</t>
    </r>
    <r>
      <rPr>
        <sz val="11"/>
        <color rgb="FF000000"/>
        <rFont val="微软雅黑"/>
        <charset val="134"/>
      </rPr>
      <t>收件人电话/手机号必填，格式为+41加9位纯数字</t>
    </r>
    <r>
      <rPr>
        <sz val="11"/>
        <color rgb="FF000000"/>
        <rFont val="微软雅黑"/>
        <charset val="134"/>
      </rPr>
      <t xml:space="preserve">   </t>
    </r>
    <r>
      <rPr>
        <sz val="11"/>
        <color rgb="FF000000"/>
        <rFont val="微软雅黑"/>
        <charset val="134"/>
      </rPr>
      <t>或者9位纯数字</t>
    </r>
    <r>
      <rPr>
        <sz val="11"/>
        <color rgb="FF000000"/>
        <rFont val="微软雅黑"/>
        <charset val="134"/>
      </rPr>
      <t xml:space="preserve">
</t>
    </r>
    <r>
      <rPr>
        <sz val="11"/>
        <color rgb="FF000000"/>
        <rFont val="微软雅黑"/>
        <charset val="134"/>
      </rPr>
      <t>例：+41987654321</t>
    </r>
    <r>
      <rPr>
        <sz val="11"/>
        <color rgb="FF000000"/>
        <rFont val="微软雅黑"/>
        <charset val="134"/>
      </rPr>
      <t xml:space="preserve">   </t>
    </r>
    <r>
      <rPr>
        <sz val="11"/>
        <color rgb="FF000000"/>
        <rFont val="微软雅黑"/>
        <charset val="134"/>
      </rPr>
      <t>或987654321</t>
    </r>
  </si>
  <si>
    <t>每日发给同一收件人包裹的合计申报价值不能超61.99瑞士法郎</t>
  </si>
  <si>
    <r>
      <rPr>
        <sz val="11"/>
        <color rgb="FF000000"/>
        <rFont val="微软雅黑"/>
        <charset val="134"/>
      </rPr>
      <t>0-2kg，最长边≤60cm，长+宽+高</t>
    </r>
    <r>
      <rPr>
        <sz val="11"/>
        <color rgb="FF000000"/>
        <rFont val="微软雅黑"/>
        <charset val="134"/>
      </rPr>
      <t xml:space="preserve">   </t>
    </r>
    <r>
      <rPr>
        <sz val="11"/>
        <color rgb="FF000000"/>
        <rFont val="微软雅黑"/>
        <charset val="134"/>
      </rPr>
      <t>≤90cm；</t>
    </r>
    <r>
      <rPr>
        <sz val="11"/>
        <color rgb="FF000000"/>
        <rFont val="微软雅黑"/>
        <charset val="134"/>
      </rPr>
      <t xml:space="preserve">
</t>
    </r>
    <r>
      <rPr>
        <sz val="11"/>
        <color rgb="FF000000"/>
        <rFont val="微软雅黑"/>
        <charset val="134"/>
      </rPr>
      <t>2-30kg，最长边≤60cm，次长边≤50cm，长+宽+高</t>
    </r>
    <r>
      <rPr>
        <sz val="11"/>
        <color rgb="FF000000"/>
        <rFont val="微软雅黑"/>
        <charset val="134"/>
      </rPr>
      <t xml:space="preserve">   </t>
    </r>
    <r>
      <rPr>
        <sz val="11"/>
        <color rgb="FF000000"/>
        <rFont val="微软雅黑"/>
        <charset val="134"/>
      </rPr>
      <t>≤180cm；</t>
    </r>
    <r>
      <rPr>
        <sz val="11"/>
        <color rgb="FF000000"/>
        <rFont val="微软雅黑"/>
        <charset val="134"/>
      </rPr>
      <t xml:space="preserve">
</t>
    </r>
    <r>
      <rPr>
        <sz val="11"/>
        <color rgb="FF000000"/>
        <rFont val="微软雅黑"/>
        <charset val="134"/>
      </rPr>
      <t>不接受圆柱体和异型件，有特殊需求请咨询销售</t>
    </r>
  </si>
  <si>
    <t>地址1长度限制35个字符，超出部分写在地址2</t>
  </si>
  <si>
    <r>
      <rPr>
        <sz val="11"/>
        <color rgb="FF000000"/>
        <rFont val="微软雅黑"/>
        <charset val="134"/>
      </rPr>
      <t>无退回中国服务；</t>
    </r>
    <r>
      <rPr>
        <sz val="11"/>
        <color rgb="FF000000"/>
        <rFont val="微软雅黑"/>
        <charset val="134"/>
      </rPr>
      <t xml:space="preserve">
</t>
    </r>
    <r>
      <rPr>
        <sz val="11"/>
        <color rgb="FF000000"/>
        <rFont val="微软雅黑"/>
        <charset val="134"/>
      </rPr>
      <t>可提供重派服务，具体以客服通知单号为准，重派费48元/件</t>
    </r>
  </si>
  <si>
    <r>
      <rPr>
        <sz val="11"/>
        <color rgb="FF000000"/>
        <rFont val="微软雅黑"/>
        <charset val="134"/>
      </rPr>
      <t>瑞士税率政策更新通知</t>
    </r>
    <r>
      <rPr>
        <sz val="11"/>
        <color rgb="FF000000"/>
        <rFont val="微软雅黑"/>
        <charset val="134"/>
      </rPr>
      <t xml:space="preserve">
</t>
    </r>
    <r>
      <rPr>
        <sz val="11"/>
        <color rgb="FF000000"/>
        <rFont val="微软雅黑"/>
        <charset val="134"/>
      </rPr>
      <t>尊敬的客户：在此郑重通知，瑞士海关将于 2025 年 1 月 1 日起对计税规则进行调整，现将主要更新要点告知如下：</t>
    </r>
    <r>
      <rPr>
        <sz val="11"/>
        <color rgb="FF000000"/>
        <rFont val="微软雅黑"/>
        <charset val="134"/>
      </rPr>
      <t xml:space="preserve">
</t>
    </r>
    <r>
      <rPr>
        <sz val="11"/>
        <color rgb="FF000000"/>
        <rFont val="微软雅黑"/>
        <charset val="134"/>
      </rPr>
      <t>一、Duty Tax 及 VAT税率</t>
    </r>
    <r>
      <rPr>
        <sz val="11"/>
        <color rgb="FF000000"/>
        <rFont val="微软雅黑"/>
        <charset val="134"/>
      </rPr>
      <t xml:space="preserve">
</t>
    </r>
    <r>
      <rPr>
        <sz val="11"/>
        <color rgb="FF000000"/>
        <rFont val="微软雅黑"/>
        <charset val="134"/>
      </rPr>
      <t>1.1 调整内容计税项名称变动：原 Duty Tax 将变更为 Import Tax；增值税税率调整：增值税税率维持不变，依旧为 8.1%。</t>
    </r>
    <r>
      <rPr>
        <sz val="11"/>
        <color rgb="FF000000"/>
        <rFont val="微软雅黑"/>
        <charset val="134"/>
      </rPr>
      <t xml:space="preserve">
</t>
    </r>
    <r>
      <rPr>
        <sz val="11"/>
        <color rgb="FF000000"/>
        <rFont val="微软雅黑"/>
        <charset val="134"/>
      </rPr>
      <t>1.2 税率计算针对每日发往同一收件人的包裹，若其合计申报价值低于 62 瑞士法郎，暂可继续享受免收相关税费的政策；而当累计申报价值达到或超过 62 瑞士法郎时，则会找客户补收相关的增值税和关税，增值税按申报价值的8.1%收取，关税以实际目的地海关核准产生为准。</t>
    </r>
    <r>
      <rPr>
        <sz val="11"/>
        <color rgb="FF000000"/>
        <rFont val="微软雅黑"/>
        <charset val="134"/>
      </rPr>
      <t xml:space="preserve">
</t>
    </r>
    <r>
      <rPr>
        <sz val="11"/>
        <color rgb="FF000000"/>
        <rFont val="微软雅黑"/>
        <charset val="134"/>
      </rPr>
      <t>二、VAT 账号信息要求</t>
    </r>
    <r>
      <rPr>
        <sz val="11"/>
        <color rgb="FF000000"/>
        <rFont val="微软雅黑"/>
        <charset val="134"/>
      </rPr>
      <t xml:space="preserve">
</t>
    </r>
    <r>
      <rPr>
        <sz val="11"/>
        <color rgb="FF000000"/>
        <rFont val="微软雅黑"/>
        <charset val="134"/>
      </rPr>
      <t>1. 对于年度交易额超过100,000瑞士法郎的平台，必须注册瑞士增值税号（VAT），以便直接向瑞士海关缴纳增值税；</t>
    </r>
    <r>
      <rPr>
        <sz val="11"/>
        <color rgb="FF000000"/>
        <rFont val="微软雅黑"/>
        <charset val="134"/>
      </rPr>
      <t xml:space="preserve">
</t>
    </r>
    <r>
      <rPr>
        <sz val="11"/>
        <color rgb="FF000000"/>
        <rFont val="微软雅黑"/>
        <charset val="134"/>
      </rPr>
      <t>2. 强烈建议电商平台以及商家在发往瑞士的订单中提供 VAT 账号信息，具体涵盖 UID 和 CSP（deferment account reference number）。其中，UID 账号格式为：CHE - 123.456.788。若因平台或商家未提供 VAT 账号信息，进而引发清关或派送时被征税，重复征税或被销毁等异常情况，相关责任与后果将由平台或商家自行承担，我司将仅作为协调方配合平台或商家处理。</t>
    </r>
    <r>
      <rPr>
        <sz val="11"/>
        <color rgb="FF000000"/>
        <rFont val="微软雅黑"/>
        <charset val="134"/>
      </rPr>
      <t xml:space="preserve">
</t>
    </r>
    <r>
      <rPr>
        <sz val="11"/>
        <color rgb="FF000000"/>
        <rFont val="微软雅黑"/>
        <charset val="134"/>
      </rPr>
      <t>请各相关方提前做好相应准备工作，保障清关流程能够顺利进行，并且符合相关法规要求。后续若有任何变动，我司会另行通知大家。感谢您的关注与配合！</t>
    </r>
  </si>
  <si>
    <r>
      <rPr>
        <sz val="11"/>
        <color rgb="FF000000"/>
        <rFont val="微软雅黑"/>
        <charset val="134"/>
      </rPr>
      <t>自2021年6月24日起，本产品发往欧盟27国的货物，每日发给同一收件人包裹的合计申报价值小于150欧元，均为DDP服务。暂不接受150欧元以上货物。</t>
    </r>
    <r>
      <rPr>
        <sz val="11"/>
        <color rgb="FF000000"/>
        <rFont val="微软雅黑"/>
        <charset val="134"/>
      </rPr>
      <t xml:space="preserve">
</t>
    </r>
  </si>
  <si>
    <t>不超过2kg</t>
  </si>
  <si>
    <r>
      <rPr>
        <sz val="11"/>
        <color rgb="FF000000"/>
        <rFont val="微软雅黑"/>
        <charset val="134"/>
      </rPr>
      <t>0-2KG:最长边≤60cm，长+宽+高≤90cm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</si>
  <si>
    <r>
      <rPr>
        <sz val="11"/>
        <color rgb="FF000000"/>
        <rFont val="微软雅黑"/>
        <charset val="134"/>
      </rPr>
      <t>无退回中国服务，2KG以上可提供重派服务，重派费：40元/件</t>
    </r>
    <r>
      <rPr>
        <sz val="11"/>
        <color rgb="FF000000"/>
        <rFont val="微软雅黑"/>
        <charset val="134"/>
      </rPr>
      <t xml:space="preserve">
</t>
    </r>
  </si>
  <si>
    <r>
      <rPr>
        <sz val="11"/>
        <color rgb="FF000000"/>
        <rFont val="微软雅黑"/>
        <charset val="134"/>
      </rPr>
      <t>最长边≤60cm，长+宽+高≤90cm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</si>
  <si>
    <r>
      <rPr>
        <sz val="11"/>
        <color rgb="FF000000"/>
        <rFont val="微软雅黑"/>
        <charset val="134"/>
      </rPr>
      <t>1）邮编格式：3位数字+空格+2位数字</t>
    </r>
    <r>
      <rPr>
        <sz val="11"/>
        <color rgb="FF000000"/>
        <rFont val="微软雅黑"/>
        <charset val="134"/>
      </rPr>
      <t xml:space="preserve">
</t>
    </r>
    <r>
      <rPr>
        <sz val="11"/>
        <color rgb="FF000000"/>
        <rFont val="微软雅黑"/>
        <charset val="134"/>
      </rPr>
      <t>2）地址需填门牌号，门牌号最多5位，格式如下：</t>
    </r>
    <r>
      <rPr>
        <sz val="11"/>
        <color rgb="FF000000"/>
        <rFont val="微软雅黑"/>
        <charset val="134"/>
      </rPr>
      <t xml:space="preserve">
</t>
    </r>
    <r>
      <rPr>
        <sz val="11"/>
        <color rgb="FF000000"/>
        <rFont val="微软雅黑"/>
        <charset val="134"/>
      </rPr>
      <t>a）数字短横杠数字2-5</t>
    </r>
    <r>
      <rPr>
        <sz val="11"/>
        <color rgb="FF000000"/>
        <rFont val="微软雅黑"/>
        <charset val="134"/>
      </rPr>
      <t xml:space="preserve">
</t>
    </r>
    <r>
      <rPr>
        <sz val="11"/>
        <color rgb="FF000000"/>
        <rFont val="微软雅黑"/>
        <charset val="134"/>
      </rPr>
      <t>b）数字杠数字11/20</t>
    </r>
    <r>
      <rPr>
        <sz val="11"/>
        <color rgb="FF000000"/>
        <rFont val="微软雅黑"/>
        <charset val="134"/>
      </rPr>
      <t xml:space="preserve">
</t>
    </r>
    <r>
      <rPr>
        <sz val="11"/>
        <color rgb="FF000000"/>
        <rFont val="微软雅黑"/>
        <charset val="134"/>
      </rPr>
      <t xml:space="preserve">c）数字+字母123a </t>
    </r>
    <r>
      <rPr>
        <sz val="11"/>
        <color rgb="FF000000"/>
        <rFont val="微软雅黑"/>
        <charset val="134"/>
      </rPr>
      <t xml:space="preserve">
</t>
    </r>
    <r>
      <rPr>
        <sz val="11"/>
        <color rgb="FF000000"/>
        <rFont val="微软雅黑"/>
        <charset val="134"/>
      </rPr>
      <t>电话限制：</t>
    </r>
    <r>
      <rPr>
        <sz val="11"/>
        <color rgb="FF000000"/>
        <rFont val="微软雅黑"/>
        <charset val="134"/>
      </rPr>
      <t xml:space="preserve">
</t>
    </r>
    <r>
      <rPr>
        <sz val="11"/>
        <color rgb="FF000000"/>
        <rFont val="微软雅黑"/>
        <charset val="134"/>
      </rPr>
      <t>电话必填：9位数，前可加区号：+00420、00420、00420-、+420、420-、420</t>
    </r>
  </si>
  <si>
    <r>
      <rPr>
        <sz val="11"/>
        <color rgb="FF000000"/>
        <rFont val="微软雅黑"/>
        <charset val="134"/>
      </rPr>
      <t>无退回中国服务，无重派服务，派送不成功默认销毁</t>
    </r>
    <r>
      <rPr>
        <sz val="11"/>
        <color rgb="FF000000"/>
        <rFont val="微软雅黑"/>
        <charset val="134"/>
      </rPr>
      <t xml:space="preserve">
</t>
    </r>
  </si>
  <si>
    <t>请务必填写正确电话及邮箱避免影响收件</t>
  </si>
  <si>
    <r>
      <rPr>
        <sz val="11"/>
        <color rgb="FF000000"/>
        <rFont val="微软雅黑"/>
        <charset val="134"/>
      </rPr>
      <t>0-2KG:最长边≤60cm，长+宽+高≤90cm，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</si>
  <si>
    <t>丹麦邮编格式为3-4位纯数字；不通达非丹麦本土的邮编，如格陵兰岛/法罗群岛的邮编，应选择正确的目的国下单</t>
  </si>
  <si>
    <r>
      <rPr>
        <sz val="11"/>
        <color rgb="FF000000"/>
        <rFont val="微软雅黑"/>
        <charset val="134"/>
      </rPr>
      <t>最长边≤60cm，长+宽+高≤120cm</t>
    </r>
    <r>
      <rPr>
        <sz val="11"/>
        <color rgb="FF000000"/>
        <rFont val="微软雅黑"/>
        <charset val="134"/>
      </rPr>
      <t xml:space="preserve">
</t>
    </r>
    <r>
      <rPr>
        <sz val="11"/>
        <color rgb="FF000000"/>
        <rFont val="微软雅黑"/>
        <charset val="134"/>
      </rPr>
      <t>不接受圆柱体和异型件，有特殊需求请咨询销售</t>
    </r>
  </si>
  <si>
    <r>
      <rPr>
        <sz val="11"/>
        <color rgb="FF000000"/>
        <rFont val="微软雅黑"/>
        <charset val="134"/>
      </rPr>
      <t>1. 末端当地派送到自提点，不送货上门。包裹到达自提点以后会短信/邮件通知收件人自提，所以收件人的联系方式非常重要，需要提供格式正确且能接收短信通知的收件人电话，同时建议提供收件人邮箱。</t>
    </r>
    <r>
      <rPr>
        <sz val="11"/>
        <color rgb="FF000000"/>
        <rFont val="微软雅黑"/>
        <charset val="134"/>
      </rPr>
      <t xml:space="preserve">
</t>
    </r>
    <r>
      <rPr>
        <sz val="11"/>
        <color rgb="FF000000"/>
        <rFont val="微软雅黑"/>
        <charset val="134"/>
      </rPr>
      <t>2. 电话号码格式：+3725xxxxxxx或者+3725xxxxxx</t>
    </r>
    <r>
      <rPr>
        <sz val="11"/>
        <color rgb="FF000000"/>
        <rFont val="微软雅黑"/>
        <charset val="134"/>
      </rPr>
      <t xml:space="preserve">
</t>
    </r>
  </si>
  <si>
    <r>
      <rPr>
        <sz val="11"/>
        <color rgb="FF000000"/>
        <rFont val="微软雅黑"/>
        <charset val="134"/>
      </rPr>
      <t>1.</t>
    </r>
    <r>
      <rPr>
        <sz val="11"/>
        <color rgb="FF000000"/>
        <rFont val="微软雅黑"/>
        <charset val="134"/>
      </rPr>
      <t xml:space="preserve">  </t>
    </r>
    <r>
      <rPr>
        <sz val="11"/>
        <color rgb="FF000000"/>
        <rFont val="微软雅黑"/>
        <charset val="134"/>
      </rPr>
      <t>无退回中国服务；</t>
    </r>
    <r>
      <rPr>
        <sz val="11"/>
        <color rgb="FF000000"/>
        <rFont val="微软雅黑"/>
        <charset val="134"/>
      </rPr>
      <t xml:space="preserve">
</t>
    </r>
    <r>
      <rPr>
        <sz val="11"/>
        <color rgb="FF000000"/>
        <rFont val="微软雅黑"/>
        <charset val="134"/>
      </rPr>
      <t>2.</t>
    </r>
    <r>
      <rPr>
        <sz val="11"/>
        <color rgb="FF000000"/>
        <rFont val="微软雅黑"/>
        <charset val="134"/>
      </rPr>
      <t xml:space="preserve">  </t>
    </r>
    <r>
      <rPr>
        <sz val="11"/>
        <color rgb="FF000000"/>
        <rFont val="微软雅黑"/>
        <charset val="134"/>
      </rPr>
      <t>0-5kg可提供重派服务，重派期限为12天，即自通知客户包裹退回起，12天内，客户可选择重派，若超过12天后未回复，包裹默认销毁。重派费：40元/件。5-30kg无重派服务。具体重派服务以国外通知反馈为准。</t>
    </r>
    <r>
      <rPr>
        <sz val="11"/>
        <color rgb="FF000000"/>
        <rFont val="微软雅黑"/>
        <charset val="134"/>
      </rPr>
      <t xml:space="preserve">
</t>
    </r>
  </si>
  <si>
    <r>
      <rPr>
        <sz val="11"/>
        <color rgb="FF000000"/>
        <rFont val="微软雅黑"/>
        <charset val="134"/>
      </rPr>
      <t>尾程为自提服务（自提保存期限为7-14天），请务必提供正确有效的电话或邮箱（必填其中一项），以及时获取取件码。</t>
    </r>
    <r>
      <rPr>
        <sz val="11"/>
        <color rgb="FF000000"/>
        <rFont val="微软雅黑"/>
        <charset val="134"/>
      </rPr>
      <t xml:space="preserve">
</t>
    </r>
    <r>
      <rPr>
        <sz val="11"/>
        <color rgb="FF000000"/>
        <rFont val="微软雅黑"/>
        <charset val="134"/>
      </rPr>
      <t>电话限制规则如下：不能低于7位数字；不能连续7位或以上相同的数字（例：0000000）；不能连续7位或以上递增/递减的数字（例：12345678,987654321）。</t>
    </r>
    <r>
      <rPr>
        <sz val="11"/>
        <color rgb="FF000000"/>
        <rFont val="微软雅黑"/>
        <charset val="134"/>
      </rPr>
      <t xml:space="preserve">
</t>
    </r>
    <r>
      <rPr>
        <sz val="11"/>
        <color rgb="FF000000"/>
        <rFont val="微软雅黑"/>
        <charset val="134"/>
      </rPr>
      <t>禁发驱虫、驱蚊相关产品。</t>
    </r>
  </si>
  <si>
    <r>
      <rPr>
        <sz val="11"/>
        <color rgb="FF000000"/>
        <rFont val="微软雅黑"/>
        <charset val="134"/>
      </rPr>
      <t>0-20KG:最长边≤60cm，长+宽+高≤120cm。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</si>
  <si>
    <r>
      <rPr>
        <sz val="11"/>
        <color rgb="FF000000"/>
        <rFont val="微软雅黑"/>
        <charset val="134"/>
      </rPr>
      <t>22000-22999的邮编不通达</t>
    </r>
    <r>
      <rPr>
        <sz val="11"/>
        <color rgb="FF000000"/>
        <rFont val="微软雅黑"/>
        <charset val="134"/>
      </rPr>
      <t xml:space="preserve"> </t>
    </r>
  </si>
  <si>
    <t>无退回中国服务，可提供重派服务，具体以客服通知为准。重派费：20元/公斤+30元/件</t>
  </si>
  <si>
    <t>电话格式：+30 接 10 位数，且首位不是0</t>
  </si>
  <si>
    <r>
      <rPr>
        <sz val="11"/>
        <color rgb="FF000000"/>
        <rFont val="微软雅黑"/>
        <charset val="134"/>
      </rPr>
      <t>0-30KG:最长边≤60cm，长+宽+高≤90cm，</t>
    </r>
    <r>
      <rPr>
        <sz val="11"/>
        <color rgb="FF000000"/>
        <rFont val="微软雅黑"/>
        <charset val="134"/>
      </rPr>
      <t xml:space="preserve">    </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</si>
  <si>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r>
      <rPr>
        <sz val="11"/>
        <color rgb="FF000000"/>
        <rFont val="微软雅黑"/>
        <charset val="134"/>
      </rPr>
      <t>邮编必须为5位纯数字</t>
    </r>
    <r>
      <rPr>
        <sz val="11"/>
        <color rgb="FF000000"/>
        <rFont val="微软雅黑"/>
        <charset val="134"/>
      </rPr>
      <t xml:space="preserve">
</t>
    </r>
    <r>
      <rPr>
        <sz val="11"/>
        <color rgb="FF000000"/>
        <rFont val="微软雅黑"/>
        <charset val="134"/>
      </rPr>
      <t>不接受PO.BOX地址</t>
    </r>
  </si>
  <si>
    <t>无退回中国服务，不可重派</t>
  </si>
  <si>
    <t>HR</t>
  </si>
  <si>
    <r>
      <rPr>
        <sz val="11"/>
        <color rgb="FF000000"/>
        <rFont val="微软雅黑"/>
        <charset val="134"/>
      </rPr>
      <t>地址需填门牌号，门牌号最多5位，格式如下：</t>
    </r>
    <r>
      <rPr>
        <sz val="11"/>
        <color rgb="FF000000"/>
        <rFont val="微软雅黑"/>
        <charset val="134"/>
      </rPr>
      <t xml:space="preserve">
</t>
    </r>
    <r>
      <rPr>
        <sz val="11"/>
        <color rgb="FF000000"/>
        <rFont val="微软雅黑"/>
        <charset val="134"/>
      </rPr>
      <t>a）数字短横杠数字2-5</t>
    </r>
    <r>
      <rPr>
        <sz val="11"/>
        <color rgb="FF000000"/>
        <rFont val="微软雅黑"/>
        <charset val="134"/>
      </rPr>
      <t xml:space="preserve">
</t>
    </r>
    <r>
      <rPr>
        <sz val="11"/>
        <color rgb="FF000000"/>
        <rFont val="微软雅黑"/>
        <charset val="134"/>
      </rPr>
      <t>b）数字杠数字11/20</t>
    </r>
    <r>
      <rPr>
        <sz val="11"/>
        <color rgb="FF000000"/>
        <rFont val="微软雅黑"/>
        <charset val="134"/>
      </rPr>
      <t xml:space="preserve">
</t>
    </r>
    <r>
      <rPr>
        <sz val="11"/>
        <color rgb="FF000000"/>
        <rFont val="微软雅黑"/>
        <charset val="134"/>
      </rPr>
      <t>c）数字+字母123a</t>
    </r>
  </si>
  <si>
    <t>部分支持重派，以实际通知为准，重派费40元/件；没有退回国内服务，销毁免费</t>
  </si>
  <si>
    <r>
      <rPr>
        <sz val="11"/>
        <color rgb="FF000000"/>
        <rFont val="微软雅黑"/>
        <charset val="134"/>
      </rPr>
      <t xml:space="preserve">
</t>
    </r>
    <r>
      <rPr>
        <sz val="11"/>
        <color rgb="FF000000"/>
        <rFont val="微软雅黑"/>
        <charset val="134"/>
      </rPr>
      <t>自2021年6月24日起，本产品发往欧盟27国的货物，每日发给同一收件人包裹的合计申报价值小于150欧元，均为DDP服务。暂不接受150欧元以上货物。</t>
    </r>
    <r>
      <rPr>
        <sz val="11"/>
        <color rgb="FF000000"/>
        <rFont val="微软雅黑"/>
        <charset val="134"/>
      </rPr>
      <t xml:space="preserve">
</t>
    </r>
  </si>
  <si>
    <t>自6月24日起，本产品发往欧盟27国的货物，每日发给同一收件人包裹的合计申报价值小于150欧元，均为DDP服务。暂不接受150欧元以上货物。且申报价值不能低于1欧元。</t>
  </si>
  <si>
    <r>
      <rPr>
        <sz val="11"/>
        <color rgb="FF000000"/>
        <rFont val="微软雅黑"/>
        <charset val="134"/>
      </rPr>
      <t>最长边≤60cm，长+宽+高≤120cm，最大尺寸60*50*40</t>
    </r>
    <r>
      <rPr>
        <sz val="11"/>
        <color rgb="FF000000"/>
        <rFont val="微软雅黑"/>
        <charset val="134"/>
      </rPr>
      <t xml:space="preserve">    </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</si>
  <si>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t>只通达爱尔兰全境，若客户发到其他国家，将按以下标准收费：280元/件</t>
  </si>
  <si>
    <r>
      <rPr>
        <sz val="11"/>
        <color rgb="FF000000"/>
        <rFont val="微软雅黑"/>
        <charset val="134"/>
      </rPr>
      <t>最长边≤60cm，长+宽+高≤120cm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</si>
  <si>
    <r>
      <rPr>
        <sz val="11"/>
        <color rgb="FF000000"/>
        <rFont val="微软雅黑"/>
        <charset val="134"/>
      </rPr>
      <t>1）州必填</t>
    </r>
    <r>
      <rPr>
        <sz val="11"/>
        <color rgb="FF000000"/>
        <rFont val="微软雅黑"/>
        <charset val="134"/>
      </rPr>
      <t xml:space="preserve">
</t>
    </r>
    <r>
      <rPr>
        <sz val="11"/>
        <color rgb="FF000000"/>
        <rFont val="微软雅黑"/>
        <charset val="134"/>
      </rPr>
      <t>2）电话号码格式：+3706xxxxxxx</t>
    </r>
    <r>
      <rPr>
        <sz val="11"/>
        <color rgb="FF000000"/>
        <rFont val="微软雅黑"/>
        <charset val="134"/>
      </rPr>
      <t xml:space="preserve">
</t>
    </r>
    <r>
      <rPr>
        <sz val="11"/>
        <color rgb="FF000000"/>
        <rFont val="微软雅黑"/>
        <charset val="134"/>
      </rPr>
      <t>3）末端当地派送到自提点，不送货上门。包裹到达自提点以后会短信/邮件通知收件人自提，所以收件人的联系方式非常重要，需要提供格式正确且能接收短信通知的收件人电话，同时建议提供收件人邮箱。</t>
    </r>
  </si>
  <si>
    <r>
      <rPr>
        <sz val="11"/>
        <color rgb="FF000000"/>
        <rFont val="微软雅黑"/>
        <charset val="134"/>
      </rPr>
      <t>1. 无退回中国服务；</t>
    </r>
    <r>
      <rPr>
        <sz val="11"/>
        <color rgb="FF000000"/>
        <rFont val="微软雅黑"/>
        <charset val="134"/>
      </rPr>
      <t xml:space="preserve">
</t>
    </r>
    <r>
      <rPr>
        <sz val="11"/>
        <color rgb="FF000000"/>
        <rFont val="微软雅黑"/>
        <charset val="134"/>
      </rPr>
      <t>2. 0-5kg可提供重派服务，重派期限为12天，即自通知客户包裹退回起，12天内，客户可选择重派，若超过12天后未回复，包裹默认销毁。重派费：40元/件。5-30kg无重派服务。具体重派服务以国外通知反馈为准。</t>
    </r>
  </si>
  <si>
    <r>
      <rPr>
        <sz val="11"/>
        <color rgb="FF000000"/>
        <rFont val="微软雅黑"/>
        <charset val="134"/>
      </rPr>
      <t>0-2kg：最长边≤60cm，长+宽+高≤90cm；2-30kg：最长边≤60cm，长+宽+高≤120cm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</si>
  <si>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t>系统会验证邮编有效性，通达邮编请见附件。具体请咨询客服。</t>
  </si>
  <si>
    <r>
      <rPr>
        <sz val="11"/>
        <color rgb="FF000000"/>
        <rFont val="微软雅黑"/>
        <charset val="134"/>
      </rPr>
      <t>电话号码格式：</t>
    </r>
    <r>
      <rPr>
        <sz val="11"/>
        <color rgb="FF000000"/>
        <rFont val="微软雅黑"/>
        <charset val="134"/>
      </rPr>
      <t xml:space="preserve">  </t>
    </r>
    <r>
      <rPr>
        <sz val="11"/>
        <color rgb="FF000000"/>
        <rFont val="微软雅黑"/>
        <charset val="134"/>
      </rPr>
      <t>+3712xxxxxxx</t>
    </r>
    <r>
      <rPr>
        <sz val="11"/>
        <color rgb="FF000000"/>
        <rFont val="微软雅黑"/>
        <charset val="134"/>
      </rPr>
      <t xml:space="preserve">
</t>
    </r>
  </si>
  <si>
    <r>
      <rPr>
        <sz val="11"/>
        <color rgb="FF000000"/>
        <rFont val="微软雅黑"/>
        <charset val="134"/>
      </rPr>
      <t>1. 无退回中国服务；</t>
    </r>
    <r>
      <rPr>
        <sz val="11"/>
        <color rgb="FF000000"/>
        <rFont val="微软雅黑"/>
        <charset val="134"/>
      </rPr>
      <t xml:space="preserve">
</t>
    </r>
    <r>
      <rPr>
        <sz val="11"/>
        <color rgb="FF000000"/>
        <rFont val="微软雅黑"/>
        <charset val="134"/>
      </rPr>
      <t>2. 0-5kg可提供重派服务，重派期限为12天，即自通知客户包裹退回起，12天内，客户可选择重派，若超过12天后未回复，包裹默认销毁。重派费：40元/件。5-30kg无重派服务。具体重派服务以国外通知反馈为准。</t>
    </r>
    <r>
      <rPr>
        <sz val="11"/>
        <color rgb="FF000000"/>
        <rFont val="微软雅黑"/>
        <charset val="134"/>
      </rPr>
      <t xml:space="preserve">
</t>
    </r>
  </si>
  <si>
    <t>MT</t>
  </si>
  <si>
    <r>
      <rPr>
        <sz val="11"/>
        <color rgb="FF000000"/>
        <rFont val="微软雅黑"/>
        <charset val="134"/>
      </rPr>
      <t>需填写邮箱，邮箱规则如下：（0-9/A-Z）@（0-9/A-Z）.（0-9/A-Z）</t>
    </r>
    <r>
      <rPr>
        <sz val="11"/>
        <color rgb="FF000000"/>
        <rFont val="微软雅黑"/>
        <charset val="134"/>
      </rPr>
      <t xml:space="preserve">
</t>
    </r>
    <r>
      <rPr>
        <sz val="11"/>
        <color rgb="FF000000"/>
        <rFont val="微软雅黑"/>
        <charset val="134"/>
      </rPr>
      <t>例：sjahdvks@gmai.com</t>
    </r>
  </si>
  <si>
    <r>
      <rPr>
        <sz val="11"/>
        <color rgb="FF000000"/>
        <rFont val="微软雅黑"/>
        <charset val="134"/>
      </rPr>
      <t>最长边≤60cm，长+宽+高≤90cm，</t>
    </r>
    <r>
      <rPr>
        <sz val="11"/>
        <color rgb="FF000000"/>
        <rFont val="微软雅黑"/>
        <charset val="134"/>
      </rPr>
      <t xml:space="preserve">    </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</si>
  <si>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t>无退回中国服务，0-30kg：可提供重派服务，重派费：50元/件</t>
  </si>
  <si>
    <r>
      <rPr>
        <sz val="11"/>
        <color rgb="FF000000"/>
        <rFont val="微软雅黑"/>
        <charset val="134"/>
      </rPr>
      <t>1）挪威路向VOEC税号必填，且需填写在“寄件人税号”框中；税号的填写格式为7位纯数字。VOEC税号备案需客户自主在燕文门户网站上进行申报备案，备案完成后方可发货。请您确保VOEC号码的正确性，若因税号信息不准确带来的一切后果由您自行承担。</t>
    </r>
    <r>
      <rPr>
        <sz val="11"/>
        <color rgb="FF000000"/>
        <rFont val="微软雅黑"/>
        <charset val="134"/>
      </rPr>
      <t xml:space="preserve">
</t>
    </r>
    <r>
      <rPr>
        <sz val="11"/>
        <color rgb="FF000000"/>
        <rFont val="微软雅黑"/>
        <charset val="134"/>
      </rPr>
      <t>2）邮编必须4位数字</t>
    </r>
    <r>
      <rPr>
        <sz val="11"/>
        <color rgb="FF000000"/>
        <rFont val="微软雅黑"/>
        <charset val="134"/>
      </rPr>
      <t xml:space="preserve">
</t>
    </r>
    <r>
      <rPr>
        <sz val="11"/>
        <color rgb="FF000000"/>
        <rFont val="微软雅黑"/>
        <charset val="134"/>
      </rPr>
      <t>3）手机号/电话号码必填其一，格式要求如下</t>
    </r>
    <r>
      <rPr>
        <sz val="11"/>
        <color rgb="FF000000"/>
        <rFont val="微软雅黑"/>
        <charset val="134"/>
      </rPr>
      <t xml:space="preserve">
</t>
    </r>
    <r>
      <rPr>
        <sz val="11"/>
        <color rgb="FF000000"/>
        <rFont val="微软雅黑"/>
        <charset val="134"/>
      </rPr>
      <t>a）如首位00、47、0047、4700、+47开头，后面手机位数长度要求大于等于6，小于等于50</t>
    </r>
    <r>
      <rPr>
        <sz val="11"/>
        <color rgb="FF000000"/>
        <rFont val="微软雅黑"/>
        <charset val="134"/>
      </rPr>
      <t xml:space="preserve">
</t>
    </r>
    <r>
      <rPr>
        <sz val="11"/>
        <color rgb="FF000000"/>
        <rFont val="微软雅黑"/>
        <charset val="134"/>
      </rPr>
      <t>b）不可以出现6个以及以上的相同数字或者连号</t>
    </r>
    <r>
      <rPr>
        <sz val="11"/>
        <color rgb="FF000000"/>
        <rFont val="微软雅黑"/>
        <charset val="134"/>
      </rPr>
      <t xml:space="preserve">
</t>
    </r>
    <r>
      <rPr>
        <sz val="11"/>
        <color rgb="FF000000"/>
        <rFont val="微软雅黑"/>
        <charset val="134"/>
      </rPr>
      <t>4）城市不能含数字</t>
    </r>
  </si>
  <si>
    <t>最高不超过3000挪威克朗（约300欧元）</t>
  </si>
  <si>
    <r>
      <rPr>
        <sz val="11"/>
        <color rgb="FF000000"/>
        <rFont val="微软雅黑"/>
        <charset val="134"/>
      </rPr>
      <t>1.标准尺寸：最长边≤45cm，三边和≤90cm，无附加费；</t>
    </r>
    <r>
      <rPr>
        <sz val="11"/>
        <color rgb="FF000000"/>
        <rFont val="微软雅黑"/>
        <charset val="134"/>
      </rPr>
      <t xml:space="preserve">
</t>
    </r>
    <r>
      <rPr>
        <sz val="11"/>
        <color rgb="FF000000"/>
        <rFont val="微软雅黑"/>
        <charset val="134"/>
      </rPr>
      <t>2.最大尺寸：45cm＜最长边≤60cm，90cm＜三边和≤120cm，此部分超尺订单将逐票发至客户处确认，并加收40元超尺附加费</t>
    </r>
    <r>
      <rPr>
        <sz val="11"/>
        <color rgb="FF000000"/>
        <rFont val="微软雅黑"/>
        <charset val="134"/>
      </rPr>
      <t xml:space="preserve">
</t>
    </r>
    <r>
      <rPr>
        <sz val="11"/>
        <color rgb="FF000000"/>
        <rFont val="微软雅黑"/>
        <charset val="134"/>
      </rPr>
      <t>3.不接受最长边&gt;60cm或三边和＞120cm的包裹</t>
    </r>
    <r>
      <rPr>
        <sz val="11"/>
        <color rgb="FF000000"/>
        <rFont val="微软雅黑"/>
        <charset val="134"/>
      </rPr>
      <t xml:space="preserve">
</t>
    </r>
    <r>
      <rPr>
        <sz val="11"/>
        <color rgb="FF000000"/>
        <rFont val="微软雅黑"/>
        <charset val="134"/>
      </rPr>
      <t>4.不接受圆柱体和异型件，有特殊需求请咨询销售</t>
    </r>
    <r>
      <rPr>
        <sz val="11"/>
        <color rgb="FF000000"/>
        <rFont val="微软雅黑"/>
        <charset val="134"/>
      </rPr>
      <t xml:space="preserve">
</t>
    </r>
    <r>
      <rPr>
        <sz val="11"/>
        <color rgb="FF000000"/>
        <rFont val="微软雅黑"/>
        <charset val="134"/>
      </rPr>
      <t>5.超出标准尺寸包裹需要自提，请留意提供正确电话、邮箱信息</t>
    </r>
  </si>
  <si>
    <t>不接受PO.BOX等邮箱地址</t>
  </si>
  <si>
    <t>无退回中国服务，不提供重派服务</t>
  </si>
  <si>
    <r>
      <rPr>
        <sz val="11"/>
        <color rgb="FF000000"/>
        <rFont val="微软雅黑"/>
        <charset val="134"/>
      </rPr>
      <t>1）最大尺寸60*50*40cm</t>
    </r>
    <r>
      <rPr>
        <sz val="11"/>
        <color rgb="FF000000"/>
        <rFont val="微软雅黑"/>
        <charset val="134"/>
      </rPr>
      <t xml:space="preserve">
</t>
    </r>
    <r>
      <rPr>
        <sz val="11"/>
        <color rgb="FF000000"/>
        <rFont val="微软雅黑"/>
        <charset val="134"/>
      </rPr>
      <t>2）不接受圆柱体和异型件，有特殊需求请咨询销售</t>
    </r>
    <r>
      <rPr>
        <sz val="11"/>
        <color rgb="FF000000"/>
        <rFont val="微软雅黑"/>
        <charset val="134"/>
      </rPr>
      <t xml:space="preserve">
</t>
    </r>
    <r>
      <rPr>
        <sz val="11"/>
        <color rgb="FF000000"/>
        <rFont val="微软雅黑"/>
        <charset val="134"/>
      </rPr>
      <t>异形件说明：</t>
    </r>
    <r>
      <rPr>
        <sz val="11"/>
        <color rgb="FF000000"/>
        <rFont val="微软雅黑"/>
        <charset val="134"/>
      </rPr>
      <t xml:space="preserve">    </t>
    </r>
    <r>
      <rPr>
        <sz val="11"/>
        <color rgb="FF000000"/>
        <rFont val="微软雅黑"/>
        <charset val="134"/>
      </rPr>
      <t xml:space="preserve">
</t>
    </r>
    <r>
      <rPr>
        <sz val="11"/>
        <color rgb="FF000000"/>
        <rFont val="微软雅黑"/>
        <charset val="134"/>
      </rPr>
      <t>若确认为异形件，需收取32元/件的费用</t>
    </r>
    <r>
      <rPr>
        <sz val="11"/>
        <color rgb="FF000000"/>
        <rFont val="微软雅黑"/>
        <charset val="134"/>
      </rPr>
      <t xml:space="preserve">
</t>
    </r>
  </si>
  <si>
    <r>
      <rPr>
        <sz val="11"/>
        <color rgb="FF000000"/>
        <rFont val="微软雅黑"/>
        <charset val="134"/>
      </rPr>
      <t>1）波兰的地址，若有门牌号的，需要填写门牌号。若未填写，可能会导致退件。</t>
    </r>
    <r>
      <rPr>
        <sz val="11"/>
        <color rgb="FF000000"/>
        <rFont val="微软雅黑"/>
        <charset val="134"/>
      </rPr>
      <t xml:space="preserve">
</t>
    </r>
    <r>
      <rPr>
        <sz val="11"/>
        <color rgb="FF000000"/>
        <rFont val="微软雅黑"/>
        <charset val="134"/>
      </rPr>
      <t>2）电话格式要求：9位纯数字</t>
    </r>
    <r>
      <rPr>
        <sz val="11"/>
        <color rgb="FF000000"/>
        <rFont val="微软雅黑"/>
        <charset val="134"/>
      </rPr>
      <t xml:space="preserve">
</t>
    </r>
    <r>
      <rPr>
        <sz val="11"/>
        <color rgb="FF000000"/>
        <rFont val="微软雅黑"/>
        <charset val="134"/>
      </rPr>
      <t>3）邮编格式：2位数字+横杠+3位数字</t>
    </r>
  </si>
  <si>
    <r>
      <rPr>
        <sz val="11"/>
        <color rgb="FF000000"/>
        <rFont val="微软雅黑"/>
        <charset val="134"/>
      </rPr>
      <t>长*宽*高≤60*50*40cm</t>
    </r>
    <r>
      <rPr>
        <sz val="11"/>
        <color rgb="FF000000"/>
        <rFont val="微软雅黑"/>
        <charset val="134"/>
      </rPr>
      <t xml:space="preserve">
</t>
    </r>
    <r>
      <rPr>
        <sz val="11"/>
        <color rgb="FF000000"/>
        <rFont val="微软雅黑"/>
        <charset val="134"/>
      </rPr>
      <t>不接受圆柱体和异型件，有特殊需求请咨询销售</t>
    </r>
    <r>
      <rPr>
        <sz val="11"/>
        <color rgb="FF000000"/>
        <rFont val="微软雅黑"/>
        <charset val="134"/>
      </rPr>
      <t xml:space="preserve">  </t>
    </r>
    <r>
      <rPr>
        <sz val="11"/>
        <color rgb="FF000000"/>
        <rFont val="微软雅黑"/>
        <charset val="134"/>
      </rPr>
      <t xml:space="preserve">
</t>
    </r>
  </si>
  <si>
    <t>不接受9开头的偏远邮编</t>
  </si>
  <si>
    <r>
      <rPr>
        <sz val="11"/>
        <color rgb="FF000000"/>
        <rFont val="微软雅黑"/>
        <charset val="134"/>
      </rPr>
      <t>电话号码的格式：7XXXXXXXX，07XXXXXXXX，407XXXXXXXX，+407XXXXXXXX</t>
    </r>
    <r>
      <rPr>
        <sz val="11"/>
        <color rgb="FF000000"/>
        <rFont val="微软雅黑"/>
        <charset val="134"/>
      </rPr>
      <t xml:space="preserve">
</t>
    </r>
  </si>
  <si>
    <t>无退回中国服务，不提供重派</t>
  </si>
  <si>
    <r>
      <rPr>
        <sz val="11"/>
        <color rgb="FF000000"/>
        <rFont val="微软雅黑"/>
        <charset val="134"/>
      </rPr>
      <t xml:space="preserve">
</t>
    </r>
    <r>
      <rPr>
        <sz val="11"/>
        <color rgb="FF000000"/>
        <rFont val="微软雅黑"/>
        <charset val="134"/>
      </rPr>
      <t>"根据欧盟海关新政要求，从2021年7月1日起，欧盟27国取消22欧以下免税政策，0欧起征。新政实施的时间节点是以货物抵达清关口岸为准。</t>
    </r>
    <r>
      <rPr>
        <sz val="11"/>
        <color rgb="FF000000"/>
        <rFont val="微软雅黑"/>
        <charset val="134"/>
      </rPr>
      <t xml:space="preserve">
</t>
    </r>
    <r>
      <rPr>
        <sz val="11"/>
        <color rgb="FF000000"/>
        <rFont val="微软雅黑"/>
        <charset val="134"/>
      </rPr>
      <t>对于2021年6月24日上午8时后到仓货物，客户已经填写IOSS号的，按正常运费结算。对于没有填写IOSS号的订单，默认由燕文预收增值税，收费税率标准为按各国应缴VAT标准税率统一增加2%收取，例如，荷兰VAT为21%，实收则为23%，且该部分税金无法用作未来的VAT进项抵扣。</t>
    </r>
    <r>
      <rPr>
        <sz val="11"/>
        <color rgb="FF000000"/>
        <rFont val="微软雅黑"/>
        <charset val="134"/>
      </rPr>
      <t xml:space="preserve">
</t>
    </r>
    <r>
      <rPr>
        <sz val="11"/>
        <color rgb="FF000000"/>
        <rFont val="微软雅黑"/>
        <charset val="134"/>
      </rPr>
      <t>凡是预缴税金的货物，收件人无需再支付税款。请如实申报，切勿低报，否则相关查验延误，扣留和罚款等风险均由发件人自行承担，同时，对低报货物，我司有权拒收。"</t>
    </r>
    <r>
      <rPr>
        <sz val="11"/>
        <color rgb="FF000000"/>
        <rFont val="微软雅黑"/>
        <charset val="134"/>
      </rPr>
      <t xml:space="preserve">
</t>
    </r>
  </si>
  <si>
    <t>SE</t>
  </si>
  <si>
    <r>
      <rPr>
        <sz val="11"/>
        <color rgb="FF000000"/>
        <rFont val="微软雅黑"/>
        <charset val="134"/>
      </rPr>
      <t>1. 2024年3月11日更新：海关目前严查太阳眼镜相关产品，请避免发送相关产品。海关查验货物包裹的销售链接请务必在48小时内提供，超时和未提供的部分会产生150欧罚金且无法豁免，需客户自行承担；</t>
    </r>
    <r>
      <rPr>
        <sz val="11"/>
        <color rgb="FF000000"/>
        <rFont val="微软雅黑"/>
        <charset val="134"/>
      </rPr>
      <t xml:space="preserve">
</t>
    </r>
    <r>
      <rPr>
        <sz val="11"/>
        <color rgb="FF000000"/>
        <rFont val="微软雅黑"/>
        <charset val="134"/>
      </rPr>
      <t>2. 海关近期严查仿牌和假货，查出即罚没，并会产生罚金由客户自行承担；</t>
    </r>
    <r>
      <rPr>
        <sz val="11"/>
        <color rgb="FF000000"/>
        <rFont val="微软雅黑"/>
        <charset val="134"/>
      </rPr>
      <t xml:space="preserve">
</t>
    </r>
    <r>
      <rPr>
        <sz val="11"/>
        <color rgb="FF000000"/>
        <rFont val="微软雅黑"/>
        <charset val="134"/>
      </rPr>
      <t>3. 2KG以上为自提服务，请提供准确电话号码接收提货通知。</t>
    </r>
  </si>
  <si>
    <r>
      <rPr>
        <sz val="11"/>
        <color rgb="FF000000"/>
        <rFont val="微软雅黑"/>
        <charset val="134"/>
      </rPr>
      <t>0-5KG:最长边≤60cm，长+宽+高≤90cm，</t>
    </r>
    <r>
      <rPr>
        <sz val="11"/>
        <color rgb="FF000000"/>
        <rFont val="微软雅黑"/>
        <charset val="134"/>
      </rPr>
      <t xml:space="preserve">    </t>
    </r>
    <r>
      <rPr>
        <sz val="11"/>
        <color rgb="FF000000"/>
        <rFont val="微软雅黑"/>
        <charset val="134"/>
      </rPr>
      <t xml:space="preserve">
</t>
    </r>
    <r>
      <rPr>
        <sz val="11"/>
        <color rgb="FF000000"/>
        <rFont val="微软雅黑"/>
        <charset val="134"/>
      </rPr>
      <t>5.001-20KG：单边≤60cm，长+宽+高≤120cm</t>
    </r>
    <r>
      <rPr>
        <sz val="11"/>
        <color rgb="FF000000"/>
        <rFont val="微软雅黑"/>
        <charset val="134"/>
      </rPr>
      <t xml:space="preserve">    </t>
    </r>
    <r>
      <rPr>
        <sz val="11"/>
        <color rgb="FF000000"/>
        <rFont val="微软雅黑"/>
        <charset val="134"/>
      </rPr>
      <t xml:space="preserve">
</t>
    </r>
    <r>
      <rPr>
        <sz val="11"/>
        <color rgb="FF000000"/>
        <rFont val="微软雅黑"/>
        <charset val="134"/>
      </rPr>
      <t>不接受圆柱体和异型件，有特殊需求请咨询销售</t>
    </r>
  </si>
  <si>
    <t>无退回中国服务，部分提供重派，能否重派以实际收到重派通知为准，重派费：50元/件</t>
  </si>
  <si>
    <r>
      <rPr>
        <sz val="11"/>
        <color rgb="FF000000"/>
        <rFont val="微软雅黑"/>
        <charset val="134"/>
      </rPr>
      <t>长+宽+高,(0,90],最长边,(0,60]</t>
    </r>
    <r>
      <rPr>
        <sz val="11"/>
        <color rgb="FF000000"/>
        <rFont val="微软雅黑"/>
        <charset val="134"/>
      </rPr>
      <t xml:space="preserve">
</t>
    </r>
    <r>
      <rPr>
        <sz val="11"/>
        <color rgb="FF000000"/>
        <rFont val="微软雅黑"/>
        <charset val="134"/>
      </rPr>
      <t>不接受圆柱体和异型件，有特殊需求请咨询销售</t>
    </r>
  </si>
  <si>
    <r>
      <rPr>
        <sz val="11"/>
        <color rgb="FF000000"/>
        <rFont val="微软雅黑"/>
        <charset val="134"/>
      </rPr>
      <t>1.收件人电话必填</t>
    </r>
    <r>
      <rPr>
        <sz val="11"/>
        <color rgb="FF000000"/>
        <rFont val="微软雅黑"/>
        <charset val="134"/>
      </rPr>
      <t xml:space="preserve">
</t>
    </r>
    <r>
      <rPr>
        <sz val="11"/>
        <color rgb="FF000000"/>
        <rFont val="微软雅黑"/>
        <charset val="134"/>
      </rPr>
      <t>2.地址需填门牌号，门牌号最多5位，格式如下：</t>
    </r>
    <r>
      <rPr>
        <sz val="11"/>
        <color rgb="FF000000"/>
        <rFont val="微软雅黑"/>
        <charset val="134"/>
      </rPr>
      <t xml:space="preserve">
</t>
    </r>
    <r>
      <rPr>
        <sz val="11"/>
        <color rgb="FF000000"/>
        <rFont val="微软雅黑"/>
        <charset val="134"/>
      </rPr>
      <t>a）数字短横杠数字2-5</t>
    </r>
    <r>
      <rPr>
        <sz val="11"/>
        <color rgb="FF000000"/>
        <rFont val="微软雅黑"/>
        <charset val="134"/>
      </rPr>
      <t xml:space="preserve">
</t>
    </r>
    <r>
      <rPr>
        <sz val="11"/>
        <color rgb="FF000000"/>
        <rFont val="微软雅黑"/>
        <charset val="134"/>
      </rPr>
      <t>b）数字杠数字11/20</t>
    </r>
    <r>
      <rPr>
        <sz val="11"/>
        <color rgb="FF000000"/>
        <rFont val="微软雅黑"/>
        <charset val="134"/>
      </rPr>
      <t xml:space="preserve">
</t>
    </r>
    <r>
      <rPr>
        <sz val="11"/>
        <color rgb="FF000000"/>
        <rFont val="微软雅黑"/>
        <charset val="134"/>
      </rPr>
      <t>c）数字+字母123a</t>
    </r>
  </si>
  <si>
    <r>
      <rPr>
        <sz val="11"/>
        <color rgb="FF000000"/>
        <rFont val="微软雅黑"/>
        <charset val="134"/>
      </rPr>
      <t>无重派；没有退回国内服务，销毁免费</t>
    </r>
    <r>
      <rPr>
        <sz val="11"/>
        <color rgb="FF000000"/>
        <rFont val="微软雅黑"/>
        <charset val="134"/>
      </rPr>
      <t xml:space="preserve">
</t>
    </r>
  </si>
  <si>
    <r>
      <rPr>
        <sz val="11"/>
        <color rgb="FF000000"/>
        <rFont val="微软雅黑"/>
        <charset val="134"/>
      </rPr>
      <t>1）邮编格式：5位纯数字</t>
    </r>
    <r>
      <rPr>
        <sz val="11"/>
        <color rgb="FF000000"/>
        <rFont val="微软雅黑"/>
        <charset val="134"/>
      </rPr>
      <t xml:space="preserve">
</t>
    </r>
    <r>
      <rPr>
        <sz val="11"/>
        <color rgb="FF000000"/>
        <rFont val="微软雅黑"/>
        <charset val="134"/>
      </rPr>
      <t>2）地址需填门牌号，门牌号最多5位，格式如下：</t>
    </r>
    <r>
      <rPr>
        <sz val="11"/>
        <color rgb="FF000000"/>
        <rFont val="微软雅黑"/>
        <charset val="134"/>
      </rPr>
      <t xml:space="preserve">
</t>
    </r>
    <r>
      <rPr>
        <sz val="11"/>
        <color rgb="FF000000"/>
        <rFont val="微软雅黑"/>
        <charset val="134"/>
      </rPr>
      <t>a）数字短横杠数字2-5</t>
    </r>
    <r>
      <rPr>
        <sz val="11"/>
        <color rgb="FF000000"/>
        <rFont val="微软雅黑"/>
        <charset val="134"/>
      </rPr>
      <t xml:space="preserve">
</t>
    </r>
    <r>
      <rPr>
        <sz val="11"/>
        <color rgb="FF000000"/>
        <rFont val="微软雅黑"/>
        <charset val="134"/>
      </rPr>
      <t>b）数字杠数字11/20</t>
    </r>
    <r>
      <rPr>
        <sz val="11"/>
        <color rgb="FF000000"/>
        <rFont val="微软雅黑"/>
        <charset val="134"/>
      </rPr>
      <t xml:space="preserve">
</t>
    </r>
    <r>
      <rPr>
        <sz val="11"/>
        <color rgb="FF000000"/>
        <rFont val="微软雅黑"/>
        <charset val="134"/>
      </rPr>
      <t xml:space="preserve">c）数字+字母123a </t>
    </r>
    <r>
      <rPr>
        <sz val="11"/>
        <color rgb="FF000000"/>
        <rFont val="微软雅黑"/>
        <charset val="134"/>
      </rPr>
      <t xml:space="preserve">
</t>
    </r>
    <r>
      <rPr>
        <sz val="11"/>
        <color rgb="FF000000"/>
        <rFont val="微软雅黑"/>
        <charset val="134"/>
      </rPr>
      <t>电话限制：</t>
    </r>
    <r>
      <rPr>
        <sz val="11"/>
        <color rgb="FF000000"/>
        <rFont val="微软雅黑"/>
        <charset val="134"/>
      </rPr>
      <t xml:space="preserve">
</t>
    </r>
    <r>
      <rPr>
        <sz val="11"/>
        <color rgb="FF000000"/>
        <rFont val="微软雅黑"/>
        <charset val="134"/>
      </rPr>
      <t>电话必填：9位数，前可加区号：+00421、00421、00421-、+421、421-、421、</t>
    </r>
  </si>
  <si>
    <r>
      <rPr>
        <sz val="11"/>
        <color rgb="FF000000"/>
        <rFont val="微软雅黑"/>
        <charset val="134"/>
      </rPr>
      <t>根据欧盟海关新政要求，从2021年7月1日起，欧盟27国取消22欧以下免税政策，0欧起征。新政实施的时间节点是以货物抵达清关口岸为准。</t>
    </r>
    <r>
      <rPr>
        <sz val="11"/>
        <color rgb="FF000000"/>
        <rFont val="微软雅黑"/>
        <charset val="134"/>
      </rPr>
      <t xml:space="preserve">
</t>
    </r>
    <r>
      <rPr>
        <sz val="11"/>
        <color rgb="FF000000"/>
        <rFont val="微软雅黑"/>
        <charset val="134"/>
      </rPr>
      <t>对于2021年6月24日上午8时后到仓货物，客户已经填写IOSS号的，按正常运费结算。对于没有填写IOSS号的订单，默认由燕文预收增值税，收费税率标准为按各国应缴VAT标准税率统一增加2%收取，例如，荷兰VAT为21%，实收则为23%，且该部分税金无法用作未来的VAT进项抵扣。</t>
    </r>
    <r>
      <rPr>
        <sz val="11"/>
        <color rgb="FF000000"/>
        <rFont val="微软雅黑"/>
        <charset val="134"/>
      </rPr>
      <t xml:space="preserve">
</t>
    </r>
    <r>
      <rPr>
        <sz val="11"/>
        <color rgb="FF000000"/>
        <rFont val="微软雅黑"/>
        <charset val="134"/>
      </rPr>
      <t>凡是预缴税金的货物，收件人无需再支付税款。请如实申报，切勿低报，否则相关查验延误，扣留和罚款等风险均由发件人自行承担，同时，对低报货物，我司有权拒收。</t>
    </r>
    <r>
      <rPr>
        <sz val="11"/>
        <color rgb="FF000000"/>
        <rFont val="微软雅黑"/>
        <charset val="134"/>
      </rPr>
      <t xml:space="preserve">
</t>
    </r>
  </si>
  <si>
    <t>禁运品主要类别：路由设备</t>
  </si>
  <si>
    <r>
      <rPr>
        <sz val="11"/>
        <color rgb="FF000000"/>
        <rFont val="微软雅黑"/>
        <charset val="134"/>
      </rPr>
      <t>对于同一个收货人，同一天的申报总价值不能超过100欧元（2019年7月1日开始）</t>
    </r>
    <r>
      <rPr>
        <sz val="11"/>
        <color rgb="FF000000"/>
        <rFont val="微软雅黑"/>
        <charset val="134"/>
      </rPr>
      <t xml:space="preserve">
</t>
    </r>
  </si>
  <si>
    <r>
      <rPr>
        <sz val="11"/>
        <color rgb="FF000000"/>
        <rFont val="微软雅黑"/>
        <charset val="134"/>
      </rPr>
      <t>1. 不接受圆柱形和异型包裹</t>
    </r>
    <r>
      <rPr>
        <sz val="11"/>
        <color rgb="FF000000"/>
        <rFont val="微软雅黑"/>
        <charset val="134"/>
      </rPr>
      <t xml:space="preserve">
</t>
    </r>
    <r>
      <rPr>
        <sz val="11"/>
        <color rgb="FF000000"/>
        <rFont val="微软雅黑"/>
        <charset val="134"/>
      </rPr>
      <t>2. 长宽高＜100×50×40cm，最长边＜100cm</t>
    </r>
    <r>
      <rPr>
        <sz val="11"/>
        <color rgb="FF000000"/>
        <rFont val="微软雅黑"/>
        <charset val="134"/>
      </rPr>
      <t xml:space="preserve">
</t>
    </r>
  </si>
  <si>
    <t>只接受表格内邮编（详见附录），具体请咨询客服。</t>
  </si>
  <si>
    <t>无退回中国服务，不提供重派服务，退件默认销毁</t>
  </si>
  <si>
    <t>对于同一个收货人，同一天的申报总价值150欧元以内免税。</t>
  </si>
  <si>
    <t>15-25天</t>
  </si>
  <si>
    <r>
      <rPr>
        <sz val="11"/>
        <color rgb="FF000000"/>
        <rFont val="微软雅黑"/>
        <charset val="134"/>
      </rPr>
      <t>1. 税号必填 ：格式为去除符号后仅11位数字。示例：自然人税号称为CPF码，如000.000.000-00。</t>
    </r>
    <r>
      <rPr>
        <sz val="11"/>
        <color rgb="FF000000"/>
        <rFont val="微软雅黑"/>
        <charset val="134"/>
      </rPr>
      <t xml:space="preserve">
</t>
    </r>
    <r>
      <rPr>
        <sz val="11"/>
        <color rgb="FF000000"/>
        <rFont val="微软雅黑"/>
        <charset val="134"/>
      </rPr>
      <t>2. 英文品名字符长度不超过200个字符（字符过多会影响面单信息展示）。</t>
    </r>
    <r>
      <rPr>
        <sz val="11"/>
        <color rgb="FF000000"/>
        <rFont val="微软雅黑"/>
        <charset val="134"/>
      </rPr>
      <t xml:space="preserve">
</t>
    </r>
    <r>
      <rPr>
        <sz val="11"/>
        <color rgb="FF000000"/>
        <rFont val="微软雅黑"/>
        <charset val="134"/>
      </rPr>
      <t>3. 需要规范申报，具体包含：品名/材质/类型/规格/用途等信息，若申报品名较为笼统可能会因申报信息不全而被扣件。</t>
    </r>
    <r>
      <rPr>
        <sz val="11"/>
        <color rgb="FF000000"/>
        <rFont val="微软雅黑"/>
        <charset val="134"/>
      </rPr>
      <t xml:space="preserve">
</t>
    </r>
    <r>
      <rPr>
        <sz val="11"/>
        <color rgb="FF000000"/>
        <rFont val="微软雅黑"/>
        <charset val="134"/>
      </rPr>
      <t>（1）避免申报大类模糊品名，过于宽泛的品名较易引起海关扣件。反面申报案例：“玩具”，“装饰品”，“摆件”，“电子产品”等，均易引起海关质疑。</t>
    </r>
    <r>
      <rPr>
        <sz val="11"/>
        <color rgb="FF000000"/>
        <rFont val="微软雅黑"/>
        <charset val="134"/>
      </rPr>
      <t xml:space="preserve">
</t>
    </r>
    <r>
      <rPr>
        <sz val="11"/>
        <color rgb="FF000000"/>
        <rFont val="微软雅黑"/>
        <charset val="134"/>
      </rPr>
      <t>（2）避免简单申报单一品名（如只申报“奖牌”，“手表”，“手机壳”等），影响海关辨别实际商品。请尽量详细申报，包括但不限于商品详细名称+规格+型号+数量+颜色等，便于海关根据申报品名判断包裹内实际商品。</t>
    </r>
    <r>
      <rPr>
        <sz val="11"/>
        <color rgb="FF000000"/>
        <rFont val="微软雅黑"/>
        <charset val="134"/>
      </rPr>
      <t xml:space="preserve">
</t>
    </r>
    <r>
      <rPr>
        <sz val="11"/>
        <color rgb="FF000000"/>
        <rFont val="微软雅黑"/>
        <charset val="134"/>
      </rPr>
      <t>（3）避免出现“加密”“保密”等敏感词汇，此类申报会引起海关担忧包裹有信息入侵风险。反面案例：“加密硬件钱包”。</t>
    </r>
    <r>
      <rPr>
        <sz val="11"/>
        <color rgb="FF000000"/>
        <rFont val="微软雅黑"/>
        <charset val="134"/>
      </rPr>
      <t xml:space="preserve">
</t>
    </r>
    <r>
      <rPr>
        <sz val="11"/>
        <color rgb="FF000000"/>
        <rFont val="微软雅黑"/>
        <charset val="134"/>
      </rPr>
      <t>（4）避免发运疑似商用产品如“白色黏土”、“机箱盖子”、“手机液晶屏”等，另同批次同一收件人收货数量过多，也容易让海关怀疑包裹有商用嫌疑。</t>
    </r>
    <r>
      <rPr>
        <sz val="11"/>
        <color rgb="FF000000"/>
        <rFont val="微软雅黑"/>
        <charset val="134"/>
      </rPr>
      <t xml:space="preserve">
</t>
    </r>
    <r>
      <rPr>
        <sz val="11"/>
        <color rgb="FF000000"/>
        <rFont val="微软雅黑"/>
        <charset val="134"/>
      </rPr>
      <t>4. 确保收件人税号与本人信息一致。</t>
    </r>
    <r>
      <rPr>
        <sz val="11"/>
        <color rgb="FF000000"/>
        <rFont val="微软雅黑"/>
        <charset val="134"/>
      </rPr>
      <t xml:space="preserve">
</t>
    </r>
    <r>
      <rPr>
        <sz val="11"/>
        <color rgb="FF000000"/>
        <rFont val="微软雅黑"/>
        <charset val="134"/>
      </rPr>
      <t>5. 从8月下旬开始，海关严格审查申报海关编码（海关H.S编码）与实物的对应关系； 申报时要求填写商品真实的前8位海关编码，海关编码的查询网址：https://portalunico.siscomex.gov.br/classif/#/sumario?perfil=publico</t>
    </r>
    <r>
      <rPr>
        <sz val="11"/>
        <color rgb="FF000000"/>
        <rFont val="微软雅黑"/>
        <charset val="134"/>
      </rPr>
      <t xml:space="preserve">  </t>
    </r>
    <r>
      <rPr>
        <sz val="11"/>
        <color rgb="FF000000"/>
        <rFont val="微软雅黑"/>
        <charset val="134"/>
      </rPr>
      <t>，填报虚假海关编码的行为会被视为虚假申报而停止下一步的操作与清关。</t>
    </r>
  </si>
  <si>
    <r>
      <rPr>
        <sz val="11"/>
        <color rgb="FF000000"/>
        <rFont val="微软雅黑"/>
        <charset val="134"/>
      </rPr>
      <t>1.申报品名规范标准：产品描述尽可能详尽，可在申报品名中添加商品品名，品牌，型号，材质，颜色，大小，功能等。现巴西海关加强清关查验， 建议补充完整申报品名信息，避免申报模糊导致海关查扣，清关失败。</t>
    </r>
    <r>
      <rPr>
        <sz val="11"/>
        <color rgb="FF000000"/>
        <rFont val="微软雅黑"/>
        <charset val="134"/>
      </rPr>
      <t xml:space="preserve">
</t>
    </r>
    <r>
      <rPr>
        <sz val="11"/>
        <color rgb="FF000000"/>
        <rFont val="微软雅黑"/>
        <charset val="134"/>
      </rPr>
      <t>2. 请如实申报，5USD ≤ 申报价值＜50USD</t>
    </r>
    <r>
      <rPr>
        <sz val="11"/>
        <color rgb="FF000000"/>
        <rFont val="微软雅黑"/>
        <charset val="134"/>
      </rPr>
      <t xml:space="preserve">
</t>
    </r>
    <r>
      <rPr>
        <sz val="11"/>
        <color rgb="FF000000"/>
        <rFont val="微软雅黑"/>
        <charset val="134"/>
      </rPr>
      <t>3. 建议同个批次同个收件人包裹最多不要超过2个，申报价值总计不能超过50USD；单个包裹建议1-2个内件，超过可能有被海关定义模式改变产生罚款的风险。</t>
    </r>
  </si>
  <si>
    <r>
      <rPr>
        <sz val="11"/>
        <color rgb="FF000000"/>
        <rFont val="微软雅黑"/>
        <charset val="134"/>
      </rPr>
      <t>尺寸要求：尺寸要求：1CM≤最短边≤100CM，10CM≤第二长边≤100CM，15CM≤最长边≤100CM</t>
    </r>
    <r>
      <rPr>
        <sz val="11"/>
        <color rgb="FF000000"/>
        <rFont val="微软雅黑"/>
        <charset val="134"/>
      </rPr>
      <t xml:space="preserve">
</t>
    </r>
    <r>
      <rPr>
        <sz val="11"/>
        <color rgb="FF000000"/>
        <rFont val="微软雅黑"/>
        <charset val="134"/>
      </rPr>
      <t>长+宽+高≤200CM,不接受异形件。</t>
    </r>
    <r>
      <rPr>
        <sz val="11"/>
        <color rgb="FF000000"/>
        <rFont val="微软雅黑"/>
        <charset val="134"/>
      </rPr>
      <t xml:space="preserve">
</t>
    </r>
    <r>
      <rPr>
        <sz val="11"/>
        <color rgb="FF000000"/>
        <rFont val="微软雅黑"/>
        <charset val="134"/>
      </rPr>
      <t>包装要求：1、不要使用黄色胶带包装/缠绕；2、不要使用透明气泡膜包装/缠绕；3、不要使用透明胶粘多个小包在一起。</t>
    </r>
  </si>
  <si>
    <r>
      <rPr>
        <sz val="11"/>
        <color rgb="FF000000"/>
        <rFont val="微软雅黑"/>
        <charset val="134"/>
      </rPr>
      <t>1.州，城市，邮编必填（邮编需要具体到收件人地址中的街道）</t>
    </r>
    <r>
      <rPr>
        <sz val="11"/>
        <color rgb="FF000000"/>
        <rFont val="微软雅黑"/>
        <charset val="134"/>
      </rPr>
      <t xml:space="preserve">
</t>
    </r>
    <r>
      <rPr>
        <sz val="11"/>
        <color rgb="FF000000"/>
        <rFont val="微软雅黑"/>
        <charset val="134"/>
      </rPr>
      <t>2.地址1或地址2字段必须包含数字（数字代表巴西境内的门牌号）</t>
    </r>
    <r>
      <rPr>
        <sz val="11"/>
        <color rgb="FF000000"/>
        <rFont val="微软雅黑"/>
        <charset val="134"/>
      </rPr>
      <t xml:space="preserve">
</t>
    </r>
    <r>
      <rPr>
        <sz val="11"/>
        <color rgb="FF000000"/>
        <rFont val="微软雅黑"/>
        <charset val="134"/>
      </rPr>
      <t>3.收件人手机/电话必填其一，格式为不含国家代码（+55）的10或者11位数字</t>
    </r>
    <r>
      <rPr>
        <sz val="11"/>
        <color rgb="FF000000"/>
        <rFont val="微软雅黑"/>
        <charset val="134"/>
      </rPr>
      <t xml:space="preserve">
</t>
    </r>
    <r>
      <rPr>
        <sz val="11"/>
        <color rgb="FF000000"/>
        <rFont val="微软雅黑"/>
        <charset val="134"/>
      </rPr>
      <t>4. 收件人邮箱必填</t>
    </r>
  </si>
  <si>
    <r>
      <rPr>
        <sz val="11"/>
        <color rgb="FF000000"/>
        <rFont val="微软雅黑"/>
        <charset val="134"/>
      </rPr>
      <t>无退回中国服务，支持当地重派服务：0-2kg 50元/票,2-3kg 60元/票；自通知客户包裹退回日起，15天内客户可选择重派，超期默认销毁</t>
    </r>
    <r>
      <rPr>
        <sz val="11"/>
        <color rgb="FF000000"/>
        <rFont val="微软雅黑"/>
        <charset val="134"/>
      </rPr>
      <t xml:space="preserve">
</t>
    </r>
  </si>
  <si>
    <t>巴西海关严查低申报，要求如实申报。实际税费情况需以海关判定为准，清关过程中若产生增值税或关税，海关会向收件人收取。</t>
  </si>
  <si>
    <t>12-20天</t>
  </si>
  <si>
    <r>
      <rPr>
        <sz val="11"/>
        <color rgb="FF000000"/>
        <rFont val="微软雅黑"/>
        <charset val="134"/>
      </rPr>
      <t>1. 收件人税号必填，税号参考格式：xxxxxxx-y或 xxxxxxxx-y，‘’x‘’代表数字，‘’y‘’代表数字或大写字母”K”，如 18121446-5，22272244-K</t>
    </r>
    <r>
      <rPr>
        <sz val="11"/>
        <color rgb="FF000000"/>
        <rFont val="微软雅黑"/>
        <charset val="134"/>
      </rPr>
      <t xml:space="preserve">
</t>
    </r>
    <r>
      <rPr>
        <sz val="11"/>
        <color rgb="FF000000"/>
        <rFont val="微软雅黑"/>
        <charset val="134"/>
      </rPr>
      <t>2. 普货产品禁发任何带电、液体、粉末物品</t>
    </r>
  </si>
  <si>
    <r>
      <rPr>
        <sz val="11"/>
        <color rgb="FF000000"/>
        <rFont val="微软雅黑"/>
        <charset val="134"/>
      </rPr>
      <t>1.请如实申报，2023年5月10日起申报价值不能超过41美元</t>
    </r>
    <r>
      <rPr>
        <sz val="11"/>
        <color rgb="FF000000"/>
        <rFont val="微软雅黑"/>
        <charset val="134"/>
      </rPr>
      <t xml:space="preserve">
</t>
    </r>
    <r>
      <rPr>
        <sz val="11"/>
        <color rgb="FF000000"/>
        <rFont val="微软雅黑"/>
        <charset val="134"/>
      </rPr>
      <t>2.同个批次同个收件人包裹申报价值总计不能超过41美元</t>
    </r>
  </si>
  <si>
    <r>
      <rPr>
        <sz val="11"/>
        <color rgb="FF000000"/>
        <rFont val="微软雅黑"/>
        <charset val="134"/>
      </rPr>
      <t>尺寸要求：10CM≤最长边≤100CM，长+宽+高≤200CM,不接受异形件。</t>
    </r>
    <r>
      <rPr>
        <sz val="11"/>
        <color rgb="FF000000"/>
        <rFont val="微软雅黑"/>
        <charset val="134"/>
      </rPr>
      <t xml:space="preserve">
</t>
    </r>
  </si>
  <si>
    <t>城市名称需填写准确，如圣地亚哥大都会区-塞里洛斯（Metropolitana de Santiago-Cerrillos），【城市】请填写“Cerrillos”，如填写“Santiago”可能会导致派送失败。</t>
  </si>
  <si>
    <r>
      <rPr>
        <sz val="11"/>
        <color rgb="FF000000"/>
        <rFont val="微软雅黑"/>
        <charset val="134"/>
      </rPr>
      <t>1）无退回中国服务</t>
    </r>
    <r>
      <rPr>
        <sz val="11"/>
        <color rgb="FF000000"/>
        <rFont val="微软雅黑"/>
        <charset val="134"/>
      </rPr>
      <t xml:space="preserve">
</t>
    </r>
    <r>
      <rPr>
        <sz val="11"/>
        <color rgb="FF000000"/>
        <rFont val="微软雅黑"/>
        <charset val="134"/>
      </rPr>
      <t>2）无重派服务，派送不成功默认销毁。</t>
    </r>
  </si>
  <si>
    <t>一般情况下，申报价值41美元内免征关税，具体需要以海关判定为准；若经海关核实，实际货物价值超过41美金，产生的相关费用由发件人承担。</t>
  </si>
  <si>
    <t>申报品名不要包含“无线”、“蓝牙”等字眼，否则容易被海关查验扣关。</t>
  </si>
  <si>
    <t>请如实申报，申报价值≤200美元，最低申报价值不能低于5USD，最高不能超过200USD。</t>
  </si>
  <si>
    <t>不超过3kg</t>
  </si>
  <si>
    <r>
      <rPr>
        <sz val="11"/>
        <color rgb="FF000000"/>
        <rFont val="微软雅黑"/>
        <charset val="134"/>
      </rPr>
      <t>尺寸要求：10CM≤最长边≤90CM，长+宽+高≤150CM</t>
    </r>
    <r>
      <rPr>
        <sz val="11"/>
        <color rgb="FF000000"/>
        <rFont val="微软雅黑"/>
        <charset val="134"/>
      </rPr>
      <t xml:space="preserve">
</t>
    </r>
  </si>
  <si>
    <r>
      <rPr>
        <sz val="11"/>
        <color rgb="FF000000"/>
        <rFont val="微软雅黑"/>
        <charset val="134"/>
      </rPr>
      <t>无退回中国服务，无重派服务。</t>
    </r>
    <r>
      <rPr>
        <sz val="11"/>
        <color rgb="FF000000"/>
        <rFont val="微软雅黑"/>
        <charset val="134"/>
      </rPr>
      <t xml:space="preserve">
</t>
    </r>
    <r>
      <rPr>
        <sz val="11"/>
        <color rgb="FF000000"/>
        <rFont val="微软雅黑"/>
        <charset val="134"/>
      </rPr>
      <t>收件人地址/电话有误联系不上收件人的，或是郊外偏远地区派件时效较久的情况，收件人可通过以下联系方式自行联系当地邮政：</t>
    </r>
    <r>
      <rPr>
        <sz val="11"/>
        <color rgb="FF000000"/>
        <rFont val="微软雅黑"/>
        <charset val="134"/>
      </rPr>
      <t xml:space="preserve">
</t>
    </r>
    <r>
      <rPr>
        <sz val="11"/>
        <color rgb="FF000000"/>
        <rFont val="微软雅黑"/>
        <charset val="134"/>
      </rPr>
      <t>1）哥伦比亚邮政官网：https://www.4-72.com.co/</t>
    </r>
    <r>
      <rPr>
        <sz val="11"/>
        <color rgb="FF000000"/>
        <rFont val="微软雅黑"/>
        <charset val="134"/>
      </rPr>
      <t xml:space="preserve">
</t>
    </r>
    <r>
      <rPr>
        <sz val="11"/>
        <color rgb="FF000000"/>
        <rFont val="微软雅黑"/>
        <charset val="134"/>
      </rPr>
      <t>2）哥伦比亚邮政联系方式：</t>
    </r>
    <r>
      <rPr>
        <sz val="11"/>
        <color rgb="FF000000"/>
        <rFont val="微软雅黑"/>
        <charset val="134"/>
      </rPr>
      <t xml:space="preserve">
</t>
    </r>
    <r>
      <rPr>
        <sz val="11"/>
        <color rgb="FF000000"/>
        <rFont val="微软雅黑"/>
        <charset val="134"/>
      </rPr>
      <t>Diagonal 25 G # 95 A 55, Bogotá - Colombia - ZIP Code: 11091</t>
    </r>
    <r>
      <rPr>
        <sz val="11"/>
        <color rgb="FF000000"/>
        <rFont val="微软雅黑"/>
        <charset val="134"/>
      </rPr>
      <t xml:space="preserve">
</t>
    </r>
    <r>
      <rPr>
        <sz val="11"/>
        <color rgb="FF000000"/>
        <rFont val="微软雅黑"/>
        <charset val="134"/>
      </rPr>
      <t>Administrative Headquarters: (+57) (601) 472 2005</t>
    </r>
    <r>
      <rPr>
        <sz val="11"/>
        <color rgb="FF000000"/>
        <rFont val="微软雅黑"/>
        <charset val="134"/>
      </rPr>
      <t xml:space="preserve">
</t>
    </r>
    <r>
      <rPr>
        <sz val="11"/>
        <color rgb="FF000000"/>
        <rFont val="微软雅黑"/>
        <charset val="134"/>
      </rPr>
      <t>Physical and electronic channels for customer service</t>
    </r>
    <r>
      <rPr>
        <sz val="11"/>
        <color rgb="FF000000"/>
        <rFont val="微软雅黑"/>
        <charset val="134"/>
      </rPr>
      <t xml:space="preserve">
</t>
    </r>
    <r>
      <rPr>
        <sz val="11"/>
        <color rgb="FF000000"/>
        <rFont val="微软雅黑"/>
        <charset val="134"/>
      </rPr>
      <t>You can report on the Anti-Corruption Line:?(+57) (601) 4722005 Options 6 and then *</t>
    </r>
    <r>
      <rPr>
        <sz val="11"/>
        <color rgb="FF000000"/>
        <rFont val="微软雅黑"/>
        <charset val="134"/>
      </rPr>
      <t xml:space="preserve">
</t>
    </r>
    <r>
      <rPr>
        <sz val="11"/>
        <color rgb="FF000000"/>
        <rFont val="微软雅黑"/>
        <charset val="134"/>
      </rPr>
      <t>Free line: 01 8000 111 210</t>
    </r>
    <r>
      <rPr>
        <sz val="11"/>
        <color rgb="FF000000"/>
        <rFont val="微软雅黑"/>
        <charset val="134"/>
      </rPr>
      <t xml:space="preserve">
</t>
    </r>
    <r>
      <rPr>
        <sz val="11"/>
        <color rgb="FF000000"/>
        <rFont val="微软雅黑"/>
        <charset val="134"/>
      </rPr>
      <t>Contact Center: (+57) (601) 472 2000</t>
    </r>
    <r>
      <rPr>
        <sz val="11"/>
        <color rgb="FF000000"/>
        <rFont val="微软雅黑"/>
        <charset val="134"/>
      </rPr>
      <t xml:space="preserve">
</t>
    </r>
    <r>
      <rPr>
        <sz val="11"/>
        <color rgb="FF000000"/>
        <rFont val="微软雅黑"/>
        <charset val="134"/>
      </rPr>
      <t>Customer service:??servicioalcliente@4-72.com.co</t>
    </r>
    <r>
      <rPr>
        <sz val="11"/>
        <color rgb="FF000000"/>
        <rFont val="微软雅黑"/>
        <charset val="134"/>
      </rPr>
      <t xml:space="preserve">
</t>
    </r>
    <r>
      <rPr>
        <sz val="11"/>
        <color rgb="FF000000"/>
        <rFont val="微软雅黑"/>
        <charset val="134"/>
      </rPr>
      <t>Judicial notifications:??notificaciones.judiciales@4-72.com.co</t>
    </r>
  </si>
  <si>
    <r>
      <rPr>
        <sz val="11"/>
        <color rgb="FF000000"/>
        <rFont val="微软雅黑"/>
        <charset val="134"/>
      </rPr>
      <t>货物申报价值≤200USD免征关税，最低申报价值不能低于5USD，最高不能超过200USD。</t>
    </r>
    <r>
      <rPr>
        <sz val="11"/>
        <color rgb="FF000000"/>
        <rFont val="微软雅黑"/>
        <charset val="134"/>
      </rPr>
      <t xml:space="preserve">
</t>
    </r>
    <r>
      <rPr>
        <sz val="11"/>
        <color rgb="FF000000"/>
        <rFont val="微软雅黑"/>
        <charset val="134"/>
      </rPr>
      <t>针对以下两种情况 从2023年3月6日起需要额外收取费用：</t>
    </r>
    <r>
      <rPr>
        <sz val="11"/>
        <color rgb="FF000000"/>
        <rFont val="微软雅黑"/>
        <charset val="134"/>
      </rPr>
      <t xml:space="preserve">
</t>
    </r>
    <r>
      <rPr>
        <sz val="11"/>
        <color rgb="FF000000"/>
        <rFont val="微软雅黑"/>
        <charset val="134"/>
      </rPr>
      <t>1. 如果包裹被海关重新调整价值，客户提交文件申诉，则需要交15美金的申诉费用，无论申诉成功与否。但是如果客户决定弃件或者直接缴税，则不收取此费用。</t>
    </r>
    <r>
      <rPr>
        <sz val="11"/>
        <color rgb="FF000000"/>
        <rFont val="微软雅黑"/>
        <charset val="134"/>
      </rPr>
      <t xml:space="preserve">
</t>
    </r>
    <r>
      <rPr>
        <sz val="11"/>
        <color rgb="FF000000"/>
        <rFont val="微软雅黑"/>
        <charset val="134"/>
      </rPr>
      <t xml:space="preserve">2. 如果包裹被哥伦比亚海关定义为“模式改变”，则须向发件人收取40美金，无论客户决定弃件、还是找清关代理清关（清关费用500美元，需收件人支付）都需缴纳此费用。 </t>
    </r>
    <r>
      <rPr>
        <sz val="11"/>
        <color rgb="FF000000"/>
        <rFont val="微软雅黑"/>
        <charset val="134"/>
      </rPr>
      <t xml:space="preserve">
</t>
    </r>
    <r>
      <rPr>
        <sz val="11"/>
        <color rgb="FF000000"/>
        <rFont val="微软雅黑"/>
        <charset val="134"/>
      </rPr>
      <t xml:space="preserve">A. 据服务商解释，收取该费用的原因是尾程服务商为了履行海关的新流程，须将货物运送到海关履行相关规范而产生的额外费用，这个费用需要发货人承担，因为发货人未按要求发运产品。 </t>
    </r>
    <r>
      <rPr>
        <sz val="11"/>
        <color rgb="FF000000"/>
        <rFont val="微软雅黑"/>
        <charset val="134"/>
      </rPr>
      <t xml:space="preserve">
</t>
    </r>
    <r>
      <rPr>
        <sz val="11"/>
        <color rgb="FF000000"/>
        <rFont val="微软雅黑"/>
        <charset val="134"/>
      </rPr>
      <t xml:space="preserve">B. 被海关定义为“模式改变” 的产品类型主要有： </t>
    </r>
    <r>
      <rPr>
        <sz val="11"/>
        <color rgb="FF000000"/>
        <rFont val="微软雅黑"/>
        <charset val="134"/>
      </rPr>
      <t xml:space="preserve">
</t>
    </r>
    <r>
      <rPr>
        <sz val="11"/>
        <color rgb="FF000000"/>
        <rFont val="微软雅黑"/>
        <charset val="134"/>
      </rPr>
      <t xml:space="preserve">a）包裹数量超限，涉嫌商业用途（普通用品同一类别不超过6个项目）； </t>
    </r>
    <r>
      <rPr>
        <sz val="11"/>
        <color rgb="FF000000"/>
        <rFont val="微软雅黑"/>
        <charset val="134"/>
      </rPr>
      <t xml:space="preserve">
</t>
    </r>
    <r>
      <rPr>
        <sz val="11"/>
        <color rgb="FF000000"/>
        <rFont val="微软雅黑"/>
        <charset val="134"/>
      </rPr>
      <t>b）违禁产品和危险用品；</t>
    </r>
    <r>
      <rPr>
        <sz val="11"/>
        <color rgb="FF000000"/>
        <rFont val="微软雅黑"/>
        <charset val="134"/>
      </rPr>
      <t xml:space="preserve">
</t>
    </r>
    <r>
      <rPr>
        <sz val="11"/>
        <color rgb="FF000000"/>
        <rFont val="微软雅黑"/>
        <charset val="134"/>
      </rPr>
      <t>c）虚假申报，产品名和实际申报不符；</t>
    </r>
    <r>
      <rPr>
        <sz val="11"/>
        <color rgb="FF000000"/>
        <rFont val="微软雅黑"/>
        <charset val="134"/>
      </rPr>
      <t xml:space="preserve">
</t>
    </r>
    <r>
      <rPr>
        <sz val="11"/>
        <color rgb="FF000000"/>
        <rFont val="微软雅黑"/>
        <charset val="134"/>
      </rPr>
      <t>d）受限制品，缺乏相关证书。</t>
    </r>
  </si>
  <si>
    <t>20-40天</t>
  </si>
  <si>
    <t>请如实申报，申报价值不能超过200美元</t>
  </si>
  <si>
    <t>单边长度≤60cm，长+宽+高≤90cm</t>
  </si>
  <si>
    <t>地址信息需填写准确，错误的地址可能会导致妥投失败，具体请参考附录VII-部分国家州城市对应关系</t>
  </si>
  <si>
    <t>申报价值200美元以免征关税</t>
  </si>
  <si>
    <r>
      <rPr>
        <sz val="11"/>
        <color rgb="FF000000"/>
        <rFont val="微软雅黑"/>
        <charset val="134"/>
      </rPr>
      <t>禁寄品主要类别：请避免植物、花卉、藤编、竹编制品、木制品、危险品、不明液体、禁止进口等物品的派发，以避免销毁；如发送禁寄品会造成海关查验费及销毁处理等费用由客户承担。</t>
    </r>
    <r>
      <rPr>
        <sz val="11"/>
        <color rgb="FF000000"/>
        <rFont val="微软雅黑"/>
        <charset val="134"/>
      </rPr>
      <t xml:space="preserve">
</t>
    </r>
    <r>
      <rPr>
        <sz val="11"/>
        <color rgb="FF000000"/>
        <rFont val="微软雅黑"/>
        <charset val="134"/>
      </rPr>
      <t>文件：资料（发票、图片）的提供，请确保图片清晰，资料相互统一。文件资料模糊或者不匹配将会影响AQIS部门海关审核，增大销毁几率。</t>
    </r>
  </si>
  <si>
    <t>请如实申报，申报价值不能超过1000澳元</t>
  </si>
  <si>
    <t>不超过22kg</t>
  </si>
  <si>
    <t>最长边＜100CM，体积≤0.25m3</t>
  </si>
  <si>
    <r>
      <rPr>
        <sz val="11"/>
        <color rgb="FF000000"/>
        <rFont val="微软雅黑"/>
        <charset val="134"/>
      </rPr>
      <t>1.收件人电话需必填，只允许数字与“+-（）”及空格除此之外不能包含其他特殊符号。</t>
    </r>
    <r>
      <rPr>
        <sz val="11"/>
        <color rgb="FF000000"/>
        <rFont val="微软雅黑"/>
        <charset val="134"/>
      </rPr>
      <t xml:space="preserve">
</t>
    </r>
    <r>
      <rPr>
        <sz val="11"/>
        <color rgb="FF000000"/>
        <rFont val="微软雅黑"/>
        <charset val="134"/>
      </rPr>
      <t>2.收件人地址需准确且完整有街道号门牌号，邮编和城市洲省一致。</t>
    </r>
    <r>
      <rPr>
        <sz val="11"/>
        <color rgb="FF000000"/>
        <rFont val="微软雅黑"/>
        <charset val="134"/>
      </rPr>
      <t xml:space="preserve">
</t>
    </r>
    <r>
      <rPr>
        <sz val="11"/>
        <color rgb="FF000000"/>
        <rFont val="微软雅黑"/>
        <charset val="134"/>
      </rPr>
      <t>3.通达澳大利亚全境，支持P.O.Box、自提柜地址。</t>
    </r>
    <r>
      <rPr>
        <sz val="11"/>
        <color rgb="FF000000"/>
        <rFont val="微软雅黑"/>
        <charset val="134"/>
      </rPr>
      <t xml:space="preserve">
</t>
    </r>
    <r>
      <rPr>
        <sz val="11"/>
        <color rgb="FF000000"/>
        <rFont val="微软雅黑"/>
        <charset val="134"/>
      </rPr>
      <t>4.商业快递+邮政快递派送。</t>
    </r>
    <r>
      <rPr>
        <sz val="11"/>
        <color rgb="FF000000"/>
        <rFont val="微软雅黑"/>
        <charset val="134"/>
      </rPr>
      <t xml:space="preserve">
</t>
    </r>
    <r>
      <rPr>
        <sz val="11"/>
        <color rgb="FF000000"/>
        <rFont val="微软雅黑"/>
        <charset val="134"/>
      </rPr>
      <t>5.澳大利亚邮编请查看附录VIII“国家分组-澳洲邮编”或咨询销售和客服索取。</t>
    </r>
    <r>
      <rPr>
        <sz val="11"/>
        <color rgb="FF000000"/>
        <rFont val="微软雅黑"/>
        <charset val="134"/>
      </rPr>
      <t xml:space="preserve">
</t>
    </r>
    <r>
      <rPr>
        <sz val="11"/>
        <color rgb="FF000000"/>
        <rFont val="微软雅黑"/>
        <charset val="134"/>
      </rPr>
      <t>6.若地址信息潦草或不详、不适宜派送（个别街区，邮政车辆开不进去）、发件人要求返回签收记录, 不适用safe drop 的包裹或者收件人被邮政黑名单，包裹都不会派送需自提。</t>
    </r>
    <r>
      <rPr>
        <sz val="11"/>
        <color rgb="FF000000"/>
        <rFont val="微软雅黑"/>
        <charset val="134"/>
      </rPr>
      <t xml:space="preserve">
</t>
    </r>
    <r>
      <rPr>
        <sz val="11"/>
        <color rgb="FF000000"/>
        <rFont val="微软雅黑"/>
        <charset val="134"/>
      </rPr>
      <t xml:space="preserve">         </t>
    </r>
    <r>
      <rPr>
        <sz val="11"/>
        <color rgb="FF000000"/>
        <rFont val="微软雅黑"/>
        <charset val="134"/>
      </rPr>
      <t xml:space="preserve">
</t>
    </r>
  </si>
  <si>
    <t>无退回中国服务，可提供重派服务，重派费：50元/件，销毁免费</t>
  </si>
  <si>
    <t>申报价值1000澳元内免征关税</t>
  </si>
  <si>
    <r>
      <rPr>
        <sz val="11"/>
        <color rgb="FF000000"/>
        <rFont val="微软雅黑"/>
        <charset val="134"/>
      </rPr>
      <t>-禁止发送任何动植物、植物/木材相关物品。例：干花或活花、种子或松果、蜂蜡或蜂蜜、动物产品或器官藤条、藤条或任何与木材相关的物品。武器、枪支弹药、轮胎、烟草、石棉、农产品、食品、生鲜食品、易燃易爆物品、儿童蜡笔、指画和水彩画、仿牌/侵权产品、无线电干扰设备、有毒有害物质；肥料、药物/片剂/化学溶液等；违反要求发货产生的后果及相关费用由发件人承担!</t>
    </r>
    <r>
      <rPr>
        <sz val="11"/>
        <color rgb="FF000000"/>
        <rFont val="微软雅黑"/>
        <charset val="134"/>
      </rPr>
      <t xml:space="preserve">
</t>
    </r>
    <r>
      <rPr>
        <sz val="11"/>
        <color rgb="FF000000"/>
        <rFont val="微软雅黑"/>
        <charset val="134"/>
      </rPr>
      <t>-无偏远附加费；请按正确地址进行填写，避免派送失败情况；</t>
    </r>
    <r>
      <rPr>
        <sz val="11"/>
        <color rgb="FF000000"/>
        <rFont val="微软雅黑"/>
        <charset val="134"/>
      </rPr>
      <t xml:space="preserve">
</t>
    </r>
    <r>
      <rPr>
        <sz val="11"/>
        <color rgb="FF000000"/>
        <rFont val="微软雅黑"/>
        <charset val="134"/>
      </rPr>
      <t>新西兰海关要求收件人必须完整的姓名，必须有“名字”和“姓”，写于收件人姓名一栏！！！</t>
    </r>
  </si>
  <si>
    <t>请如实申报，申报价值不能超过1000NZD（新西兰币）</t>
  </si>
  <si>
    <t>不超过25kg</t>
  </si>
  <si>
    <t>最长边≤150cm，体积≤0.125m3</t>
  </si>
  <si>
    <r>
      <rPr>
        <sz val="11"/>
        <color rgb="FF000000"/>
        <rFont val="微软雅黑"/>
        <charset val="134"/>
      </rPr>
      <t>2025年2月19日起，针对WAIHEKE ISLAND、GREAT BARRIER ISLAND、STEWART ISLAND、CHATHAM ISLAND四个岛屿地址共计15个邮编收取180元/票的超偏远附加费，具体邮编如下</t>
    </r>
    <r>
      <rPr>
        <sz val="11"/>
        <color rgb="FF000000"/>
        <rFont val="微软雅黑"/>
        <charset val="134"/>
      </rPr>
      <t xml:space="preserve">
</t>
    </r>
    <r>
      <rPr>
        <sz val="11"/>
        <color rgb="FF000000"/>
        <rFont val="微软雅黑"/>
        <charset val="134"/>
      </rPr>
      <t>1081</t>
    </r>
    <r>
      <rPr>
        <sz val="11"/>
        <color rgb="FF000000"/>
        <rFont val="微软雅黑"/>
        <charset val="134"/>
      </rPr>
      <t xml:space="preserve">
</t>
    </r>
    <r>
      <rPr>
        <sz val="11"/>
        <color rgb="FF000000"/>
        <rFont val="微软雅黑"/>
        <charset val="134"/>
      </rPr>
      <t>1840</t>
    </r>
    <r>
      <rPr>
        <sz val="11"/>
        <color rgb="FF000000"/>
        <rFont val="微软雅黑"/>
        <charset val="134"/>
      </rPr>
      <t xml:space="preserve">
</t>
    </r>
    <r>
      <rPr>
        <sz val="11"/>
        <color rgb="FF000000"/>
        <rFont val="微软雅黑"/>
        <charset val="134"/>
      </rPr>
      <t>1841</t>
    </r>
    <r>
      <rPr>
        <sz val="11"/>
        <color rgb="FF000000"/>
        <rFont val="微软雅黑"/>
        <charset val="134"/>
      </rPr>
      <t xml:space="preserve">
</t>
    </r>
    <r>
      <rPr>
        <sz val="11"/>
        <color rgb="FF000000"/>
        <rFont val="微软雅黑"/>
        <charset val="134"/>
      </rPr>
      <t>1842</t>
    </r>
    <r>
      <rPr>
        <sz val="11"/>
        <color rgb="FF000000"/>
        <rFont val="微软雅黑"/>
        <charset val="134"/>
      </rPr>
      <t xml:space="preserve">
</t>
    </r>
    <r>
      <rPr>
        <sz val="11"/>
        <color rgb="FF000000"/>
        <rFont val="微软雅黑"/>
        <charset val="134"/>
      </rPr>
      <t>1843</t>
    </r>
    <r>
      <rPr>
        <sz val="11"/>
        <color rgb="FF000000"/>
        <rFont val="微软雅黑"/>
        <charset val="134"/>
      </rPr>
      <t xml:space="preserve">
</t>
    </r>
    <r>
      <rPr>
        <sz val="11"/>
        <color rgb="FF000000"/>
        <rFont val="微软雅黑"/>
        <charset val="134"/>
      </rPr>
      <t>1971</t>
    </r>
    <r>
      <rPr>
        <sz val="11"/>
        <color rgb="FF000000"/>
        <rFont val="微软雅黑"/>
        <charset val="134"/>
      </rPr>
      <t xml:space="preserve">
</t>
    </r>
    <r>
      <rPr>
        <sz val="11"/>
        <color rgb="FF000000"/>
        <rFont val="微软雅黑"/>
        <charset val="134"/>
      </rPr>
      <t>0961</t>
    </r>
    <r>
      <rPr>
        <sz val="11"/>
        <color rgb="FF000000"/>
        <rFont val="微软雅黑"/>
        <charset val="134"/>
      </rPr>
      <t xml:space="preserve">
</t>
    </r>
    <r>
      <rPr>
        <sz val="11"/>
        <color rgb="FF000000"/>
        <rFont val="微软雅黑"/>
        <charset val="134"/>
      </rPr>
      <t>0991</t>
    </r>
    <r>
      <rPr>
        <sz val="11"/>
        <color rgb="FF000000"/>
        <rFont val="微软雅黑"/>
        <charset val="134"/>
      </rPr>
      <t xml:space="preserve">
</t>
    </r>
    <r>
      <rPr>
        <sz val="11"/>
        <color rgb="FF000000"/>
        <rFont val="微软雅黑"/>
        <charset val="134"/>
      </rPr>
      <t>0960</t>
    </r>
    <r>
      <rPr>
        <sz val="11"/>
        <color rgb="FF000000"/>
        <rFont val="微软雅黑"/>
        <charset val="134"/>
      </rPr>
      <t xml:space="preserve">
</t>
    </r>
    <r>
      <rPr>
        <sz val="11"/>
        <color rgb="FF000000"/>
        <rFont val="微软雅黑"/>
        <charset val="134"/>
      </rPr>
      <t>0962</t>
    </r>
    <r>
      <rPr>
        <sz val="11"/>
        <color rgb="FF000000"/>
        <rFont val="微软雅黑"/>
        <charset val="134"/>
      </rPr>
      <t xml:space="preserve">
</t>
    </r>
    <r>
      <rPr>
        <sz val="11"/>
        <color rgb="FF000000"/>
        <rFont val="微软雅黑"/>
        <charset val="134"/>
      </rPr>
      <t>0963</t>
    </r>
    <r>
      <rPr>
        <sz val="11"/>
        <color rgb="FF000000"/>
        <rFont val="微软雅黑"/>
        <charset val="134"/>
      </rPr>
      <t xml:space="preserve">
</t>
    </r>
    <r>
      <rPr>
        <sz val="11"/>
        <color rgb="FF000000"/>
        <rFont val="微软雅黑"/>
        <charset val="134"/>
      </rPr>
      <t>8013</t>
    </r>
    <r>
      <rPr>
        <sz val="11"/>
        <color rgb="FF000000"/>
        <rFont val="微软雅黑"/>
        <charset val="134"/>
      </rPr>
      <t xml:space="preserve">
</t>
    </r>
    <r>
      <rPr>
        <sz val="11"/>
        <color rgb="FF000000"/>
        <rFont val="微软雅黑"/>
        <charset val="134"/>
      </rPr>
      <t>8016</t>
    </r>
    <r>
      <rPr>
        <sz val="11"/>
        <color rgb="FF000000"/>
        <rFont val="微软雅黑"/>
        <charset val="134"/>
      </rPr>
      <t xml:space="preserve">
</t>
    </r>
    <r>
      <rPr>
        <sz val="11"/>
        <color rgb="FF000000"/>
        <rFont val="微软雅黑"/>
        <charset val="134"/>
      </rPr>
      <t>8942</t>
    </r>
    <r>
      <rPr>
        <sz val="11"/>
        <color rgb="FF000000"/>
        <rFont val="微软雅黑"/>
        <charset val="134"/>
      </rPr>
      <t xml:space="preserve">
</t>
    </r>
    <r>
      <rPr>
        <sz val="11"/>
        <color rgb="FF000000"/>
        <rFont val="微软雅黑"/>
        <charset val="134"/>
      </rPr>
      <t>8944</t>
    </r>
    <r>
      <rPr>
        <sz val="11"/>
        <color rgb="FF000000"/>
        <rFont val="微软雅黑"/>
        <charset val="134"/>
      </rPr>
      <t xml:space="preserve">
</t>
    </r>
  </si>
  <si>
    <t>无退回中国服务，可提供重派服务，重派费：35元/件，销毁免费</t>
  </si>
  <si>
    <t>申报价值1000NZD（新西兰币）内免征关税</t>
  </si>
  <si>
    <t>3-9天</t>
  </si>
  <si>
    <r>
      <rPr>
        <sz val="11"/>
        <color rgb="FF000000"/>
        <rFont val="微软雅黑"/>
        <charset val="134"/>
      </rPr>
      <t>1、禁寄品主要类别：仿牌及侵权商品、二手物品、带度数的眼镜及镜片、化妆品、美容工具、纹身工具、6岁以下儿童玩具、成人用品、针织类商品、皮革材质类商品、添加石棉的商品、含有活性炭的商品、银行卡、学生证、在留卡、纹身针、货值超过1万日元或商品数量超过属于合理自用范围的包裹（非医用口罩每个收件人少于100枚、按摩工具、温度计、接触食物和口腔的物品等每个收件人仅限1件）。</t>
    </r>
    <r>
      <rPr>
        <sz val="11"/>
        <color rgb="FF000000"/>
        <rFont val="微软雅黑"/>
        <charset val="134"/>
      </rPr>
      <t xml:space="preserve">
</t>
    </r>
    <r>
      <rPr>
        <sz val="11"/>
        <color rgb="FF000000"/>
        <rFont val="微软雅黑"/>
        <charset val="134"/>
      </rPr>
      <t>2、如发送禁寄品会造成海关查验费、销毁处理费、清关手续费及关税等费用由发件人自行承担。</t>
    </r>
    <r>
      <rPr>
        <sz val="11"/>
        <color rgb="FF000000"/>
        <rFont val="微软雅黑"/>
        <charset val="134"/>
      </rPr>
      <t xml:space="preserve">
</t>
    </r>
    <r>
      <rPr>
        <sz val="11"/>
        <color rgb="FF000000"/>
        <rFont val="微软雅黑"/>
        <charset val="134"/>
      </rPr>
      <t>3、本渠道为目的国个人清关渠道，不接受任何B类（公司）性质的收件人和亚马逊仓收件地址的包裹，内件商品数量符合个人自用范围（每批次同一个收件人只能一个包裹）否则会产生清关关税、内点费、仓储费等费用由发件人自行承担。</t>
    </r>
    <r>
      <rPr>
        <sz val="11"/>
        <color rgb="FF000000"/>
        <rFont val="微软雅黑"/>
        <charset val="134"/>
      </rPr>
      <t xml:space="preserve">
</t>
    </r>
    <r>
      <rPr>
        <sz val="11"/>
        <color rgb="FF000000"/>
        <rFont val="微软雅黑"/>
        <charset val="134"/>
      </rPr>
      <t>4、发货前请与你的专属销售确认，如发送禁寄品会造成海关查验费、销毁处理费、清关手续费及关税等费用由发件人自行承担。</t>
    </r>
    <r>
      <rPr>
        <sz val="11"/>
        <color rgb="FF000000"/>
        <rFont val="微软雅黑"/>
        <charset val="134"/>
      </rPr>
      <t xml:space="preserve">
</t>
    </r>
    <r>
      <rPr>
        <sz val="11"/>
        <color rgb="FF000000"/>
        <rFont val="微软雅黑"/>
        <charset val="134"/>
      </rPr>
      <t>5、08099761533 此电话号码已进入海关黑名单，建议不要使用此号码发货，请填写收件人真实的电话号码</t>
    </r>
    <r>
      <rPr>
        <sz val="11"/>
        <color rgb="FF000000"/>
        <rFont val="微软雅黑"/>
        <charset val="134"/>
      </rPr>
      <t xml:space="preserve">
</t>
    </r>
    <r>
      <rPr>
        <sz val="11"/>
        <color rgb="FF000000"/>
        <rFont val="微软雅黑"/>
        <charset val="134"/>
      </rPr>
      <t>大阪府</t>
    </r>
    <r>
      <rPr>
        <sz val="11"/>
        <color rgb="FF000000"/>
        <rFont val="微软雅黑"/>
        <charset val="134"/>
      </rPr>
      <t xml:space="preserve"> </t>
    </r>
    <r>
      <rPr>
        <sz val="11"/>
        <color rgb="FF000000"/>
        <rFont val="微软雅黑"/>
        <charset val="134"/>
      </rPr>
      <t>門真市</t>
    </r>
    <r>
      <rPr>
        <sz val="11"/>
        <color rgb="FF000000"/>
        <rFont val="微软雅黑"/>
        <charset val="134"/>
      </rPr>
      <t xml:space="preserve"> </t>
    </r>
    <r>
      <rPr>
        <sz val="11"/>
        <color rgb="FF000000"/>
        <rFont val="微软雅黑"/>
        <charset val="134"/>
      </rPr>
      <t>深田町 20-2 株式トライワーク内 （株）つなぐ</t>
    </r>
    <r>
      <rPr>
        <sz val="11"/>
        <color rgb="FF000000"/>
        <rFont val="微软雅黑"/>
        <charset val="134"/>
      </rPr>
      <t xml:space="preserve"> </t>
    </r>
    <r>
      <rPr>
        <sz val="11"/>
        <color rgb="FF000000"/>
        <rFont val="微软雅黑"/>
        <charset val="134"/>
      </rPr>
      <t>此地址为仓库地址，已进入海关黑名单，建议不要使用此地址发货，请填写收件人真实的个人地址</t>
    </r>
    <r>
      <rPr>
        <sz val="11"/>
        <color rgb="FF000000"/>
        <rFont val="微软雅黑"/>
        <charset val="134"/>
      </rPr>
      <t xml:space="preserve">
</t>
    </r>
    <r>
      <rPr>
        <sz val="11"/>
        <color rgb="FF000000"/>
        <rFont val="微软雅黑"/>
        <charset val="134"/>
      </rPr>
      <t>6、清关时因仿牌、侵权及资料不完整，申报收件人及品名信息不实等原因，无法清关滞留在海关仓库的包裹，产生的所有费用由发件人承担。</t>
    </r>
  </si>
  <si>
    <t>请如实申报，申报价值不能超过10000日元，同一天同一收件人多票的申报价值也不能超过限制，请注意低申报会影响清关时效。</t>
  </si>
  <si>
    <t>不超过10kg</t>
  </si>
  <si>
    <t>最长边≤100CM，长+宽+高＜160cm</t>
  </si>
  <si>
    <r>
      <rPr>
        <sz val="11"/>
        <color rgb="FF000000"/>
        <rFont val="微软雅黑"/>
        <charset val="134"/>
      </rPr>
      <t>1.收件人名称必须是真实的个人姓名，也支持用英文字母填写的姓名，填写时确保姓氏和名字完整，不可出现只有姓氏或只有名字或者姓氏加尊称的情况，英文名字需要用空格隔开姓和名。日本人的姓名常见的是3-5位的日文汉字，例如正常填写的日本人姓名：“ 藤田泰彦、清川 覚、戸田 慶三郎 ”。基本不会出现名字中含有片/平假名这类非正式的姓名，例如：“ くどう しんいち、工藤 しんいち ”。</t>
    </r>
    <r>
      <rPr>
        <sz val="11"/>
        <color rgb="FF000000"/>
        <rFont val="微软雅黑"/>
        <charset val="134"/>
      </rPr>
      <t xml:space="preserve">
</t>
    </r>
    <r>
      <rPr>
        <sz val="11"/>
        <color rgb="FF000000"/>
        <rFont val="微软雅黑"/>
        <charset val="134"/>
      </rPr>
      <t>2.收件人电话需必填，格式为0开头的10位数座机号（0xxxxxxxxx）或者11位数手机号（0x0xxxxxxxx），不需要填写国际区号如“+81-”不能包含特殊字符。</t>
    </r>
    <r>
      <rPr>
        <sz val="11"/>
        <color rgb="FF000000"/>
        <rFont val="微软雅黑"/>
        <charset val="134"/>
      </rPr>
      <t xml:space="preserve">
</t>
    </r>
    <r>
      <rPr>
        <sz val="11"/>
        <color rgb="FF000000"/>
        <rFont val="微软雅黑"/>
        <charset val="134"/>
      </rPr>
      <t>3.收件人地址需准确且完整有街道号门牌号，邮编和城市洲省一致。</t>
    </r>
    <r>
      <rPr>
        <sz val="11"/>
        <color rgb="FF000000"/>
        <rFont val="微软雅黑"/>
        <charset val="134"/>
      </rPr>
      <t xml:space="preserve">
</t>
    </r>
    <r>
      <rPr>
        <sz val="11"/>
        <color rgb="FF000000"/>
        <rFont val="微软雅黑"/>
        <charset val="134"/>
      </rPr>
      <t>4.2025年1月22日开始，仅对 沖縄県 收取偏远费每票100元，偏远邮编请咨询客服（详见附录）。</t>
    </r>
    <r>
      <rPr>
        <sz val="11"/>
        <color rgb="FF000000"/>
        <rFont val="微软雅黑"/>
        <charset val="134"/>
      </rPr>
      <t xml:space="preserve">
</t>
    </r>
    <r>
      <rPr>
        <sz val="11"/>
        <color rgb="FF000000"/>
        <rFont val="微软雅黑"/>
        <charset val="134"/>
      </rPr>
      <t>如果因为收件人信息填写不准确或者申报信息有误等原因导致清关扣件产生的额外税费等，需要发件人承担。</t>
    </r>
  </si>
  <si>
    <t>无退回中国服务，派送不成功会退回日本当地中转仓，免费保存14天，超期自动销毁。可提供重派服务，重派费：55元/件，在清关当中发现的问题件产生相关费用需要客户承担，若因客户原因产生相应的仓储费需要客户承担，清关阶段问题件超14天未确认的默认销毁，因客户原因产生的费用以账单为准；退件逾期未处理默认销毁，销毁免费；</t>
  </si>
  <si>
    <t>申报价值10000日元内免征关税</t>
  </si>
  <si>
    <t>3-7天</t>
  </si>
  <si>
    <t>收件人电话必填，香港电话号码格式为 : 852区号（区号可不填）+2，5 , 6 , 8 , 9开头8位数</t>
  </si>
  <si>
    <t>最长边不超过100cm，长+宽+高不超过150cm。</t>
  </si>
  <si>
    <t>以下离岛地区不提供派送服务：大屿山，即）：大澳、梅窝、愉景湾、马湾 (Tai O / Mui Wo / Ma Wan / Discovery Bay)，长洲 Cheung Chau，坪洲 Peng Chau，南丫岛 Lamma Island，蒲台岛，索科群岛，塔门，东平洲，不能派送PO BOX地址</t>
  </si>
  <si>
    <t>无退回中国服务，可提供重派服务，重派费：30元/件，退件会在库内保存1个月，逾期默认销毁，销毁免费。</t>
  </si>
  <si>
    <t>全段时效：10-13天</t>
  </si>
  <si>
    <r>
      <rPr>
        <sz val="11"/>
        <color rgb="FF000000"/>
        <rFont val="微软雅黑"/>
        <charset val="134"/>
      </rPr>
      <t>二、品类限制及描述</t>
    </r>
    <r>
      <rPr>
        <sz val="11"/>
        <color rgb="FF000000"/>
        <rFont val="微软雅黑"/>
        <charset val="134"/>
      </rPr>
      <t xml:space="preserve">
</t>
    </r>
    <r>
      <rPr>
        <sz val="11"/>
        <color rgb="FF000000"/>
        <rFont val="微软雅黑"/>
        <charset val="134"/>
      </rPr>
      <t>1、不接收成人用品、毒品、危险品、化学品、液态物品、粉末、生化制品、生鲜物品、食品、药品、仿冒及侵权物品等以及各种侵权、仿牌物品，纯电、手机、通讯用品，平板电脑、笔记本电脑、无人机、无人机配件、摄像机、平衡车、充电宝、手机/笔记本电脑电池、对讲机、U盘、电子钱包等。冲货发违禁品造成一切罚款与损失由发件人承担，我司有权追究发件人责任。</t>
    </r>
    <r>
      <rPr>
        <sz val="11"/>
        <color rgb="FF000000"/>
        <rFont val="微软雅黑"/>
        <charset val="134"/>
      </rPr>
      <t xml:space="preserve">
</t>
    </r>
    <r>
      <rPr>
        <sz val="11"/>
        <color rgb="FF000000"/>
        <rFont val="微软雅黑"/>
        <charset val="134"/>
      </rPr>
      <t>2、必须提供电话号码，且电话号码格式为：区号91+10位数字</t>
    </r>
    <r>
      <rPr>
        <sz val="11"/>
        <color rgb="FF000000"/>
        <rFont val="微软雅黑"/>
        <charset val="134"/>
      </rPr>
      <t xml:space="preserve">
</t>
    </r>
    <r>
      <rPr>
        <sz val="11"/>
        <color rgb="FF000000"/>
        <rFont val="微软雅黑"/>
        <charset val="134"/>
      </rPr>
      <t>3、制氧机免税，但需要额外支付12%GST费用+20RMB/票处理费</t>
    </r>
    <r>
      <rPr>
        <sz val="11"/>
        <color rgb="FF000000"/>
        <rFont val="微软雅黑"/>
        <charset val="134"/>
      </rPr>
      <t xml:space="preserve">
</t>
    </r>
    <r>
      <rPr>
        <sz val="11"/>
        <color rgb="FF000000"/>
        <rFont val="微软雅黑"/>
        <charset val="134"/>
      </rPr>
      <t>4、商业清关DDP服务，申报价值不超过50美元，免征税费；请如实申报，严禁低报，在目的国清关因低报造成的费用以及处理后果均由发件人承担。</t>
    </r>
    <r>
      <rPr>
        <sz val="11"/>
        <color rgb="FF000000"/>
        <rFont val="微软雅黑"/>
        <charset val="134"/>
      </rPr>
      <t xml:space="preserve">
</t>
    </r>
    <r>
      <rPr>
        <sz val="11"/>
        <color rgb="FF000000"/>
        <rFont val="微软雅黑"/>
        <charset val="134"/>
      </rPr>
      <t>5. 印度的电话号码格式除国际区号外以9,8,7,6开头的10位数字，必须要是手机因为要接收KYC认证消息。</t>
    </r>
    <r>
      <rPr>
        <sz val="11"/>
        <color rgb="FF000000"/>
        <rFont val="微软雅黑"/>
        <charset val="134"/>
      </rPr>
      <t xml:space="preserve">
</t>
    </r>
    <r>
      <rPr>
        <sz val="11"/>
        <color rgb="FF000000"/>
        <rFont val="微软雅黑"/>
        <charset val="134"/>
      </rPr>
      <t>三、限制物品：</t>
    </r>
    <r>
      <rPr>
        <sz val="11"/>
        <color rgb="FF000000"/>
        <rFont val="微软雅黑"/>
        <charset val="134"/>
      </rPr>
      <t xml:space="preserve">
</t>
    </r>
    <r>
      <rPr>
        <sz val="11"/>
        <color rgb="FF000000"/>
        <rFont val="微软雅黑"/>
        <charset val="134"/>
      </rPr>
      <t>由于印巴边境局势敏感, 现海关通知以下物品严格禁止运往印度：</t>
    </r>
    <r>
      <rPr>
        <sz val="11"/>
        <color rgb="FF000000"/>
        <rFont val="微软雅黑"/>
        <charset val="134"/>
      </rPr>
      <t xml:space="preserve">
</t>
    </r>
    <r>
      <rPr>
        <sz val="11"/>
        <color rgb="FF000000"/>
        <rFont val="微软雅黑"/>
        <charset val="134"/>
      </rPr>
      <t>1. 无人机（所有类型，包括商用、休闲和军用级）</t>
    </r>
    <r>
      <rPr>
        <sz val="11"/>
        <color rgb="FF000000"/>
        <rFont val="微软雅黑"/>
        <charset val="134"/>
      </rPr>
      <t xml:space="preserve">
</t>
    </r>
    <r>
      <rPr>
        <sz val="11"/>
        <color rgb="FF000000"/>
        <rFont val="微软雅黑"/>
        <charset val="134"/>
      </rPr>
      <t>2. 无人机零件及配件（电机、螺旋桨、控制器、GPS 模块等）</t>
    </r>
    <r>
      <rPr>
        <sz val="11"/>
        <color rgb="FF000000"/>
        <rFont val="微软雅黑"/>
        <charset val="134"/>
      </rPr>
      <t xml:space="preserve">
</t>
    </r>
    <r>
      <rPr>
        <sz val="11"/>
        <color rgb="FF000000"/>
        <rFont val="微软雅黑"/>
        <charset val="134"/>
      </rPr>
      <t>3. 监控设备</t>
    </r>
    <r>
      <rPr>
        <sz val="11"/>
        <color rgb="FF000000"/>
        <rFont val="微软雅黑"/>
        <charset val="134"/>
      </rPr>
      <t xml:space="preserve">
</t>
    </r>
    <r>
      <rPr>
        <sz val="11"/>
        <color rgb="FF000000"/>
        <rFont val="微软雅黑"/>
        <charset val="134"/>
      </rPr>
      <t>o 具有录制/流媒体功能的摄像头</t>
    </r>
    <r>
      <rPr>
        <sz val="11"/>
        <color rgb="FF000000"/>
        <rFont val="微软雅黑"/>
        <charset val="134"/>
      </rPr>
      <t xml:space="preserve">
</t>
    </r>
    <r>
      <rPr>
        <sz val="11"/>
        <color rgb="FF000000"/>
        <rFont val="微软雅黑"/>
        <charset val="134"/>
      </rPr>
      <t>o 夜视设备</t>
    </r>
    <r>
      <rPr>
        <sz val="11"/>
        <color rgb="FF000000"/>
        <rFont val="微软雅黑"/>
        <charset val="134"/>
      </rPr>
      <t xml:space="preserve">
</t>
    </r>
    <r>
      <rPr>
        <sz val="11"/>
        <color rgb="FF000000"/>
        <rFont val="微软雅黑"/>
        <charset val="134"/>
      </rPr>
      <t>o 远程或高分辨率光学设备</t>
    </r>
    <r>
      <rPr>
        <sz val="11"/>
        <color rgb="FF000000"/>
        <rFont val="微软雅黑"/>
        <charset val="134"/>
      </rPr>
      <t xml:space="preserve">
</t>
    </r>
    <r>
      <rPr>
        <sz val="11"/>
        <color rgb="FF000000"/>
        <rFont val="微软雅黑"/>
        <charset val="134"/>
      </rPr>
      <t>4. 数据存储和电子设备</t>
    </r>
    <r>
      <rPr>
        <sz val="11"/>
        <color rgb="FF000000"/>
        <rFont val="微软雅黑"/>
        <charset val="134"/>
      </rPr>
      <t xml:space="preserve">
</t>
    </r>
    <r>
      <rPr>
        <sz val="11"/>
        <color rgb="FF000000"/>
        <rFont val="微软雅黑"/>
        <charset val="134"/>
      </rPr>
      <t>o 硬盘、固态硬盘 (SSD)、USB 闪存盘</t>
    </r>
    <r>
      <rPr>
        <sz val="11"/>
        <color rgb="FF000000"/>
        <rFont val="微软雅黑"/>
        <charset val="134"/>
      </rPr>
      <t xml:space="preserve">
</t>
    </r>
    <r>
      <rPr>
        <sz val="11"/>
        <color rgb="FF000000"/>
        <rFont val="微软雅黑"/>
        <charset val="134"/>
      </rPr>
      <t>o 加密设备</t>
    </r>
    <r>
      <rPr>
        <sz val="11"/>
        <color rgb="FF000000"/>
        <rFont val="微软雅黑"/>
        <charset val="134"/>
      </rPr>
      <t xml:space="preserve">
</t>
    </r>
    <r>
      <rPr>
        <sz val="11"/>
        <color rgb="FF000000"/>
        <rFont val="微软雅黑"/>
        <charset val="134"/>
      </rPr>
      <t>o 具有存储/内存的计算机组件（例如 RAM、微芯片）</t>
    </r>
    <r>
      <rPr>
        <sz val="11"/>
        <color rgb="FF000000"/>
        <rFont val="微软雅黑"/>
        <charset val="134"/>
      </rPr>
      <t xml:space="preserve">
</t>
    </r>
    <r>
      <rPr>
        <sz val="11"/>
        <color rgb="FF000000"/>
        <rFont val="微软雅黑"/>
        <charset val="134"/>
      </rPr>
      <t>o</t>
    </r>
    <r>
      <rPr>
        <sz val="11"/>
        <color rgb="FF000000"/>
        <rFont val="微软雅黑"/>
        <charset val="134"/>
      </rPr>
      <t xml:space="preserve">
</t>
    </r>
    <r>
      <rPr>
        <sz val="11"/>
        <color rgb="FF000000"/>
        <rFont val="微软雅黑"/>
        <charset val="134"/>
      </rPr>
      <t>5. 通信和 GPS 设备</t>
    </r>
    <r>
      <rPr>
        <sz val="11"/>
        <color rgb="FF000000"/>
        <rFont val="微软雅黑"/>
        <charset val="134"/>
      </rPr>
      <t xml:space="preserve">
</t>
    </r>
    <r>
      <rPr>
        <sz val="11"/>
        <color rgb="FF000000"/>
        <rFont val="微软雅黑"/>
        <charset val="134"/>
      </rPr>
      <t>o 卫星电话</t>
    </r>
    <r>
      <rPr>
        <sz val="11"/>
        <color rgb="FF000000"/>
        <rFont val="微软雅黑"/>
        <charset val="134"/>
      </rPr>
      <t xml:space="preserve">
</t>
    </r>
    <r>
      <rPr>
        <sz val="11"/>
        <color rgb="FF000000"/>
        <rFont val="微软雅黑"/>
        <charset val="134"/>
      </rPr>
      <t>o 无线电收发器（非标准频率）</t>
    </r>
    <r>
      <rPr>
        <sz val="11"/>
        <color rgb="FF000000"/>
        <rFont val="微软雅黑"/>
        <charset val="134"/>
      </rPr>
      <t xml:space="preserve">
</t>
    </r>
    <r>
      <rPr>
        <sz val="11"/>
        <color rgb="FF000000"/>
        <rFont val="微软雅黑"/>
        <charset val="134"/>
      </rPr>
      <t>o GPS 追踪器/地图工具</t>
    </r>
    <r>
      <rPr>
        <sz val="11"/>
        <color rgb="FF000000"/>
        <rFont val="微软雅黑"/>
        <charset val="134"/>
      </rPr>
      <t xml:space="preserve">
</t>
    </r>
    <r>
      <rPr>
        <sz val="11"/>
        <color rgb="FF000000"/>
        <rFont val="微软雅黑"/>
        <charset val="134"/>
      </rPr>
      <t>6. 军民两用技术（具有潜在军事用途的物品）</t>
    </r>
    <r>
      <rPr>
        <sz val="11"/>
        <color rgb="FF000000"/>
        <rFont val="微软雅黑"/>
        <charset val="134"/>
      </rPr>
      <t xml:space="preserve">
</t>
    </r>
  </si>
  <si>
    <t>请如实申报，申报价值&lt;=50美元</t>
  </si>
  <si>
    <t>2W+2H＜150cm</t>
  </si>
  <si>
    <r>
      <rPr>
        <sz val="11"/>
        <color rgb="FF000000"/>
        <rFont val="微软雅黑"/>
        <charset val="134"/>
      </rPr>
      <t>重派费用说明：</t>
    </r>
    <r>
      <rPr>
        <sz val="11"/>
        <color rgb="FF000000"/>
        <rFont val="微软雅黑"/>
        <charset val="134"/>
      </rPr>
      <t xml:space="preserve">
</t>
    </r>
    <r>
      <rPr>
        <sz val="11"/>
        <color rgb="FF000000"/>
        <rFont val="微软雅黑"/>
        <charset val="134"/>
      </rPr>
      <t>0-0.5kg 70元/件；</t>
    </r>
    <r>
      <rPr>
        <sz val="11"/>
        <color rgb="FF000000"/>
        <rFont val="微软雅黑"/>
        <charset val="134"/>
      </rPr>
      <t xml:space="preserve">
</t>
    </r>
    <r>
      <rPr>
        <sz val="11"/>
        <color rgb="FF000000"/>
        <rFont val="微软雅黑"/>
        <charset val="134"/>
      </rPr>
      <t>0.501-1kg 120元/件；</t>
    </r>
    <r>
      <rPr>
        <sz val="11"/>
        <color rgb="FF000000"/>
        <rFont val="微软雅黑"/>
        <charset val="134"/>
      </rPr>
      <t xml:space="preserve">
</t>
    </r>
    <r>
      <rPr>
        <sz val="11"/>
        <color rgb="FF000000"/>
        <rFont val="微软雅黑"/>
        <charset val="134"/>
      </rPr>
      <t>1-1.5kg 170元/件；</t>
    </r>
    <r>
      <rPr>
        <sz val="11"/>
        <color rgb="FF000000"/>
        <rFont val="微软雅黑"/>
        <charset val="134"/>
      </rPr>
      <t xml:space="preserve">
</t>
    </r>
    <r>
      <rPr>
        <sz val="11"/>
        <color rgb="FF000000"/>
        <rFont val="微软雅黑"/>
        <charset val="134"/>
      </rPr>
      <t>1.501-2kg 220元/件；</t>
    </r>
    <r>
      <rPr>
        <sz val="11"/>
        <color rgb="FF000000"/>
        <rFont val="微软雅黑"/>
        <charset val="134"/>
      </rPr>
      <t xml:space="preserve">
</t>
    </r>
    <r>
      <rPr>
        <sz val="11"/>
        <color rgb="FF000000"/>
        <rFont val="微软雅黑"/>
        <charset val="134"/>
      </rPr>
      <t>2-5kg 350元/件；</t>
    </r>
    <r>
      <rPr>
        <sz val="11"/>
        <color rgb="FF000000"/>
        <rFont val="微软雅黑"/>
        <charset val="134"/>
      </rPr>
      <t xml:space="preserve">
</t>
    </r>
    <r>
      <rPr>
        <sz val="11"/>
        <color rgb="FF000000"/>
        <rFont val="微软雅黑"/>
        <charset val="134"/>
      </rPr>
      <t>5-10kg 550元/件；</t>
    </r>
    <r>
      <rPr>
        <sz val="11"/>
        <color rgb="FF000000"/>
        <rFont val="微软雅黑"/>
        <charset val="134"/>
      </rPr>
      <t xml:space="preserve">
</t>
    </r>
    <r>
      <rPr>
        <sz val="11"/>
        <color rgb="FF000000"/>
        <rFont val="微软雅黑"/>
        <charset val="134"/>
      </rPr>
      <t>10-30kg 1500元/件</t>
    </r>
    <r>
      <rPr>
        <sz val="11"/>
        <color rgb="FF000000"/>
        <rFont val="微软雅黑"/>
        <charset val="134"/>
      </rPr>
      <t xml:space="preserve">
</t>
    </r>
    <r>
      <rPr>
        <sz val="11"/>
        <color rgb="FF000000"/>
        <rFont val="微软雅黑"/>
        <charset val="134"/>
      </rPr>
      <t>此国家无退回国内服务</t>
    </r>
    <r>
      <rPr>
        <sz val="11"/>
        <color rgb="FF000000"/>
        <rFont val="微软雅黑"/>
        <charset val="134"/>
      </rPr>
      <t xml:space="preserve">
</t>
    </r>
    <r>
      <rPr>
        <sz val="11"/>
        <color rgb="FF000000"/>
        <rFont val="微软雅黑"/>
        <charset val="134"/>
      </rPr>
      <t>海外仓退件会保留14天，超期则默认销毁；</t>
    </r>
  </si>
  <si>
    <t>商业清关DDP服务</t>
  </si>
  <si>
    <t>7-13天</t>
  </si>
  <si>
    <r>
      <rPr>
        <sz val="11"/>
        <color rgb="FF000000"/>
        <rFont val="微软雅黑"/>
        <charset val="134"/>
      </rPr>
      <t>（1）收件人电话需必填，格式为010+8位数字，支持符号- + 空格， 共11位纯数字；</t>
    </r>
    <r>
      <rPr>
        <sz val="11"/>
        <color rgb="FF000000"/>
        <rFont val="微软雅黑"/>
        <charset val="134"/>
      </rPr>
      <t xml:space="preserve">
</t>
    </r>
    <r>
      <rPr>
        <sz val="11"/>
        <color rgb="FF000000"/>
        <rFont val="微软雅黑"/>
        <charset val="134"/>
      </rPr>
      <t>（2）收件人税号需必填，格式为P开头+12位数字；</t>
    </r>
    <r>
      <rPr>
        <sz val="11"/>
        <color rgb="FF000000"/>
        <rFont val="微软雅黑"/>
        <charset val="134"/>
      </rPr>
      <t xml:space="preserve">
</t>
    </r>
    <r>
      <rPr>
        <sz val="11"/>
        <color rgb="FF000000"/>
        <rFont val="微软雅黑"/>
        <charset val="134"/>
      </rPr>
      <t>（3）请一定正确填写收件人姓名、电话、个人通关码和详细地址信息。品名、规格、数量、价格、收件人信息等不正确的情况，清关会加收清关手续费1000韩币。收件人地址信息不详细不正确会产生高额罚款，罚款由发件人/收件人承担。</t>
    </r>
    <r>
      <rPr>
        <sz val="11"/>
        <color rgb="FF000000"/>
        <rFont val="微软雅黑"/>
        <charset val="134"/>
      </rPr>
      <t xml:space="preserve">
</t>
    </r>
    <r>
      <rPr>
        <sz val="11"/>
        <color rgb="FF000000"/>
        <rFont val="微软雅黑"/>
        <charset val="134"/>
      </rPr>
      <t>3C类产品清关会找加收清关手续费1000韩币，收件人不给的情况下会找发件人收取；</t>
    </r>
    <r>
      <rPr>
        <sz val="11"/>
        <color rgb="FF000000"/>
        <rFont val="微软雅黑"/>
        <charset val="134"/>
      </rPr>
      <t xml:space="preserve">
</t>
    </r>
    <r>
      <rPr>
        <sz val="11"/>
        <color rgb="FF000000"/>
        <rFont val="微软雅黑"/>
        <charset val="134"/>
      </rPr>
      <t>（4）禁发侵权商品、成人用品、未加工的水果蔬菜肉类、瞄准器、纹身相关产品、针头等；</t>
    </r>
    <r>
      <rPr>
        <sz val="11"/>
        <color rgb="FF000000"/>
        <rFont val="微软雅黑"/>
        <charset val="134"/>
      </rPr>
      <t xml:space="preserve">
</t>
    </r>
    <r>
      <rPr>
        <sz val="11"/>
        <color rgb="FF000000"/>
        <rFont val="微软雅黑"/>
        <charset val="134"/>
      </rPr>
      <t>（5）请如实申报包裹内的品名，在单个包裹内有多种品名的情况下，请务必在“中文品名”、“英文品名”栏或“具体品名”栏内如实写清楚所有品名，且商品总件量需与实际情况相符，如出现瞒报、漏报等情况会产生清关费用及5万至10万韩币罚款（费用由发件人承担）；</t>
    </r>
    <r>
      <rPr>
        <sz val="11"/>
        <color rgb="FF000000"/>
        <rFont val="微软雅黑"/>
        <charset val="134"/>
      </rPr>
      <t xml:space="preserve">
</t>
    </r>
    <r>
      <rPr>
        <sz val="11"/>
        <color rgb="FF000000"/>
        <rFont val="微软雅黑"/>
        <charset val="134"/>
      </rPr>
      <t>（6）每个收件人每个包裹内的用电类产品限发一件，超过限制件数韩国海关会要求提供韩国KC认证，即使提供了KC认证且商品价值在免税额以下也需要缴纳相关税费；</t>
    </r>
    <r>
      <rPr>
        <sz val="11"/>
        <color rgb="FF000000"/>
        <rFont val="微软雅黑"/>
        <charset val="134"/>
      </rPr>
      <t xml:space="preserve">
</t>
    </r>
    <r>
      <rPr>
        <sz val="11"/>
        <color rgb="FF000000"/>
        <rFont val="微软雅黑"/>
        <charset val="134"/>
      </rPr>
      <t xml:space="preserve">  </t>
    </r>
    <r>
      <rPr>
        <sz val="11"/>
        <color rgb="FF000000"/>
        <rFont val="微软雅黑"/>
        <charset val="134"/>
      </rPr>
      <t>(7)禁止出口尿素类化肥产品，禁止以简化申报形式报关出口。</t>
    </r>
    <r>
      <rPr>
        <sz val="11"/>
        <color rgb="FF000000"/>
        <rFont val="微软雅黑"/>
        <charset val="134"/>
      </rPr>
      <t xml:space="preserve">
</t>
    </r>
    <r>
      <rPr>
        <sz val="11"/>
        <color rgb="FF000000"/>
        <rFont val="微软雅黑"/>
        <charset val="134"/>
      </rPr>
      <t xml:space="preserve">  </t>
    </r>
    <r>
      <rPr>
        <sz val="11"/>
        <color rgb="FF000000"/>
        <rFont val="微软雅黑"/>
        <charset val="134"/>
      </rPr>
      <t>(8)以下不适用目录清关的商品种类，会产生关税、手续费、罚款等由发件人承担；</t>
    </r>
    <r>
      <rPr>
        <sz val="11"/>
        <color rgb="FF000000"/>
        <rFont val="微软雅黑"/>
        <charset val="134"/>
      </rPr>
      <t xml:space="preserve">
</t>
    </r>
    <r>
      <rPr>
        <sz val="11"/>
        <color rgb="FF000000"/>
        <rFont val="微软雅黑"/>
        <charset val="134"/>
      </rPr>
      <t>1. 药品、医疗用品及器材（如体温计）</t>
    </r>
    <r>
      <rPr>
        <sz val="11"/>
        <color rgb="FF000000"/>
        <rFont val="微软雅黑"/>
        <charset val="134"/>
      </rPr>
      <t xml:space="preserve">
</t>
    </r>
    <r>
      <rPr>
        <sz val="11"/>
        <color rgb="FF000000"/>
        <rFont val="微软雅黑"/>
        <charset val="134"/>
      </rPr>
      <t>2. 中药材</t>
    </r>
    <r>
      <rPr>
        <sz val="11"/>
        <color rgb="FF000000"/>
        <rFont val="微软雅黑"/>
        <charset val="134"/>
      </rPr>
      <t xml:space="preserve">
</t>
    </r>
    <r>
      <rPr>
        <sz val="11"/>
        <color rgb="FF000000"/>
        <rFont val="微软雅黑"/>
        <charset val="134"/>
      </rPr>
      <t>3. 野生动物相关产品</t>
    </r>
    <r>
      <rPr>
        <sz val="11"/>
        <color rgb="FF000000"/>
        <rFont val="微软雅黑"/>
        <charset val="134"/>
      </rPr>
      <t xml:space="preserve">
</t>
    </r>
    <r>
      <rPr>
        <sz val="11"/>
        <color rgb="FF000000"/>
        <rFont val="微软雅黑"/>
        <charset val="134"/>
      </rPr>
      <t>4. 农产品和畜产品等检验检疫对象商品</t>
    </r>
    <r>
      <rPr>
        <sz val="11"/>
        <color rgb="FF000000"/>
        <rFont val="微软雅黑"/>
        <charset val="134"/>
      </rPr>
      <t xml:space="preserve">
</t>
    </r>
    <r>
      <rPr>
        <sz val="11"/>
        <color rgb="FF000000"/>
        <rFont val="微软雅黑"/>
        <charset val="134"/>
      </rPr>
      <t>5. 保健品</t>
    </r>
    <r>
      <rPr>
        <sz val="11"/>
        <color rgb="FF000000"/>
        <rFont val="微软雅黑"/>
        <charset val="134"/>
      </rPr>
      <t xml:space="preserve">
</t>
    </r>
    <r>
      <rPr>
        <sz val="11"/>
        <color rgb="FF000000"/>
        <rFont val="微软雅黑"/>
        <charset val="134"/>
      </rPr>
      <t>6. 侵权商品</t>
    </r>
    <r>
      <rPr>
        <sz val="11"/>
        <color rgb="FF000000"/>
        <rFont val="微软雅黑"/>
        <charset val="134"/>
      </rPr>
      <t xml:space="preserve">
</t>
    </r>
    <r>
      <rPr>
        <sz val="11"/>
        <color rgb="FF000000"/>
        <rFont val="微软雅黑"/>
        <charset val="134"/>
      </rPr>
      <t>7. 食品类、酒类、烟类</t>
    </r>
    <r>
      <rPr>
        <sz val="11"/>
        <color rgb="FF000000"/>
        <rFont val="微软雅黑"/>
        <charset val="134"/>
      </rPr>
      <t xml:space="preserve">
</t>
    </r>
    <r>
      <rPr>
        <sz val="11"/>
        <color rgb="FF000000"/>
        <rFont val="微软雅黑"/>
        <charset val="134"/>
      </rPr>
      <t>8. 化妆品（限功能性化妆品、含胎盘化妆品、含类固醇化妆品、无法确认成分的有害化妆品）、洗涤用品</t>
    </r>
    <r>
      <rPr>
        <sz val="11"/>
        <color rgb="FF000000"/>
        <rFont val="微软雅黑"/>
        <charset val="134"/>
      </rPr>
      <t xml:space="preserve">
</t>
    </r>
    <r>
      <rPr>
        <sz val="11"/>
        <color rgb="FF000000"/>
        <rFont val="微软雅黑"/>
        <charset val="134"/>
      </rPr>
      <t>9. 修改申报内容，报关产品有新增的情况</t>
    </r>
    <r>
      <rPr>
        <sz val="11"/>
        <color rgb="FF000000"/>
        <rFont val="微软雅黑"/>
        <charset val="134"/>
      </rPr>
      <t xml:space="preserve">
</t>
    </r>
    <r>
      <rPr>
        <sz val="11"/>
        <color rgb="FF000000"/>
        <rFont val="微软雅黑"/>
        <charset val="134"/>
      </rPr>
      <t>10. 单上的品名、规格、数量、价格、收件人地址、收件人联系方式等不准确的商品</t>
    </r>
    <r>
      <rPr>
        <sz val="11"/>
        <color rgb="FF000000"/>
        <rFont val="微软雅黑"/>
        <charset val="134"/>
      </rPr>
      <t xml:space="preserve">
</t>
    </r>
    <r>
      <rPr>
        <sz val="11"/>
        <color rgb="FF000000"/>
        <rFont val="微软雅黑"/>
        <charset val="134"/>
      </rPr>
      <t>11. 此外，《关税法》第226条规定的需要海关总署确认对象商品及海关总署不认可目录清关的商品</t>
    </r>
    <r>
      <rPr>
        <sz val="11"/>
        <color rgb="FF000000"/>
        <rFont val="微软雅黑"/>
        <charset val="134"/>
      </rPr>
      <t xml:space="preserve">
</t>
    </r>
    <r>
      <rPr>
        <sz val="11"/>
        <color rgb="FF000000"/>
        <rFont val="微软雅黑"/>
        <charset val="134"/>
      </rPr>
      <t xml:space="preserve">  </t>
    </r>
    <r>
      <rPr>
        <sz val="11"/>
        <color rgb="FF000000"/>
        <rFont val="微软雅黑"/>
        <charset val="134"/>
      </rPr>
      <t>(9)无线耳机、无线音响、手机、笔记本电脑、蓝牙。wifi等无线设备及电子仪器(含零部件)（HS CODE85类产品）需申报简易清关，费用1000韩币，此费用默认为发件人支付。</t>
    </r>
    <r>
      <rPr>
        <sz val="11"/>
        <color rgb="FF000000"/>
        <rFont val="微软雅黑"/>
        <charset val="134"/>
      </rPr>
      <t xml:space="preserve">
</t>
    </r>
    <r>
      <rPr>
        <sz val="11"/>
        <color rgb="FF000000"/>
        <rFont val="微软雅黑"/>
        <charset val="134"/>
      </rPr>
      <t>（10）个人通关码可先在此网址进行校验：http://inspection.e-kc.vip/</t>
    </r>
    <r>
      <rPr>
        <sz val="11"/>
        <color rgb="FF000000"/>
        <rFont val="微软雅黑"/>
        <charset val="134"/>
      </rPr>
      <t xml:space="preserve">     </t>
    </r>
    <r>
      <rPr>
        <sz val="11"/>
        <color rgb="FF000000"/>
        <rFont val="微软雅黑"/>
        <charset val="134"/>
      </rPr>
      <t xml:space="preserve">
</t>
    </r>
    <r>
      <rPr>
        <sz val="11"/>
        <color rgb="FF000000"/>
        <rFont val="微软雅黑"/>
        <charset val="134"/>
      </rPr>
      <t>（11）同一入港日期，抵达的包裹物品超过2件的多到件认为不属于个人使用范围，需要额外的清关操作及收取相关费用。同一包裹申报数量建议不超过20个。</t>
    </r>
    <r>
      <rPr>
        <sz val="11"/>
        <color rgb="FF000000"/>
        <rFont val="微软雅黑"/>
        <charset val="134"/>
      </rPr>
      <t xml:space="preserve">
</t>
    </r>
    <r>
      <rPr>
        <sz val="11"/>
        <color rgb="FF000000"/>
        <rFont val="微软雅黑"/>
        <charset val="134"/>
      </rPr>
      <t>（12）近期韩国海关提高了吸尘器、烘干机、扬声器等产品的检查率，申报时请注意填写准确的申报金额；还有知名品牌的仿牌，有可能被海关认定为侵权产品。</t>
    </r>
    <r>
      <rPr>
        <sz val="11"/>
        <color rgb="FF000000"/>
        <rFont val="微软雅黑"/>
        <charset val="134"/>
      </rPr>
      <t xml:space="preserve">
</t>
    </r>
    <r>
      <rPr>
        <sz val="11"/>
        <color rgb="FF000000"/>
        <rFont val="微软雅黑"/>
        <charset val="134"/>
      </rPr>
      <t>（13）戴森产品的吹风机、吸尘器等仿牌货物，以及其他侵犯知识产权的物品，寄过去后，假货会全部销毁；所以请不要寄不是正品的货物，即使寄过去，也需要两周时间拿到鉴定结果。</t>
    </r>
    <r>
      <rPr>
        <sz val="11"/>
        <color rgb="FF000000"/>
        <rFont val="微软雅黑"/>
        <charset val="134"/>
      </rPr>
      <t xml:space="preserve">
</t>
    </r>
    <r>
      <rPr>
        <sz val="11"/>
        <color rgb="FF000000"/>
        <rFont val="微软雅黑"/>
        <charset val="134"/>
      </rPr>
      <t>（14）清关时因仿牌、侵权及资料不完整，申报收件人及品名信息不实等原因，无法清关滞留在海关仓库的包裹，产生的所有费用由发件人承担。</t>
    </r>
    <r>
      <rPr>
        <sz val="11"/>
        <color rgb="FF000000"/>
        <rFont val="微软雅黑"/>
        <charset val="134"/>
      </rPr>
      <t xml:space="preserve">
</t>
    </r>
    <r>
      <rPr>
        <sz val="11"/>
        <color rgb="FF000000"/>
        <rFont val="微软雅黑"/>
        <charset val="134"/>
      </rPr>
      <t>（15）不收异形件和超尺寸件，异形件和超尺寸件会转交其他服务进行派送，因此产生的附加费实报实销</t>
    </r>
  </si>
  <si>
    <t>申报价值＜150美金，且符合个人自用的原则。本渠道为目的国个人清关渠道，收件人必须为个人不接受任何B类（公司）性质的收件人和亚马逊仓收件地址的包裹</t>
  </si>
  <si>
    <r>
      <rPr>
        <sz val="11"/>
        <color rgb="FF000000"/>
        <rFont val="微软雅黑"/>
        <charset val="134"/>
      </rPr>
      <t>长+宽+高≤160cm；最长边≤100cm，宽和高不能同时＞90cm</t>
    </r>
    <r>
      <rPr>
        <sz val="11"/>
        <color rgb="FF000000"/>
        <rFont val="微软雅黑"/>
        <charset val="134"/>
      </rPr>
      <t xml:space="preserve">
</t>
    </r>
    <r>
      <rPr>
        <sz val="11"/>
        <color rgb="FF000000"/>
        <rFont val="微软雅黑"/>
        <charset val="134"/>
      </rPr>
      <t>拒收圆柱体及异形包装</t>
    </r>
  </si>
  <si>
    <t>济州偏远地区（63000-63644）另收取偏远费每票17元，偏远邮编请咨询客服（详见附录）</t>
  </si>
  <si>
    <t>无退回中国服务，暂不提供重派服务，退回默认销毁，销毁免费。</t>
  </si>
  <si>
    <t>每目的港清关批次中每个收件人只允许一个包裹且申报价值不超过150美元</t>
  </si>
  <si>
    <t>全段时效：11-15天</t>
  </si>
  <si>
    <r>
      <rPr>
        <sz val="11"/>
        <color rgb="FF000000"/>
        <rFont val="微软雅黑"/>
        <charset val="134"/>
      </rPr>
      <t>法律禁止的货物、银行票据、票据或货币、普通烟花，危险废物或危险废物服务人类遗骸、胎儿遗骸、人体部位、人类胚胎或其组成部分，1972 年《野生动物保护法》涵盖的野生动物服装和服装配饰物品.1972 年《野生动物保护法》涵盖的其他野生动物毛皮物品。，不带 IMEl 的移动电话导入 （国际移动设备标识），象牙，大麻，包括用于药用的大麻任何/所有麻醉药品或精神药物邮票，鱼翅，酒精饮料非驯养动物产品（例如珍珠母镶嵌、蛇皮表带），弹药 生物物质，B 类和豁免人类或动物标本危险品，枪支和武器（包括惰性和复制品、爆炸性武器），毛皮，假冒商品，二手和重新调整用途的小工具，飞机、热气球、直升机和无人驾驶飞行器 （UAV）。丢弃的花纹/铅废料/类型废料，色情和淫秽材料，性玩具，彩票和赌博设备，精神药物种子，黄金或其他贵金属，大麻和 CBD，活体动物，易腐货物，个人使用的物品，植物和种子需要植物和检疫局的 lmport 许可证，烟草</t>
    </r>
    <r>
      <rPr>
        <sz val="11"/>
        <color rgb="FF000000"/>
        <rFont val="微软雅黑"/>
        <charset val="134"/>
      </rPr>
      <t xml:space="preserve">
</t>
    </r>
    <r>
      <rPr>
        <sz val="11"/>
        <color rgb="FF000000"/>
        <rFont val="微软雅黑"/>
        <charset val="134"/>
      </rPr>
      <t>禁止发手机</t>
    </r>
    <r>
      <rPr>
        <sz val="11"/>
        <color rgb="FF000000"/>
        <rFont val="微软雅黑"/>
        <charset val="134"/>
      </rPr>
      <t xml:space="preserve">
</t>
    </r>
    <r>
      <rPr>
        <sz val="11"/>
        <color rgb="FF000000"/>
        <rFont val="微软雅黑"/>
        <charset val="134"/>
      </rPr>
      <t>所有关于涉及两用物项的货物稀土、稀有金属（包括但不限于各类型金属锭、金属制模具、金属原材料，五金件等高密度货物）、石墨、锂亚硫酰氯电池、等禁止出口的物资将从严查验</t>
    </r>
  </si>
  <si>
    <t>申报价值低于500马来西亚林吉特（大约为112USD）</t>
  </si>
  <si>
    <t>L+W+H &lt; 125cm</t>
  </si>
  <si>
    <r>
      <rPr>
        <sz val="11"/>
        <color rgb="FF000000"/>
        <rFont val="微软雅黑"/>
        <charset val="134"/>
      </rPr>
      <t>1. 重派费：80元/件</t>
    </r>
    <r>
      <rPr>
        <sz val="11"/>
        <color rgb="FF000000"/>
        <rFont val="微软雅黑"/>
        <charset val="134"/>
      </rPr>
      <t xml:space="preserve">
</t>
    </r>
    <r>
      <rPr>
        <sz val="11"/>
        <color rgb="FF000000"/>
        <rFont val="微软雅黑"/>
        <charset val="134"/>
      </rPr>
      <t>2. 海外仓退件会保留14天，超期则默认销毁；</t>
    </r>
  </si>
  <si>
    <t>申报价值低于500马来西亚林吉特（大约为112USD）免税</t>
  </si>
  <si>
    <r>
      <rPr>
        <sz val="11"/>
        <color rgb="FF000000"/>
        <rFont val="微软雅黑"/>
        <charset val="134"/>
      </rPr>
      <t>1. 菲律宾电话格式：+63 917 xxx xxxx或者9+9位数开头</t>
    </r>
    <r>
      <rPr>
        <sz val="11"/>
        <color rgb="FF000000"/>
        <rFont val="微软雅黑"/>
        <charset val="134"/>
      </rPr>
      <t xml:space="preserve">
</t>
    </r>
    <r>
      <rPr>
        <sz val="11"/>
        <color rgb="FF000000"/>
        <rFont val="微软雅黑"/>
        <charset val="134"/>
      </rPr>
      <t>2. 法律禁止的货物、银行票据、票据或货币、普通烟花，危险废物或危险废物服务人类遗骸、胎儿遗骸、人体部位、人类胚胎或其组成部分，1972 年《野生动物保护法》涵盖的野生动物服装和服装配饰物品.1972 年《野生动物保护法》涵盖的其他野生动物毛皮物品。，不带 IMEl 的移动电话导入 （国际移动设备标识），象牙，大麻，包括用于药用的大麻任何/所有麻醉药品或精神药物邮票，鱼翅，酒精饮料非驯养动物产品（例如珍珠母镶嵌、蛇皮表带），弹药 生物物质，B 类和豁免人类或动物标本危险品，枪支和武器（包括惰性和复制品、爆炸性武器），毛皮，假冒商品，二手和重新调整用途的小工具，飞机、热气球、直升机和无人驾驶飞行器 （UAV）。丢弃的花纹/铅废料/类型废料，色情和淫秽材料，性玩具，彩票和赌博设备，精神药物种子，黄金或其他贵金属，大麻和 CBD，活体动物，易腐货物，个人使用的物品，植物和种子需要植物和检疫局的 lmport 许可证，烟草</t>
    </r>
    <r>
      <rPr>
        <sz val="11"/>
        <color rgb="FF000000"/>
        <rFont val="微软雅黑"/>
        <charset val="134"/>
      </rPr>
      <t xml:space="preserve">
</t>
    </r>
    <r>
      <rPr>
        <sz val="11"/>
        <color rgb="FF000000"/>
        <rFont val="微软雅黑"/>
        <charset val="134"/>
      </rPr>
      <t>3. 禁止发手机</t>
    </r>
    <r>
      <rPr>
        <sz val="11"/>
        <color rgb="FF000000"/>
        <rFont val="微软雅黑"/>
        <charset val="134"/>
      </rPr>
      <t xml:space="preserve">
</t>
    </r>
    <r>
      <rPr>
        <sz val="11"/>
        <color rgb="FF000000"/>
        <rFont val="微软雅黑"/>
        <charset val="134"/>
      </rPr>
      <t>4. 货物品名、申报价值及申报数量需如实申报；</t>
    </r>
    <r>
      <rPr>
        <sz val="11"/>
        <color rgb="FF000000"/>
        <rFont val="微软雅黑"/>
        <charset val="134"/>
      </rPr>
      <t xml:space="preserve">
</t>
    </r>
    <r>
      <rPr>
        <sz val="11"/>
        <color rgb="FF000000"/>
        <rFont val="微软雅黑"/>
        <charset val="134"/>
      </rPr>
      <t>5. 不接受超尺寸发货</t>
    </r>
  </si>
  <si>
    <t>申报价值低于10000菲律宾比索（大约为175USD）</t>
  </si>
  <si>
    <t>无退回中国服务，可提供重派服务，重派费：60元/件，退件会在库内保存14天，逾期默认销毁，销毁免费。</t>
  </si>
  <si>
    <t>申报价值低于10000菲律宾比索（大约为175USD）免税</t>
  </si>
  <si>
    <t>7-14天</t>
  </si>
  <si>
    <t>电话号码内仅接受纯数字</t>
  </si>
  <si>
    <t>申报价值＜400新加坡元</t>
  </si>
  <si>
    <r>
      <rPr>
        <sz val="11"/>
        <color rgb="FF000000"/>
        <rFont val="微软雅黑"/>
        <charset val="134"/>
      </rPr>
      <t>尺寸限制：</t>
    </r>
    <r>
      <rPr>
        <sz val="11"/>
        <color rgb="FF000000"/>
        <rFont val="微软雅黑"/>
        <charset val="134"/>
      </rPr>
      <t xml:space="preserve">
</t>
    </r>
    <r>
      <rPr>
        <sz val="11"/>
        <color rgb="FF000000"/>
        <rFont val="微软雅黑"/>
        <charset val="134"/>
      </rPr>
      <t>（高+宽）*2≤150cm</t>
    </r>
  </si>
  <si>
    <t>无退回中国服务，提供重派服务，重派金额：30元/件，妥投失败会退回国外中转仓，免费保存7天，逾期默认销毁，销毁免费。</t>
  </si>
  <si>
    <t>税号非必填，不收取税费及代缴税处理费，如果客户填写税号（请填写在“寄件人税号”栏）</t>
  </si>
  <si>
    <t>TH</t>
  </si>
  <si>
    <t>5-10天</t>
  </si>
  <si>
    <t>禁寄品的主要类别：保健品/成人用品/佛教用品/电子烟/电视盒/对讲机/无人机/印刷影音产品</t>
  </si>
  <si>
    <t>请如实申报</t>
  </si>
  <si>
    <t>最长边≤60cm，长+宽+高≤150cm</t>
  </si>
  <si>
    <r>
      <rPr>
        <sz val="11"/>
        <color rgb="FF000000"/>
        <rFont val="微软雅黑"/>
        <charset val="134"/>
      </rPr>
      <t>以下偏远地区 94160</t>
    </r>
    <r>
      <rPr>
        <sz val="11"/>
        <color rgb="FF000000"/>
        <rFont val="微软雅黑"/>
        <charset val="134"/>
      </rPr>
      <t xml:space="preserve">   </t>
    </r>
    <r>
      <rPr>
        <sz val="11"/>
        <color rgb="FF000000"/>
        <rFont val="微软雅黑"/>
        <charset val="134"/>
      </rPr>
      <t>94170</t>
    </r>
    <r>
      <rPr>
        <sz val="11"/>
        <color rgb="FF000000"/>
        <rFont val="微软雅黑"/>
        <charset val="134"/>
      </rPr>
      <t xml:space="preserve">  </t>
    </r>
    <r>
      <rPr>
        <sz val="11"/>
        <color rgb="FF000000"/>
        <rFont val="微软雅黑"/>
        <charset val="134"/>
      </rPr>
      <t>94180</t>
    </r>
    <r>
      <rPr>
        <sz val="11"/>
        <color rgb="FF000000"/>
        <rFont val="微软雅黑"/>
        <charset val="134"/>
      </rPr>
      <t xml:space="preserve">  </t>
    </r>
    <r>
      <rPr>
        <sz val="11"/>
        <color rgb="FF000000"/>
        <rFont val="微软雅黑"/>
        <charset val="134"/>
      </rPr>
      <t>94190</t>
    </r>
    <r>
      <rPr>
        <sz val="11"/>
        <color rgb="FF000000"/>
        <rFont val="微软雅黑"/>
        <charset val="134"/>
      </rPr>
      <t xml:space="preserve">  </t>
    </r>
    <r>
      <rPr>
        <sz val="11"/>
        <color rgb="FF000000"/>
        <rFont val="微软雅黑"/>
        <charset val="134"/>
      </rPr>
      <t>94220</t>
    </r>
    <r>
      <rPr>
        <sz val="11"/>
        <color rgb="FF000000"/>
        <rFont val="微软雅黑"/>
        <charset val="134"/>
      </rPr>
      <t xml:space="preserve">  </t>
    </r>
    <r>
      <rPr>
        <sz val="11"/>
        <color rgb="FF000000"/>
        <rFont val="微软雅黑"/>
        <charset val="134"/>
      </rPr>
      <t>94230</t>
    </r>
    <r>
      <rPr>
        <sz val="11"/>
        <color rgb="FF000000"/>
        <rFont val="微软雅黑"/>
        <charset val="134"/>
      </rPr>
      <t xml:space="preserve">  </t>
    </r>
    <r>
      <rPr>
        <sz val="11"/>
        <color rgb="FF000000"/>
        <rFont val="微软雅黑"/>
        <charset val="134"/>
      </rPr>
      <t>95000 95110 95120</t>
    </r>
    <r>
      <rPr>
        <sz val="11"/>
        <color rgb="FF000000"/>
        <rFont val="微软雅黑"/>
        <charset val="134"/>
      </rPr>
      <t xml:space="preserve">  </t>
    </r>
    <r>
      <rPr>
        <sz val="11"/>
        <color rgb="FF000000"/>
        <rFont val="微软雅黑"/>
        <charset val="134"/>
      </rPr>
      <t>95130</t>
    </r>
    <r>
      <rPr>
        <sz val="11"/>
        <color rgb="FF000000"/>
        <rFont val="微软雅黑"/>
        <charset val="134"/>
      </rPr>
      <t xml:space="preserve">  </t>
    </r>
    <r>
      <rPr>
        <sz val="11"/>
        <color rgb="FF000000"/>
        <rFont val="微软雅黑"/>
        <charset val="134"/>
      </rPr>
      <t>95140 95150 95160</t>
    </r>
    <r>
      <rPr>
        <sz val="11"/>
        <color rgb="FF000000"/>
        <rFont val="微软雅黑"/>
        <charset val="134"/>
      </rPr>
      <t xml:space="preserve">  </t>
    </r>
    <r>
      <rPr>
        <sz val="11"/>
        <color rgb="FF000000"/>
        <rFont val="微软雅黑"/>
        <charset val="134"/>
      </rPr>
      <t>95170</t>
    </r>
    <r>
      <rPr>
        <sz val="11"/>
        <color rgb="FF000000"/>
        <rFont val="微软雅黑"/>
        <charset val="134"/>
      </rPr>
      <t xml:space="preserve">  </t>
    </r>
    <r>
      <rPr>
        <sz val="11"/>
        <color rgb="FF000000"/>
        <rFont val="微软雅黑"/>
        <charset val="134"/>
      </rPr>
      <t>96110</t>
    </r>
    <r>
      <rPr>
        <sz val="11"/>
        <color rgb="FF000000"/>
        <rFont val="微软雅黑"/>
        <charset val="134"/>
      </rPr>
      <t xml:space="preserve">  </t>
    </r>
    <r>
      <rPr>
        <sz val="11"/>
        <color rgb="FF000000"/>
        <rFont val="微软雅黑"/>
        <charset val="134"/>
      </rPr>
      <t>96120</t>
    </r>
    <r>
      <rPr>
        <sz val="11"/>
        <color rgb="FF000000"/>
        <rFont val="微软雅黑"/>
        <charset val="134"/>
      </rPr>
      <t xml:space="preserve">  </t>
    </r>
    <r>
      <rPr>
        <sz val="11"/>
        <color rgb="FF000000"/>
        <rFont val="微软雅黑"/>
        <charset val="134"/>
      </rPr>
      <t>96130</t>
    </r>
    <r>
      <rPr>
        <sz val="11"/>
        <color rgb="FF000000"/>
        <rFont val="微软雅黑"/>
        <charset val="134"/>
      </rPr>
      <t xml:space="preserve">  </t>
    </r>
    <r>
      <rPr>
        <sz val="11"/>
        <color rgb="FF000000"/>
        <rFont val="微软雅黑"/>
        <charset val="134"/>
      </rPr>
      <t>96140</t>
    </r>
    <r>
      <rPr>
        <sz val="11"/>
        <color rgb="FF000000"/>
        <rFont val="微软雅黑"/>
        <charset val="134"/>
      </rPr>
      <t xml:space="preserve">  </t>
    </r>
    <r>
      <rPr>
        <sz val="11"/>
        <color rgb="FF000000"/>
        <rFont val="微软雅黑"/>
        <charset val="134"/>
      </rPr>
      <t>96150</t>
    </r>
    <r>
      <rPr>
        <sz val="11"/>
        <color rgb="FF000000"/>
        <rFont val="微软雅黑"/>
        <charset val="134"/>
      </rPr>
      <t xml:space="preserve">  </t>
    </r>
    <r>
      <rPr>
        <sz val="11"/>
        <color rgb="FF000000"/>
        <rFont val="微软雅黑"/>
        <charset val="134"/>
      </rPr>
      <t>96160</t>
    </r>
    <r>
      <rPr>
        <sz val="11"/>
        <color rgb="FF000000"/>
        <rFont val="微软雅黑"/>
        <charset val="134"/>
      </rPr>
      <t xml:space="preserve">  </t>
    </r>
    <r>
      <rPr>
        <sz val="11"/>
        <color rgb="FF000000"/>
        <rFont val="微软雅黑"/>
        <charset val="134"/>
      </rPr>
      <t>96170</t>
    </r>
    <r>
      <rPr>
        <sz val="11"/>
        <color rgb="FF000000"/>
        <rFont val="微软雅黑"/>
        <charset val="134"/>
      </rPr>
      <t xml:space="preserve">  </t>
    </r>
    <r>
      <rPr>
        <sz val="11"/>
        <color rgb="FF000000"/>
        <rFont val="微软雅黑"/>
        <charset val="134"/>
      </rPr>
      <t>96180</t>
    </r>
    <r>
      <rPr>
        <sz val="11"/>
        <color rgb="FF000000"/>
        <rFont val="微软雅黑"/>
        <charset val="134"/>
      </rPr>
      <t xml:space="preserve">  </t>
    </r>
    <r>
      <rPr>
        <sz val="11"/>
        <color rgb="FF000000"/>
        <rFont val="微软雅黑"/>
        <charset val="134"/>
      </rPr>
      <t>96190</t>
    </r>
    <r>
      <rPr>
        <sz val="11"/>
        <color rgb="FF000000"/>
        <rFont val="微软雅黑"/>
        <charset val="134"/>
      </rPr>
      <t xml:space="preserve">  </t>
    </r>
    <r>
      <rPr>
        <sz val="11"/>
        <color rgb="FF000000"/>
        <rFont val="微软雅黑"/>
        <charset val="134"/>
      </rPr>
      <t>96210</t>
    </r>
    <r>
      <rPr>
        <sz val="11"/>
        <color rgb="FF000000"/>
        <rFont val="微软雅黑"/>
        <charset val="134"/>
      </rPr>
      <t xml:space="preserve">  </t>
    </r>
    <r>
      <rPr>
        <sz val="11"/>
        <color rgb="FF000000"/>
        <rFont val="微软雅黑"/>
        <charset val="134"/>
      </rPr>
      <t>96220</t>
    </r>
    <r>
      <rPr>
        <sz val="11"/>
        <color rgb="FF000000"/>
        <rFont val="微软雅黑"/>
        <charset val="134"/>
      </rPr>
      <t xml:space="preserve">
</t>
    </r>
    <r>
      <rPr>
        <sz val="11"/>
        <color rgb="FF000000"/>
        <rFont val="微软雅黑"/>
        <charset val="134"/>
      </rPr>
      <t>涉及偏远收取偏远附加费28元/票</t>
    </r>
    <r>
      <rPr>
        <sz val="11"/>
        <color rgb="FF000000"/>
        <rFont val="微软雅黑"/>
        <charset val="134"/>
      </rPr>
      <t xml:space="preserve">
</t>
    </r>
    <r>
      <rPr>
        <sz val="11"/>
        <color rgb="FF000000"/>
        <rFont val="微软雅黑"/>
        <charset val="134"/>
      </rPr>
      <t>泰国电话9-10位</t>
    </r>
  </si>
  <si>
    <t>妥投不成功包裹会退回到泰国中转仓，到达中转仓后为期30天内可安排重派，逾期默认销毁，到达中转仓以后安排重派费用为22元/件, 销毁免费。</t>
  </si>
  <si>
    <t>申报价值1350泰铢以内免征关税</t>
  </si>
  <si>
    <t>7-9天</t>
  </si>
  <si>
    <r>
      <rPr>
        <sz val="11"/>
        <color rgb="FF000000"/>
        <rFont val="微软雅黑"/>
        <charset val="134"/>
      </rPr>
      <t>需要在CPF/CNPJ/EORI栏提供收件人身份证号码.格式是共10位，第1位是英文字母；</t>
    </r>
    <r>
      <rPr>
        <sz val="11"/>
        <color rgb="FF000000"/>
        <rFont val="微软雅黑"/>
        <charset val="134"/>
      </rPr>
      <t xml:space="preserve">
</t>
    </r>
    <r>
      <rPr>
        <sz val="11"/>
        <color rgb="FF000000"/>
        <rFont val="微软雅黑"/>
        <charset val="134"/>
      </rPr>
      <t>禁止邮寄医疗器材及用品、美容器材、动植物、生鲜品、含肉食品、食品、化妆品；</t>
    </r>
    <r>
      <rPr>
        <sz val="11"/>
        <color rgb="FF000000"/>
        <rFont val="微软雅黑"/>
        <charset val="134"/>
      </rPr>
      <t xml:space="preserve">
</t>
    </r>
    <r>
      <rPr>
        <sz val="11"/>
        <color rgb="FF000000"/>
        <rFont val="微软雅黑"/>
        <charset val="134"/>
      </rPr>
      <t>现在台湾海关对ezway实名认证要求更加严格，所有货物必须提供正确的中文收件人名及电话，相关信息需与海关系统上保持一致</t>
    </r>
  </si>
  <si>
    <r>
      <rPr>
        <sz val="11"/>
        <color rgb="FF000000"/>
        <rFont val="微软雅黑"/>
        <charset val="134"/>
      </rPr>
      <t>申报价值＜2000新台币</t>
    </r>
    <r>
      <rPr>
        <sz val="11"/>
        <color rgb="FF000000"/>
        <rFont val="微软雅黑"/>
        <charset val="134"/>
      </rPr>
      <t xml:space="preserve">
</t>
    </r>
  </si>
  <si>
    <t>长+宽+高＜150cm</t>
  </si>
  <si>
    <t>无退回中国服务，可提供重派服务，重派费：35元/件，退件会在库内保存1个月，逾期默认销毁，销毁免费。</t>
  </si>
  <si>
    <t>每个收件人每年6次，每次申报价值2000新台币内免征关税</t>
  </si>
  <si>
    <t>AE</t>
  </si>
  <si>
    <t>1.禁运品：赌博用品，无线电发射器/通信设备，含GPS产品，粉末、成人用品、宗教信仰类、隐私类用品、无人机、电子烟、带摄像头的设备、医疗器械、纯电池等（不确定的产品请单询）。如发送禁寄品会造成罚款或销毁处理等费用由客户承担。</t>
  </si>
  <si>
    <t>申报价值不能超过260美元，按照申报价值的5%收取VAT,此费用由发件人支付。</t>
  </si>
  <si>
    <t>尺寸限制为：120cm*50cm*50cm</t>
  </si>
  <si>
    <r>
      <rPr>
        <sz val="11"/>
        <color rgb="FF000000"/>
        <rFont val="微软雅黑"/>
        <charset val="134"/>
      </rPr>
      <t>1.收件人名称必须是真实的个人姓名，也支持用英文字母填写的姓名，填写时确保姓氏和名字完整。</t>
    </r>
    <r>
      <rPr>
        <sz val="11"/>
        <color rgb="FF000000"/>
        <rFont val="微软雅黑"/>
        <charset val="134"/>
      </rPr>
      <t xml:space="preserve">
</t>
    </r>
    <r>
      <rPr>
        <sz val="11"/>
        <color rgb="FF000000"/>
        <rFont val="微软雅黑"/>
        <charset val="134"/>
      </rPr>
      <t>2.收件人电话需必填，格式为9开头的9位数号码，需要填写国际区号“+971-”不能包含其他特殊字符。</t>
    </r>
    <r>
      <rPr>
        <sz val="11"/>
        <color rgb="FF000000"/>
        <rFont val="微软雅黑"/>
        <charset val="134"/>
      </rPr>
      <t xml:space="preserve">
</t>
    </r>
    <r>
      <rPr>
        <sz val="11"/>
        <color rgb="FF000000"/>
        <rFont val="微软雅黑"/>
        <charset val="134"/>
      </rPr>
      <t>3.收件人地址需准确且完整有街道号门牌号，邮编和城市洲省一致。</t>
    </r>
    <r>
      <rPr>
        <sz val="11"/>
        <color rgb="FF000000"/>
        <rFont val="微软雅黑"/>
        <charset val="134"/>
      </rPr>
      <t xml:space="preserve">
</t>
    </r>
  </si>
  <si>
    <t>无退回中国服务，可提供重派服务，重派费：50元/件</t>
  </si>
  <si>
    <t>8-13天</t>
  </si>
  <si>
    <r>
      <rPr>
        <sz val="11"/>
        <color rgb="FF000000"/>
        <rFont val="微软雅黑"/>
        <charset val="134"/>
      </rPr>
      <t>1.禁运品：赌博用品，无线电发射器/通信设备，含GPS产品，粉末、成人用品、宗教信仰类、隐私类用品、无人机、电子烟、带摄像头的设备、医疗器械、纯电池等（不确定的产品请单询）。如发送禁寄品会造成罚款或销毁处理等费用由客户承担。</t>
    </r>
    <r>
      <rPr>
        <sz val="11"/>
        <color rgb="FF000000"/>
        <rFont val="微软雅黑"/>
        <charset val="134"/>
      </rPr>
      <t xml:space="preserve">
</t>
    </r>
    <r>
      <rPr>
        <sz val="11"/>
        <color rgb="FF000000"/>
        <rFont val="微软雅黑"/>
        <charset val="134"/>
      </rPr>
      <t>2.单个包裹内件不超过5件（同个SKU不超过3件），否则可能会被海关判断为商业件导致清关异常并要求做海外退件，产生高额退件费。若超过限定数量造成的相关费用和损失由客户承担。</t>
    </r>
  </si>
  <si>
    <t>申报价值＜700美金</t>
  </si>
  <si>
    <t>限重5kg</t>
  </si>
  <si>
    <t>最大尺寸限制：120cm*50cm*50cm</t>
  </si>
  <si>
    <r>
      <rPr>
        <sz val="11"/>
        <color rgb="FF000000"/>
        <rFont val="微软雅黑"/>
        <charset val="134"/>
      </rPr>
      <t>1.收件人名称必须是真实的个人姓名，填写时确保姓氏和名字完整。</t>
    </r>
    <r>
      <rPr>
        <sz val="11"/>
        <color rgb="FF000000"/>
        <rFont val="微软雅黑"/>
        <charset val="134"/>
      </rPr>
      <t xml:space="preserve">
</t>
    </r>
    <r>
      <rPr>
        <sz val="11"/>
        <color rgb="FF000000"/>
        <rFont val="微软雅黑"/>
        <charset val="134"/>
      </rPr>
      <t>2.收件人电话需必填。</t>
    </r>
    <r>
      <rPr>
        <sz val="11"/>
        <color rgb="FF000000"/>
        <rFont val="微软雅黑"/>
        <charset val="134"/>
      </rPr>
      <t xml:space="preserve">
</t>
    </r>
    <r>
      <rPr>
        <sz val="11"/>
        <color rgb="FF000000"/>
        <rFont val="微软雅黑"/>
        <charset val="134"/>
      </rPr>
      <t>3.收件人地址需准确且完整有街道号门牌号，收件人城市必填。</t>
    </r>
    <r>
      <rPr>
        <sz val="11"/>
        <color rgb="FF000000"/>
        <rFont val="微软雅黑"/>
        <charset val="134"/>
      </rPr>
      <t xml:space="preserve">
</t>
    </r>
    <r>
      <rPr>
        <sz val="11"/>
        <color rgb="FF000000"/>
        <rFont val="微软雅黑"/>
        <charset val="134"/>
      </rPr>
      <t>4.无法派送Po.Box地址</t>
    </r>
    <r>
      <rPr>
        <sz val="11"/>
        <color rgb="FF000000"/>
        <rFont val="微软雅黑"/>
        <charset val="134"/>
      </rPr>
      <t xml:space="preserve">
</t>
    </r>
  </si>
  <si>
    <t>无退回中国服务，可提供重派服务，重派费0-5kg 40RMB/件,续重5 RMB /kg。</t>
  </si>
  <si>
    <t>申报价值700美元以免征关税</t>
  </si>
  <si>
    <r>
      <rPr>
        <sz val="11"/>
        <color rgb="FF000000"/>
        <rFont val="微软雅黑"/>
        <charset val="134"/>
      </rPr>
      <t>①禁寄品主要类别：博弈游戏和赌博用设备；无线电话/通讯设备（频率从900MHz至2.4GHz；比如收音机、对讲机、路由器等）；广播用设备；监控摄像类器材；车用零配件，例如汽车、自行车和摩托车配套的车灯、头盔、把手、加热、减震设备等；含激光产品；智能出行和智能家居类用品；无人机（包括遥控电动玩具）小家电；开关插座；导航仪/定位器；成人情趣玩具/用品；园艺产品，电子烟；望远镜；瞄准器；战术导轨；</t>
    </r>
    <r>
      <rPr>
        <sz val="11"/>
        <color rgb="FF000000"/>
        <rFont val="微软雅黑"/>
        <charset val="134"/>
      </rPr>
      <t xml:space="preserve">
</t>
    </r>
    <r>
      <rPr>
        <sz val="11"/>
        <color rgb="FF000000"/>
        <rFont val="微软雅黑"/>
        <charset val="134"/>
      </rPr>
      <t>温馨提示：下单时中英文品名填写尽可能详细，否则易被目的国海关查验（举例：电脑配件---是鼠标还是键盘，需要写具体的配件名称-“鼠标/键盘”；五金工具---是大头锤还是凿子，需要写具体的工具名称-“大头锤/凿子“。建议细化到物品的颜色、材质、使用人群等）</t>
    </r>
    <r>
      <rPr>
        <sz val="11"/>
        <color rgb="FF000000"/>
        <rFont val="微软雅黑"/>
        <charset val="134"/>
      </rPr>
      <t xml:space="preserve">
</t>
    </r>
    <r>
      <rPr>
        <sz val="11"/>
        <color rgb="FF000000"/>
        <rFont val="微软雅黑"/>
        <charset val="134"/>
      </rPr>
      <t>②邮编限制：五位数字或七位数字，或五位数字+短横线+四位数字；其余格式不能制单，报错提示为：以色列邮编为五位数字，或七位数字，或五位数字+短横线+四位数字</t>
    </r>
    <r>
      <rPr>
        <sz val="11"/>
        <color rgb="FF000000"/>
        <rFont val="微软雅黑"/>
        <charset val="134"/>
      </rPr>
      <t xml:space="preserve">
</t>
    </r>
    <r>
      <rPr>
        <sz val="11"/>
        <color rgb="FF000000"/>
        <rFont val="微软雅黑"/>
        <charset val="134"/>
      </rPr>
      <t>③联系方式要求：收件人电话或者邮箱地址必须填一项，收件人电话不可为0-9连号或者全是0或1-9的数字，收件人电话不少于9位数字。</t>
    </r>
    <r>
      <rPr>
        <sz val="11"/>
        <color rgb="FF000000"/>
        <rFont val="微软雅黑"/>
        <charset val="134"/>
      </rPr>
      <t xml:space="preserve">
</t>
    </r>
    <r>
      <rPr>
        <sz val="11"/>
        <color rgb="FF000000"/>
        <rFont val="微软雅黑"/>
        <charset val="134"/>
      </rPr>
      <t>④如遇到清关查验，客户可以选择【按要求提交资料清关】或【销毁】。需要注意的是，一旦确认提交资料继续清关则不可再销毁，清关产生的费用需由发件人支付，具体费用清关后提供；若客户选择销毁则不收费。</t>
    </r>
  </si>
  <si>
    <r>
      <rPr>
        <sz val="11"/>
        <color rgb="FF000000"/>
        <rFont val="微软雅黑"/>
        <charset val="134"/>
      </rPr>
      <t>1、请如实申报，申报价值大于等于3美元，小于等于75美元。</t>
    </r>
    <r>
      <rPr>
        <sz val="11"/>
        <color rgb="FF000000"/>
        <rFont val="微软雅黑"/>
        <charset val="134"/>
      </rPr>
      <t xml:space="preserve">
</t>
    </r>
    <r>
      <rPr>
        <sz val="11"/>
        <color rgb="FF000000"/>
        <rFont val="微软雅黑"/>
        <charset val="134"/>
      </rPr>
      <t>2、同个批次同个收件人包裹建议不超过2件，且申报价值总计不能超过75美元，原因为同一收件人的货同时到达目的港会被海关合并计税，并要求提供相关资料清关，如因此种情况产生税费需发件人支付。</t>
    </r>
  </si>
  <si>
    <t>长*宽*高＜60*40*40cm</t>
  </si>
  <si>
    <r>
      <rPr>
        <sz val="11"/>
        <color rgb="FF000000"/>
        <rFont val="微软雅黑"/>
        <charset val="134"/>
      </rPr>
      <t>1. 末端当地派送到自提点，不送货上门。包裹在以色列境内转运前，末端会短信/邮件通知收件人运输信息，收件人可在通知中免费更改一次自提点位置，若收件人无选择，则以末端系统自动分配的自提点为准。包裹到达自提点以后会短信/邮件通知收件人自提，所以收件人的联系方式非常重要，需要提供格式正确且能接收短信通知的收件人电话，同时建议提供收件人邮箱。</t>
    </r>
    <r>
      <rPr>
        <sz val="11"/>
        <color rgb="FF000000"/>
        <rFont val="微软雅黑"/>
        <charset val="134"/>
      </rPr>
      <t xml:space="preserve">
</t>
    </r>
    <r>
      <rPr>
        <sz val="11"/>
        <color rgb="FF000000"/>
        <rFont val="微软雅黑"/>
        <charset val="134"/>
      </rPr>
      <t>2. 以色列手机号码规则： +972-00-0000000</t>
    </r>
    <r>
      <rPr>
        <sz val="11"/>
        <color rgb="FF000000"/>
        <rFont val="微软雅黑"/>
        <charset val="134"/>
      </rPr>
      <t xml:space="preserve">
</t>
    </r>
    <r>
      <rPr>
        <sz val="11"/>
        <color rgb="FF000000"/>
        <rFont val="微软雅黑"/>
        <charset val="134"/>
      </rPr>
      <t>1）972是以色列国家代码；中间2位数为区号，其中56、59是属于巴勒斯坦的手机区号，不被允许制单（056、059、0056、0059也不允许制单），其他可以支持制单，最后7位数字是具体号码。</t>
    </r>
    <r>
      <rPr>
        <sz val="11"/>
        <color rgb="FF000000"/>
        <rFont val="微软雅黑"/>
        <charset val="134"/>
      </rPr>
      <t xml:space="preserve">
</t>
    </r>
    <r>
      <rPr>
        <sz val="11"/>
        <color rgb="FF000000"/>
        <rFont val="微软雅黑"/>
        <charset val="134"/>
      </rPr>
      <t>2）除972国家代码后，前缀为（0）5041/ 5271/ 5276/ 5484/ 5485/ 5331/ 5341/ 5832/ 5567/ 5532为无法接收短信的号码，若提供此类联系号码，请务必同时提供邮箱，否则收件人无法凭通知信息前往自提点取件</t>
    </r>
  </si>
  <si>
    <r>
      <rPr>
        <sz val="11"/>
        <color rgb="FF000000"/>
        <rFont val="微软雅黑"/>
        <charset val="134"/>
      </rPr>
      <t xml:space="preserve">   </t>
    </r>
    <r>
      <rPr>
        <sz val="11"/>
        <color rgb="FF000000"/>
        <rFont val="微软雅黑"/>
        <charset val="134"/>
      </rPr>
      <t>无退回中国服务，有重派服务，包裹放入自提点14天/自提柜5-7天收件人还未取件，则退回海外仓存放2周,期间可以选择重派，最多可重派两次，重派费用每次收取60rmb/件 （重派费由发件人支付）,如果不选择重派将直接销毁，销毁费为0.5USD/件.</t>
    </r>
  </si>
  <si>
    <t>申报价值75美元以内免征关税</t>
  </si>
  <si>
    <t>10-16天</t>
  </si>
  <si>
    <t>申报价值＜280美金</t>
  </si>
  <si>
    <t>限重15kg</t>
  </si>
  <si>
    <t>无退回中国服务，可提供重派服务，重派费50RMB/件。</t>
  </si>
  <si>
    <t>所有发往约旦的包裹，根据申报价值向发件人收取10%的关税，关税最低收取53RMB/件，若超过53RMB的根据实际申报价值的10%收取。</t>
  </si>
  <si>
    <t>OM</t>
  </si>
  <si>
    <t>9-15天</t>
  </si>
  <si>
    <t>申报价值＜250美金</t>
  </si>
  <si>
    <t>限重20kg</t>
  </si>
  <si>
    <t>无退回中国服务，可提供重派服务，重派费0-5kg：40RMB/件，续重15RMB/kg。</t>
  </si>
  <si>
    <t>所有发往阿曼的包裹，根据申报价值向发件人收取5%的VAT以及清关手续费25元/件。</t>
  </si>
  <si>
    <t>申报价值＜245美金</t>
  </si>
  <si>
    <t>限重30kg</t>
  </si>
  <si>
    <t>无退回中国服务，可提供重派服务，重派费0-5kg 40RMB/件,续重20 RMB /kg。</t>
  </si>
  <si>
    <t>申报价值245美元以免征关税，向发件人收取50元/件的清关手续费。</t>
  </si>
  <si>
    <r>
      <rPr>
        <sz val="11"/>
        <color rgb="FF000000"/>
        <rFont val="微软雅黑"/>
        <charset val="134"/>
      </rPr>
      <t>1.禁寄品主要类别：古兰经、成人用品、对讲机、激光笔、手电筒、无人机、摄（照）像相关商品、警（军）用类商品、面具，圣诞及其周边产品、含GPS功能产品，涉赌产品、通讯设备、电子烟等，若涉及WIFI扩张器，WIFI路由等产品需要收件人提前申请CITC文件，如发送禁寄品会造成罚款(300-2000USD/件不等）或销毁处理等费用由客户承担。</t>
    </r>
    <r>
      <rPr>
        <sz val="11"/>
        <color rgb="FF000000"/>
        <rFont val="微软雅黑"/>
        <charset val="134"/>
      </rPr>
      <t xml:space="preserve">
</t>
    </r>
    <r>
      <rPr>
        <sz val="11"/>
        <color rgb="FF000000"/>
        <rFont val="微软雅黑"/>
        <charset val="134"/>
      </rPr>
      <t>2.单个包裹内件不超过5件（同个SKU不超过3件），否则可能会被海关判断为商业件导致清关异常并要求做海外退件，产生高额退件费。若超过限定数量造成的相关费用和损失由客户承担。</t>
    </r>
  </si>
  <si>
    <t>申报价值不能超过265美元；请如实申报，以免影响清关。</t>
  </si>
  <si>
    <t>尺寸限制：长*宽*高&lt;120cm*50cm*50cm</t>
  </si>
  <si>
    <r>
      <rPr>
        <sz val="11"/>
        <color rgb="FF000000"/>
        <rFont val="微软雅黑"/>
        <charset val="134"/>
      </rPr>
      <t>1.收件人名称必须是真实的个人姓名，也支持用英文字母填写的姓名，填写时确保姓氏和名字完整。</t>
    </r>
    <r>
      <rPr>
        <sz val="11"/>
        <color rgb="FF000000"/>
        <rFont val="微软雅黑"/>
        <charset val="134"/>
      </rPr>
      <t xml:space="preserve">
</t>
    </r>
    <r>
      <rPr>
        <sz val="11"/>
        <color rgb="FF000000"/>
        <rFont val="微软雅黑"/>
        <charset val="134"/>
      </rPr>
      <t>2.收件人电话需必填，格式为9位数，可填写国际区号“+966-”不能包含其他特殊字符。</t>
    </r>
    <r>
      <rPr>
        <sz val="11"/>
        <color rgb="FF000000"/>
        <rFont val="微软雅黑"/>
        <charset val="134"/>
      </rPr>
      <t xml:space="preserve">
</t>
    </r>
    <r>
      <rPr>
        <sz val="11"/>
        <color rgb="FF000000"/>
        <rFont val="微软雅黑"/>
        <charset val="134"/>
      </rPr>
      <t>3.收件人地址需准确且完整有街道号门牌号，邮编和城市洲省一致。</t>
    </r>
  </si>
  <si>
    <t>无退回中国服务，可提供重派服务，重派费：80元/件；退回海外仓15天内免仓租，逾期默认销毁。</t>
  </si>
  <si>
    <r>
      <rPr>
        <sz val="11"/>
        <color rgb="FF000000"/>
        <rFont val="微软雅黑"/>
        <charset val="134"/>
      </rPr>
      <t>1.向发件人预征收15%增值税（按申报价值），申报价值不能超过265美元；请如实申报，以免影响清关。</t>
    </r>
    <r>
      <rPr>
        <sz val="11"/>
        <color rgb="FF000000"/>
        <rFont val="微软雅黑"/>
        <charset val="134"/>
      </rPr>
      <t xml:space="preserve">
</t>
    </r>
    <r>
      <rPr>
        <sz val="11"/>
        <color rgb="FF000000"/>
        <rFont val="微软雅黑"/>
        <charset val="134"/>
      </rPr>
      <t>2.2025年3月12日起，新增向发件人收取34元/票的海关文件处理费。</t>
    </r>
    <r>
      <rPr>
        <sz val="11"/>
        <color rgb="FF000000"/>
        <rFont val="微软雅黑"/>
        <charset val="134"/>
      </rPr>
      <t xml:space="preserve">
</t>
    </r>
  </si>
  <si>
    <r>
      <rPr>
        <sz val="11"/>
        <color rgb="FF000000"/>
        <rFont val="微软雅黑"/>
        <charset val="134"/>
      </rPr>
      <t>一、根据土耳其海关最新要求及近期严查行动，现就货物出口至土耳其的重要事项通知如下，请务必严格遵守，以避免清关延误、罚款或其他法律风险：</t>
    </r>
    <r>
      <rPr>
        <sz val="11"/>
        <color rgb="FF000000"/>
        <rFont val="微软雅黑"/>
        <charset val="134"/>
      </rPr>
      <t xml:space="preserve">  </t>
    </r>
    <r>
      <rPr>
        <sz val="11"/>
        <color rgb="FF000000"/>
        <rFont val="微软雅黑"/>
        <charset val="134"/>
      </rPr>
      <t xml:space="preserve">
</t>
    </r>
    <r>
      <rPr>
        <sz val="11"/>
        <color rgb="FF000000"/>
        <rFont val="微软雅黑"/>
        <charset val="134"/>
      </rPr>
      <t>1、身份信息强制要求（2025年7月1日起生效）</t>
    </r>
    <r>
      <rPr>
        <sz val="11"/>
        <color rgb="FF000000"/>
        <rFont val="微软雅黑"/>
        <charset val="134"/>
      </rPr>
      <t xml:space="preserve">  </t>
    </r>
    <r>
      <rPr>
        <sz val="11"/>
        <color rgb="FF000000"/>
        <rFont val="微软雅黑"/>
        <charset val="134"/>
      </rPr>
      <t xml:space="preserve">
</t>
    </r>
    <r>
      <rPr>
        <sz val="11"/>
        <color rgb="FF000000"/>
        <rFont val="微软雅黑"/>
        <charset val="134"/>
      </rPr>
      <t>(1) ID信息必须有效且与收件人姓名一致，错误或无效信息将导致包裹无法清关并可能被罚款；</t>
    </r>
    <r>
      <rPr>
        <sz val="11"/>
        <color rgb="FF000000"/>
        <rFont val="微软雅黑"/>
        <charset val="134"/>
      </rPr>
      <t xml:space="preserve">  </t>
    </r>
    <r>
      <rPr>
        <sz val="11"/>
        <color rgb="FF000000"/>
        <rFont val="微软雅黑"/>
        <charset val="134"/>
      </rPr>
      <t xml:space="preserve">
</t>
    </r>
    <r>
      <rPr>
        <sz val="11"/>
        <color rgb="FF000000"/>
        <rFont val="微软雅黑"/>
        <charset val="134"/>
      </rPr>
      <t>(2) 2025年7月1日起，包裹出运后不可后补或修改相关申报信息，请务必在发货前严格核对；</t>
    </r>
    <r>
      <rPr>
        <sz val="11"/>
        <color rgb="FF000000"/>
        <rFont val="微软雅黑"/>
        <charset val="134"/>
      </rPr>
      <t xml:space="preserve">  </t>
    </r>
    <r>
      <rPr>
        <sz val="11"/>
        <color rgb="FF000000"/>
        <rFont val="微软雅黑"/>
        <charset val="134"/>
      </rPr>
      <t xml:space="preserve">
</t>
    </r>
    <r>
      <rPr>
        <sz val="11"/>
        <color rgb="FF000000"/>
        <rFont val="微软雅黑"/>
        <charset val="134"/>
      </rPr>
      <t>(3) 近期已发生多起因收件人ID不符或无效导致的扣关案例，请立即核查所有订单，确保信息准确。</t>
    </r>
    <r>
      <rPr>
        <sz val="11"/>
        <color rgb="FF000000"/>
        <rFont val="微软雅黑"/>
        <charset val="134"/>
      </rPr>
      <t xml:space="preserve">  </t>
    </r>
    <r>
      <rPr>
        <sz val="11"/>
        <color rgb="FF000000"/>
        <rFont val="微软雅黑"/>
        <charset val="134"/>
      </rPr>
      <t xml:space="preserve">
</t>
    </r>
    <r>
      <rPr>
        <sz val="11"/>
        <color rgb="FF000000"/>
        <rFont val="微软雅黑"/>
        <charset val="134"/>
      </rPr>
      <t>2、土耳其海关严查申报合规性</t>
    </r>
    <r>
      <rPr>
        <sz val="11"/>
        <color rgb="FF000000"/>
        <rFont val="微软雅黑"/>
        <charset val="134"/>
      </rPr>
      <t xml:space="preserve">  </t>
    </r>
    <r>
      <rPr>
        <sz val="11"/>
        <color rgb="FF000000"/>
        <rFont val="微软雅黑"/>
        <charset val="134"/>
      </rPr>
      <t xml:space="preserve">
</t>
    </r>
    <r>
      <rPr>
        <sz val="11"/>
        <color rgb="FF000000"/>
        <rFont val="微软雅黑"/>
        <charset val="134"/>
      </rPr>
      <t>接土耳其海关通报，近期发现多起恶意欺诈申报行为：同一收件人ID下申报的包裹，存在对应不同多个收件人名字及地址等信息。海关明确认定此为故意欺骗海关、挑战执法底线的违法行为，涉事企业/个人将面临：</t>
    </r>
    <r>
      <rPr>
        <sz val="11"/>
        <color rgb="FF000000"/>
        <rFont val="微软雅黑"/>
        <charset val="134"/>
      </rPr>
      <t xml:space="preserve">
</t>
    </r>
    <r>
      <rPr>
        <sz val="11"/>
        <color rgb="FF000000"/>
        <rFont val="微软雅黑"/>
        <charset val="134"/>
      </rPr>
      <t>①高额罚金：每单虚假申报的罚金不低于1000美元/姓名，且上不封顶。</t>
    </r>
    <r>
      <rPr>
        <sz val="11"/>
        <color rgb="FF000000"/>
        <rFont val="微软雅黑"/>
        <charset val="134"/>
      </rPr>
      <t xml:space="preserve">
</t>
    </r>
    <r>
      <rPr>
        <sz val="11"/>
        <color rgb="FF000000"/>
        <rFont val="微软雅黑"/>
        <charset val="134"/>
      </rPr>
      <t>②历史追溯：海关可能将彻底核查涉事ID及关联姓名所有历史申报记录，若发现异常，可能追加高价罚单。</t>
    </r>
    <r>
      <rPr>
        <sz val="11"/>
        <color rgb="FF000000"/>
        <rFont val="微软雅黑"/>
        <charset val="134"/>
      </rPr>
      <t xml:space="preserve">
</t>
    </r>
    <r>
      <rPr>
        <sz val="11"/>
        <color rgb="FF000000"/>
        <rFont val="微软雅黑"/>
        <charset val="134"/>
      </rPr>
      <t>任何形式的申报信息欺诈（包括但不限于ID重复使用、收件人/地址不实）均属违法行为。制单时请确保所有申报资料和信息绝对真实。若因提供虚假信息导致损失，一切责任由发件人自行承担！</t>
    </r>
    <r>
      <rPr>
        <sz val="11"/>
        <color rgb="FF000000"/>
        <rFont val="微软雅黑"/>
        <charset val="134"/>
      </rPr>
      <t xml:space="preserve">  </t>
    </r>
    <r>
      <rPr>
        <sz val="11"/>
        <color rgb="FF000000"/>
        <rFont val="微软雅黑"/>
        <charset val="134"/>
      </rPr>
      <t xml:space="preserve">
</t>
    </r>
    <r>
      <rPr>
        <sz val="11"/>
        <color rgb="FF000000"/>
        <rFont val="微软雅黑"/>
        <charset val="134"/>
      </rPr>
      <t xml:space="preserve">(1) 虚报/低报货物价值：涉事卖家被列入走私调查名单。请如实申报商品价值、商品件数、HSCODE、申报品名、用途；建议按销售链接中的SKU描述来申报，不接受笼统的申报品名。不接受如tools、toy、sample、kit、accessories等笼统品名 </t>
    </r>
    <r>
      <rPr>
        <sz val="11"/>
        <color rgb="FF000000"/>
        <rFont val="微软雅黑"/>
        <charset val="134"/>
      </rPr>
      <t xml:space="preserve">
</t>
    </r>
    <r>
      <rPr>
        <sz val="11"/>
        <color rgb="FF000000"/>
        <rFont val="微软雅黑"/>
        <charset val="134"/>
      </rPr>
      <t>(2) 收件人信息雷同（如批量使用相同ID或姓名）；</t>
    </r>
    <r>
      <rPr>
        <sz val="11"/>
        <color rgb="FF000000"/>
        <rFont val="微软雅黑"/>
        <charset val="134"/>
      </rPr>
      <t xml:space="preserve">  </t>
    </r>
    <r>
      <rPr>
        <sz val="11"/>
        <color rgb="FF000000"/>
        <rFont val="微软雅黑"/>
        <charset val="134"/>
      </rPr>
      <t xml:space="preserve">
</t>
    </r>
    <r>
      <rPr>
        <sz val="11"/>
        <color rgb="FF000000"/>
        <rFont val="微软雅黑"/>
        <charset val="134"/>
      </rPr>
      <t>(3) 瞒报、漏报或冲货（商品品类、数量与申报不符）；</t>
    </r>
    <r>
      <rPr>
        <sz val="11"/>
        <color rgb="FF000000"/>
        <rFont val="微软雅黑"/>
        <charset val="134"/>
      </rPr>
      <t xml:space="preserve">  </t>
    </r>
    <r>
      <rPr>
        <sz val="11"/>
        <color rgb="FF000000"/>
        <rFont val="微软雅黑"/>
        <charset val="134"/>
      </rPr>
      <t xml:space="preserve">
</t>
    </r>
    <r>
      <rPr>
        <sz val="11"/>
        <color rgb="FF000000"/>
        <rFont val="微软雅黑"/>
        <charset val="134"/>
      </rPr>
      <t>(4) 涉及侵权的商品（如仿牌、盗版商品、未经授权的专利产品等知识产权侵权商品）。</t>
    </r>
    <r>
      <rPr>
        <sz val="11"/>
        <color rgb="FF000000"/>
        <rFont val="微软雅黑"/>
        <charset val="134"/>
      </rPr>
      <t xml:space="preserve">  </t>
    </r>
    <r>
      <rPr>
        <sz val="11"/>
        <color rgb="FF000000"/>
        <rFont val="微软雅黑"/>
        <charset val="134"/>
      </rPr>
      <t xml:space="preserve">
</t>
    </r>
    <r>
      <rPr>
        <sz val="11"/>
        <color rgb="FF000000"/>
        <rFont val="微软雅黑"/>
        <charset val="134"/>
      </rPr>
      <t xml:space="preserve">请各位客户严格核对收件人姓名与ID，确保真实、唯一且匹配；如实申报商品信息、数量及价值，禁止任何形式的低报或瞒报。 </t>
    </r>
    <r>
      <rPr>
        <sz val="11"/>
        <color rgb="FF000000"/>
        <rFont val="微软雅黑"/>
        <charset val="134"/>
      </rPr>
      <t xml:space="preserve">
</t>
    </r>
    <r>
      <rPr>
        <sz val="11"/>
        <color rgb="FF000000"/>
        <rFont val="微软雅黑"/>
        <charset val="134"/>
      </rPr>
      <t xml:space="preserve">我司不承担因海关查扣、罚款或法律纠纷导致的任何责任，并保留向违规卖家追偿损失的权利。土耳其海关执法严格，违规可能导致时效延误、货物扣关、高额罚款甚至法律风险，请务必重视！ </t>
    </r>
    <r>
      <rPr>
        <sz val="11"/>
        <color rgb="FF000000"/>
        <rFont val="微软雅黑"/>
        <charset val="134"/>
      </rPr>
      <t xml:space="preserve">
</t>
    </r>
    <r>
      <rPr>
        <sz val="11"/>
        <color rgb="FF000000"/>
        <rFont val="微软雅黑"/>
        <charset val="134"/>
      </rPr>
      <t>温馨提示：土耳其海关已加强数据交叉核验，切勿存侥幸心理！谢谢你的理解与配合。</t>
    </r>
    <r>
      <rPr>
        <sz val="11"/>
        <color rgb="FF000000"/>
        <rFont val="微软雅黑"/>
        <charset val="134"/>
      </rPr>
      <t xml:space="preserve">
</t>
    </r>
    <r>
      <rPr>
        <sz val="11"/>
        <color rgb="FF000000"/>
        <rFont val="微软雅黑"/>
        <charset val="134"/>
      </rPr>
      <t>二、自2024年10月10日起，我司土耳其产品税率统一调整为65%。</t>
    </r>
    <r>
      <rPr>
        <sz val="11"/>
        <color rgb="FF000000"/>
        <rFont val="微软雅黑"/>
        <charset val="134"/>
      </rPr>
      <t xml:space="preserve">
</t>
    </r>
    <r>
      <rPr>
        <sz val="11"/>
        <color rgb="FF000000"/>
        <rFont val="微软雅黑"/>
        <charset val="134"/>
      </rPr>
      <t>三、根据土耳其海关相关条例规定，每人每月只能从海外收到5件包裹。收件单位必须是个人，不能用作商业用途，建议包裹内物品不要超过3件（最终按照海关认定的合理物品数量为准）。每个包裹内件数量过多若被海关判定为商业用途，需收货人自行清关，配合提供海关所需资料清关，会造成额外的杂费及补罚税费；如在海关销毁会产生销毁费用，销毁费100元/件，该费用由发件人承担。</t>
    </r>
    <r>
      <rPr>
        <sz val="11"/>
        <color rgb="FF000000"/>
        <rFont val="微软雅黑"/>
        <charset val="134"/>
      </rPr>
      <t xml:space="preserve">
</t>
    </r>
    <r>
      <rPr>
        <sz val="11"/>
        <color rgb="FF000000"/>
        <rFont val="微软雅黑"/>
        <charset val="134"/>
      </rPr>
      <t>四、土耳其海关要求身份证ID必填，自2022年2月10日起，请务必在CPF/CNPJ/EORI字段栏填写收件人身份证ID或居住证ID，正确格式为11位纯数字（举例：01234567890）最后一位必须是偶数0/2/4/6/8，且收件人姓名需和身份证ID一一对应，以便海关核查并快速清关。</t>
    </r>
    <r>
      <rPr>
        <sz val="11"/>
        <color rgb="FF000000"/>
        <rFont val="微软雅黑"/>
        <charset val="134"/>
      </rPr>
      <t xml:space="preserve">
</t>
    </r>
    <r>
      <rPr>
        <sz val="11"/>
        <color rgb="FF000000"/>
        <rFont val="微软雅黑"/>
        <charset val="134"/>
      </rPr>
      <t>五、收件人姓名要求：</t>
    </r>
    <r>
      <rPr>
        <sz val="11"/>
        <color rgb="FF000000"/>
        <rFont val="微软雅黑"/>
        <charset val="134"/>
      </rPr>
      <t xml:space="preserve">
</t>
    </r>
    <r>
      <rPr>
        <sz val="11"/>
        <color rgb="FF000000"/>
        <rFont val="微软雅黑"/>
        <charset val="134"/>
      </rPr>
      <t>1、 如果同时有公司名和收件人姓名请不要颠倒位置，要确保字段对应。</t>
    </r>
    <r>
      <rPr>
        <sz val="11"/>
        <color rgb="FF000000"/>
        <rFont val="微软雅黑"/>
        <charset val="134"/>
      </rPr>
      <t xml:space="preserve">
</t>
    </r>
    <r>
      <rPr>
        <sz val="11"/>
        <color rgb="FF000000"/>
        <rFont val="微软雅黑"/>
        <charset val="134"/>
      </rPr>
      <t>2、 收件人姓名字词数量限制，字词数最少2个，最多4个。举例：Steven Yuan (2个字词)，Steven Yuan Addy Rao (4个字词)；</t>
    </r>
    <r>
      <rPr>
        <sz val="11"/>
        <color rgb="FF000000"/>
        <rFont val="微软雅黑"/>
        <charset val="134"/>
      </rPr>
      <t xml:space="preserve">
</t>
    </r>
    <r>
      <rPr>
        <sz val="11"/>
        <color rgb="FF000000"/>
        <rFont val="微软雅黑"/>
        <charset val="134"/>
      </rPr>
      <t>3、不要写公司或机构名称，必须是完整的名+姓，只能包含土耳其和英文。除了公司外，诸如医院，学校、商店等公共、商业机构等也不可作为姓名。一般有Ltd、STi、TAS.、Tic 、AS、SAN VE字样的是公司名称。</t>
    </r>
    <r>
      <rPr>
        <sz val="11"/>
        <color rgb="FF000000"/>
        <rFont val="微软雅黑"/>
        <charset val="134"/>
      </rPr>
      <t xml:space="preserve">
</t>
    </r>
    <r>
      <rPr>
        <sz val="11"/>
        <color rgb="FF000000"/>
        <rFont val="微软雅黑"/>
        <charset val="134"/>
      </rPr>
      <t>4、收件人不能包含以下关键词：Ltd，ŞTİ，TAŞ.，TİC ，AŞ，SAN VE，adresi，adres，adresim，ev1，grup，co，store，depo，mobile，sti，teknoloji，limited，ltd，group，technology，ev，iş adresi，Ev adresim，İş Yeri，iş。</t>
    </r>
    <r>
      <rPr>
        <sz val="11"/>
        <color rgb="FF000000"/>
        <rFont val="微软雅黑"/>
        <charset val="134"/>
      </rPr>
      <t xml:space="preserve">
</t>
    </r>
    <r>
      <rPr>
        <sz val="11"/>
        <color rgb="FF000000"/>
        <rFont val="微软雅黑"/>
        <charset val="134"/>
      </rPr>
      <t>六、禁运</t>
    </r>
    <r>
      <rPr>
        <sz val="11"/>
        <color rgb="FF000000"/>
        <rFont val="微软雅黑"/>
        <charset val="134"/>
      </rPr>
      <t xml:space="preserve">
</t>
    </r>
    <r>
      <rPr>
        <sz val="11"/>
        <color rgb="FF000000"/>
        <rFont val="微软雅黑"/>
        <charset val="134"/>
      </rPr>
      <t>1、禁止发手机、平板电脑、仿牌等侵权产品、仿外形产品、对讲机、无人机（如是飞行玩具，申报品名注意不要写无人机/drone相关字样。）等含通讯功能的电子产品、化妆品和个人护理用品、食品、药品、鲜活、羽毛禽兽、动植物及其种子类、电子烟、身份证、护照等证件、琥珀化石、树脂化石类、黄金、珠宝、光碟、成人用品、涉及宗教类物品、野营工具(各类打火石，如镁棒)。</t>
    </r>
    <r>
      <rPr>
        <sz val="11"/>
        <color rgb="FF000000"/>
        <rFont val="微软雅黑"/>
        <charset val="134"/>
      </rPr>
      <t xml:space="preserve">
</t>
    </r>
    <r>
      <rPr>
        <sz val="11"/>
        <color rgb="FF000000"/>
        <rFont val="微软雅黑"/>
        <charset val="134"/>
      </rPr>
      <t>2、内置电池：每个小包最多能装4个锂电池芯或者2个锂电池，燃料电池，充电宝/移动电源/湿电池等纯电产品不可发；</t>
    </r>
    <r>
      <rPr>
        <sz val="11"/>
        <color rgb="FF000000"/>
        <rFont val="微软雅黑"/>
        <charset val="134"/>
      </rPr>
      <t xml:space="preserve">
</t>
    </r>
    <r>
      <rPr>
        <sz val="11"/>
        <color rgb="FF000000"/>
        <rFont val="微软雅黑"/>
        <charset val="134"/>
      </rPr>
      <t>3、刀具：刀刃不超过15cm,刀具上无弹簧装置，包装适合运输可走货；</t>
    </r>
    <r>
      <rPr>
        <sz val="11"/>
        <color rgb="FF000000"/>
        <rFont val="微软雅黑"/>
        <charset val="134"/>
      </rPr>
      <t xml:space="preserve">
</t>
    </r>
    <r>
      <rPr>
        <sz val="11"/>
        <color rgb="FF000000"/>
        <rFont val="微软雅黑"/>
        <charset val="134"/>
      </rPr>
      <t>4、武器(如弩，可伸长的接力棒，电动眩晕枪，电击装置/武器，玩具枪，空气枪，狼牙棒）/电子烟（雪茄，香烟，打火机）/夹背电池手机壳/压缩气体（如香水，头发喷雾剂，气体钢瓶）/各种含液体的产品（如指甲油，身体乳液）不可运输,尖锐的武器形状的危险品（如鱼叉）不可走。</t>
    </r>
    <r>
      <rPr>
        <sz val="11"/>
        <color rgb="FF000000"/>
        <rFont val="微软雅黑"/>
        <charset val="134"/>
      </rPr>
      <t xml:space="preserve">
</t>
    </r>
    <r>
      <rPr>
        <sz val="11"/>
        <color rgb="FF000000"/>
        <rFont val="微软雅黑"/>
        <charset val="134"/>
      </rPr>
      <t>5、不可发GPS产品（GPS产品进口土耳其会加收18欧元附加费，外加征收50%关税）。</t>
    </r>
    <r>
      <rPr>
        <sz val="11"/>
        <color rgb="FF000000"/>
        <rFont val="微软雅黑"/>
        <charset val="134"/>
      </rPr>
      <t xml:space="preserve">
</t>
    </r>
    <r>
      <rPr>
        <sz val="11"/>
        <color rgb="FF000000"/>
        <rFont val="微软雅黑"/>
        <charset val="134"/>
      </rPr>
      <t>6、可发智能/数字手表（智能/数字手表产品进口土耳其需征收14%印花税）。</t>
    </r>
    <r>
      <rPr>
        <sz val="11"/>
        <color rgb="FF000000"/>
        <rFont val="微软雅黑"/>
        <charset val="134"/>
      </rPr>
      <t xml:space="preserve">
</t>
    </r>
    <r>
      <rPr>
        <sz val="11"/>
        <color rgb="FF000000"/>
        <rFont val="微软雅黑"/>
        <charset val="134"/>
      </rPr>
      <t>七、计泡规则说明</t>
    </r>
    <r>
      <rPr>
        <sz val="11"/>
        <color rgb="FF000000"/>
        <rFont val="微软雅黑"/>
        <charset val="134"/>
      </rPr>
      <t xml:space="preserve">
</t>
    </r>
    <r>
      <rPr>
        <sz val="11"/>
        <color rgb="FF000000"/>
        <rFont val="微软雅黑"/>
        <charset val="134"/>
      </rPr>
      <t>暂时取消所有软包装、硬包装0-2公斤泡重/实重小于1.5倍不计泡优惠。调整为不区分软硬包装，所有包裹0-10公斤全重量段，当泡重/实重小于或等于2倍时免泡，继续按实重计费，如果泡重/实重大于2倍则按照泡重计费；泡重系数8000保持不变，泡重=长*宽*高/8000</t>
    </r>
    <r>
      <rPr>
        <sz val="11"/>
        <color rgb="FF000000"/>
        <rFont val="微软雅黑"/>
        <charset val="134"/>
      </rPr>
      <t xml:space="preserve">
</t>
    </r>
  </si>
  <si>
    <r>
      <rPr>
        <sz val="11"/>
        <color rgb="FF000000"/>
        <rFont val="微软雅黑"/>
        <charset val="134"/>
      </rPr>
      <t>申报价值限制调整如下：</t>
    </r>
    <r>
      <rPr>
        <sz val="11"/>
        <color rgb="FF000000"/>
        <rFont val="微软雅黑"/>
        <charset val="134"/>
      </rPr>
      <t xml:space="preserve">
</t>
    </r>
    <r>
      <rPr>
        <sz val="11"/>
        <color rgb="FF000000"/>
        <rFont val="微软雅黑"/>
        <charset val="134"/>
      </rPr>
      <t xml:space="preserve">        </t>
    </r>
    <r>
      <rPr>
        <sz val="11"/>
        <color rgb="FF000000"/>
        <rFont val="微软雅黑"/>
        <charset val="134"/>
      </rPr>
      <t>0-1KG：</t>
    </r>
    <r>
      <rPr>
        <sz val="11"/>
        <color rgb="FF000000"/>
        <rFont val="微软雅黑"/>
        <charset val="134"/>
      </rPr>
      <t xml:space="preserve"> </t>
    </r>
    <r>
      <rPr>
        <sz val="11"/>
        <color rgb="FF000000"/>
        <rFont val="微软雅黑"/>
        <charset val="134"/>
      </rPr>
      <t>≥5美金/件</t>
    </r>
    <r>
      <rPr>
        <sz val="11"/>
        <color rgb="FF000000"/>
        <rFont val="微软雅黑"/>
        <charset val="134"/>
      </rPr>
      <t xml:space="preserve">
</t>
    </r>
    <r>
      <rPr>
        <sz val="11"/>
        <color rgb="FF000000"/>
        <rFont val="微软雅黑"/>
        <charset val="134"/>
      </rPr>
      <t>1.001-2KG： ≥10美金/件</t>
    </r>
    <r>
      <rPr>
        <sz val="11"/>
        <color rgb="FF000000"/>
        <rFont val="微软雅黑"/>
        <charset val="134"/>
      </rPr>
      <t xml:space="preserve">
</t>
    </r>
    <r>
      <rPr>
        <sz val="11"/>
        <color rgb="FF000000"/>
        <rFont val="微软雅黑"/>
        <charset val="134"/>
      </rPr>
      <t>2.001-3KG： ≥20.5美金/件</t>
    </r>
    <r>
      <rPr>
        <sz val="11"/>
        <color rgb="FF000000"/>
        <rFont val="微软雅黑"/>
        <charset val="134"/>
      </rPr>
      <t xml:space="preserve">
</t>
    </r>
    <r>
      <rPr>
        <sz val="11"/>
        <color rgb="FF000000"/>
        <rFont val="微软雅黑"/>
        <charset val="134"/>
      </rPr>
      <t>3.001-5KG： ≥25美金/件</t>
    </r>
    <r>
      <rPr>
        <sz val="11"/>
        <color rgb="FF000000"/>
        <rFont val="微软雅黑"/>
        <charset val="134"/>
      </rPr>
      <t xml:space="preserve">
</t>
    </r>
    <r>
      <rPr>
        <sz val="11"/>
        <color rgb="FF000000"/>
        <rFont val="微软雅黑"/>
        <charset val="134"/>
      </rPr>
      <t>5.001-10KG:</t>
    </r>
    <r>
      <rPr>
        <sz val="11"/>
        <color rgb="FF000000"/>
        <rFont val="微软雅黑"/>
        <charset val="134"/>
      </rPr>
      <t xml:space="preserve">  </t>
    </r>
    <r>
      <rPr>
        <sz val="11"/>
        <color rgb="FF000000"/>
        <rFont val="微软雅黑"/>
        <charset val="134"/>
      </rPr>
      <t>≥30美金/件</t>
    </r>
    <r>
      <rPr>
        <sz val="11"/>
        <color rgb="FF000000"/>
        <rFont val="微软雅黑"/>
        <charset val="134"/>
      </rPr>
      <t xml:space="preserve">
</t>
    </r>
    <r>
      <rPr>
        <sz val="11"/>
        <color rgb="FF000000"/>
        <rFont val="微软雅黑"/>
        <charset val="134"/>
      </rPr>
      <t>请特别注意，申报总价值应包含产品货值+运费，若未如实准确申报，由此带来的查验及相关额外罚款由客户自行承担。</t>
    </r>
    <r>
      <rPr>
        <sz val="11"/>
        <color rgb="FF000000"/>
        <rFont val="微软雅黑"/>
        <charset val="134"/>
      </rPr>
      <t xml:space="preserve">
</t>
    </r>
    <r>
      <rPr>
        <sz val="11"/>
        <color rgb="FF000000"/>
        <rFont val="微软雅黑"/>
        <charset val="134"/>
      </rPr>
      <t>自土耳其税改政策执行以来，海关对货物申报价值合规性的查验力度逐步加强</t>
    </r>
    <r>
      <rPr>
        <sz val="11"/>
        <color rgb="FF000000"/>
        <rFont val="微软雅黑"/>
        <charset val="134"/>
      </rPr>
      <t xml:space="preserve">
</t>
    </r>
    <r>
      <rPr>
        <sz val="11"/>
        <color rgb="FF000000"/>
        <rFont val="微软雅黑"/>
        <charset val="134"/>
      </rPr>
      <t>请务必注意以下事项：</t>
    </r>
    <r>
      <rPr>
        <sz val="11"/>
        <color rgb="FF000000"/>
        <rFont val="微软雅黑"/>
        <charset val="134"/>
      </rPr>
      <t xml:space="preserve">
</t>
    </r>
    <r>
      <rPr>
        <sz val="11"/>
        <color rgb="FF000000"/>
        <rFont val="微软雅黑"/>
        <charset val="134"/>
      </rPr>
      <t>1. 所有货物必须按照实际价值进行如实申报，申报总价值应包含产品货值+运费，总价值不超过30美金（＜30欧元）。</t>
    </r>
    <r>
      <rPr>
        <sz val="11"/>
        <color rgb="FF000000"/>
        <rFont val="微软雅黑"/>
        <charset val="134"/>
      </rPr>
      <t xml:space="preserve">
</t>
    </r>
    <r>
      <rPr>
        <sz val="11"/>
        <color rgb="FF000000"/>
        <rFont val="微软雅黑"/>
        <charset val="134"/>
      </rPr>
      <t>2. 海关将严格核查申报价值与销售链接（sales link）的一致性。</t>
    </r>
    <r>
      <rPr>
        <sz val="11"/>
        <color rgb="FF000000"/>
        <rFont val="微软雅黑"/>
        <charset val="134"/>
      </rPr>
      <t xml:space="preserve">
</t>
    </r>
    <r>
      <rPr>
        <sz val="11"/>
        <color rgb="FF000000"/>
        <rFont val="微软雅黑"/>
        <charset val="134"/>
      </rPr>
      <t>3. 系统申报价值必须与实际货物价值完全相符。</t>
    </r>
    <r>
      <rPr>
        <sz val="11"/>
        <color rgb="FF000000"/>
        <rFont val="微软雅黑"/>
        <charset val="134"/>
      </rPr>
      <t xml:space="preserve">
</t>
    </r>
    <r>
      <rPr>
        <sz val="11"/>
        <color rgb="FF000000"/>
        <rFont val="微软雅黑"/>
        <charset val="134"/>
      </rPr>
      <t>4. 此前低报的包裹，海关认为涉嫌逃税及走私行为，并已正式立案处理。</t>
    </r>
    <r>
      <rPr>
        <sz val="11"/>
        <color rgb="FF000000"/>
        <rFont val="微软雅黑"/>
        <charset val="134"/>
      </rPr>
      <t xml:space="preserve">
</t>
    </r>
    <r>
      <rPr>
        <sz val="11"/>
        <color rgb="FF000000"/>
        <rFont val="微软雅黑"/>
        <charset val="134"/>
      </rPr>
      <t>5. 如发现包裹申报价值存在问题，由此带来的查验及相关额外罚款由客户自行承担，并且后续我司将暂停接收相关包裹。</t>
    </r>
  </si>
  <si>
    <t>单边&lt; 50cm，长+宽+高&lt; 150cm</t>
  </si>
  <si>
    <r>
      <rPr>
        <sz val="11"/>
        <color rgb="FF000000"/>
        <rFont val="微软雅黑"/>
        <charset val="134"/>
      </rPr>
      <t>1.不支持北塞浦路斯，其不属于土耳其境内范围。</t>
    </r>
    <r>
      <rPr>
        <sz val="11"/>
        <color rgb="FF000000"/>
        <rFont val="微软雅黑"/>
        <charset val="134"/>
      </rPr>
      <t xml:space="preserve">
</t>
    </r>
  </si>
  <si>
    <t>无退回中国服务，派送不成功，会退回到土耳其当地中转仓，会免费保存14天，可提供重派服务，重派费：25元/件，逾期默认销毁，销毁免费。</t>
  </si>
  <si>
    <t>0起征，按照申报价值的65%统一向发件人收取。</t>
  </si>
  <si>
    <t>4-13天</t>
  </si>
  <si>
    <t>申报价值小于等于39美元</t>
  </si>
  <si>
    <t>长+宽+高≤300cm，最长边≤100cm</t>
  </si>
  <si>
    <t>签收超过7天后不再接受开查和申请签收证明</t>
  </si>
  <si>
    <t>重派费用20元/票</t>
  </si>
  <si>
    <r>
      <rPr>
        <sz val="11"/>
        <color rgb="FF000000"/>
        <rFont val="微软雅黑"/>
        <charset val="134"/>
      </rPr>
      <t>燕文越南专线产品将于3月3日起对于申报价值小于40美金的商品免收取10%增值税。</t>
    </r>
    <r>
      <rPr>
        <sz val="11"/>
        <color rgb="FF000000"/>
        <rFont val="微软雅黑"/>
        <charset val="134"/>
      </rPr>
      <t xml:space="preserve">
</t>
    </r>
    <r>
      <rPr>
        <sz val="11"/>
        <color rgb="FF000000"/>
        <rFont val="微软雅黑"/>
        <charset val="134"/>
      </rPr>
      <t>申报价值大于等于40美金的商品，收取关税+增值税。关税收费标准依据不同品类税率收取，实报实销。</t>
    </r>
  </si>
  <si>
    <t>AO</t>
  </si>
  <si>
    <t>13-15天</t>
  </si>
  <si>
    <r>
      <rPr>
        <sz val="11"/>
        <color rgb="FF000000"/>
        <rFont val="微软雅黑"/>
        <charset val="134"/>
      </rPr>
      <t>禁运品主要类别：</t>
    </r>
    <r>
      <rPr>
        <sz val="11"/>
        <color rgb="FF000000"/>
        <rFont val="微软雅黑"/>
        <charset val="134"/>
      </rPr>
      <t xml:space="preserve">
</t>
    </r>
    <r>
      <rPr>
        <sz val="11"/>
        <color rgb="FF000000"/>
        <rFont val="微软雅黑"/>
        <charset val="134"/>
      </rPr>
      <t>1.仿牌，纯电，烟草（含电子烟）刀具，打火机，液体，粉末，膏状体，食品，医疗器械，毒品，军火（如武器、枪支、弹药） 动物、植物以及植物种子;货币，有价证券, 药品及各类化学制品，不雅物品，宗教及政治宣传品；</t>
    </r>
    <r>
      <rPr>
        <sz val="11"/>
        <color rgb="FF000000"/>
        <rFont val="微软雅黑"/>
        <charset val="134"/>
      </rPr>
      <t xml:space="preserve">
</t>
    </r>
    <r>
      <rPr>
        <sz val="11"/>
        <color rgb="FF000000"/>
        <rFont val="微软雅黑"/>
        <charset val="134"/>
      </rPr>
      <t>2.隐私类用品：录音笔,GPS定位器,无人机等；</t>
    </r>
    <r>
      <rPr>
        <sz val="11"/>
        <color rgb="FF000000"/>
        <rFont val="微软雅黑"/>
        <charset val="134"/>
      </rPr>
      <t xml:space="preserve">
</t>
    </r>
    <r>
      <rPr>
        <sz val="11"/>
        <color rgb="FF000000"/>
        <rFont val="微软雅黑"/>
        <charset val="134"/>
      </rPr>
      <t xml:space="preserve">3.配套电池：包括独立锂电池、纽扣锂电池、充电宝 </t>
    </r>
    <r>
      <rPr>
        <sz val="11"/>
        <color rgb="FF000000"/>
        <rFont val="微软雅黑"/>
        <charset val="134"/>
      </rPr>
      <t xml:space="preserve">
</t>
    </r>
    <r>
      <rPr>
        <sz val="11"/>
        <color rgb="FF000000"/>
        <rFont val="微软雅黑"/>
        <charset val="134"/>
      </rPr>
      <t>4.磁性/电子产品：例如 车载手机座、冰箱贴、指南针、记忆卡、U盘等</t>
    </r>
    <r>
      <rPr>
        <sz val="11"/>
        <color rgb="FF000000"/>
        <rFont val="微软雅黑"/>
        <charset val="134"/>
      </rPr>
      <t xml:space="preserve">
</t>
    </r>
    <r>
      <rPr>
        <sz val="11"/>
        <color rgb="FF000000"/>
        <rFont val="微软雅黑"/>
        <charset val="134"/>
      </rPr>
      <t>5.高价值货品：例如 手机,笔记本电脑,平板电脑,照相机</t>
    </r>
    <r>
      <rPr>
        <sz val="11"/>
        <color rgb="FF000000"/>
        <rFont val="微软雅黑"/>
        <charset val="134"/>
      </rPr>
      <t xml:space="preserve">
</t>
    </r>
    <r>
      <rPr>
        <sz val="11"/>
        <color rgb="FF000000"/>
        <rFont val="微软雅黑"/>
        <charset val="134"/>
      </rPr>
      <t>6.假发</t>
    </r>
    <r>
      <rPr>
        <sz val="11"/>
        <color rgb="FF000000"/>
        <rFont val="微软雅黑"/>
        <charset val="134"/>
      </rPr>
      <t xml:space="preserve">
</t>
    </r>
    <r>
      <rPr>
        <sz val="11"/>
        <color rgb="FF000000"/>
        <rFont val="微软雅黑"/>
        <charset val="134"/>
      </rPr>
      <t>提示：</t>
    </r>
    <r>
      <rPr>
        <sz val="11"/>
        <color rgb="FF000000"/>
        <rFont val="微软雅黑"/>
        <charset val="134"/>
      </rPr>
      <t xml:space="preserve">
</t>
    </r>
    <r>
      <rPr>
        <sz val="11"/>
        <color rgb="FF000000"/>
        <rFont val="微软雅黑"/>
        <charset val="134"/>
      </rPr>
      <t>1.如果发现实际发运货物包含禁运品类，需发件人支付额外附加费，附加费参考标准为100元/KG；具体需要以尾程产生费用为准。</t>
    </r>
    <r>
      <rPr>
        <sz val="11"/>
        <color rgb="FF000000"/>
        <rFont val="微软雅黑"/>
        <charset val="134"/>
      </rPr>
      <t xml:space="preserve">
</t>
    </r>
    <r>
      <rPr>
        <sz val="11"/>
        <color rgb="FF000000"/>
        <rFont val="微软雅黑"/>
        <charset val="134"/>
      </rPr>
      <t>2.正常签收的包裹若存在异常，需在签收后10个自然日内反馈情况，逾期则视为自动放弃。</t>
    </r>
    <r>
      <rPr>
        <sz val="11"/>
        <color rgb="FF000000"/>
        <rFont val="微软雅黑"/>
        <charset val="134"/>
      </rPr>
      <t xml:space="preserve">
</t>
    </r>
  </si>
  <si>
    <t>限重2kg</t>
  </si>
  <si>
    <r>
      <rPr>
        <sz val="11"/>
        <color rgb="FF000000"/>
        <rFont val="微软雅黑"/>
        <charset val="134"/>
      </rPr>
      <t>(1)方形货物：</t>
    </r>
    <r>
      <rPr>
        <sz val="11"/>
        <color rgb="FF000000"/>
        <rFont val="微软雅黑"/>
        <charset val="134"/>
      </rPr>
      <t xml:space="preserve">
</t>
    </r>
    <r>
      <rPr>
        <sz val="11"/>
        <color rgb="FF000000"/>
        <rFont val="微软雅黑"/>
        <charset val="134"/>
      </rPr>
      <t>最小限制：最小表面积&gt;10*10cm；</t>
    </r>
    <r>
      <rPr>
        <sz val="11"/>
        <color rgb="FF000000"/>
        <rFont val="微软雅黑"/>
        <charset val="134"/>
      </rPr>
      <t xml:space="preserve">
</t>
    </r>
    <r>
      <rPr>
        <sz val="11"/>
        <color rgb="FF000000"/>
        <rFont val="微软雅黑"/>
        <charset val="134"/>
      </rPr>
      <t>最大限制：长+宽+高≤150cm，单边长度≤60cm；</t>
    </r>
    <r>
      <rPr>
        <sz val="11"/>
        <color rgb="FF000000"/>
        <rFont val="微软雅黑"/>
        <charset val="134"/>
      </rPr>
      <t xml:space="preserve">
</t>
    </r>
    <r>
      <rPr>
        <sz val="11"/>
        <color rgb="FF000000"/>
        <rFont val="微软雅黑"/>
        <charset val="134"/>
      </rPr>
      <t>(2)卷轴状货物：</t>
    </r>
    <r>
      <rPr>
        <sz val="11"/>
        <color rgb="FF000000"/>
        <rFont val="微软雅黑"/>
        <charset val="134"/>
      </rPr>
      <t xml:space="preserve">
</t>
    </r>
    <r>
      <rPr>
        <sz val="11"/>
        <color rgb="FF000000"/>
        <rFont val="微软雅黑"/>
        <charset val="134"/>
      </rPr>
      <t>最小限制：直径的两倍长度之和≥17cm，单边长度≥10cm；</t>
    </r>
    <r>
      <rPr>
        <sz val="11"/>
        <color rgb="FF000000"/>
        <rFont val="微软雅黑"/>
        <charset val="134"/>
      </rPr>
      <t xml:space="preserve">
</t>
    </r>
    <r>
      <rPr>
        <sz val="11"/>
        <color rgb="FF000000"/>
        <rFont val="微软雅黑"/>
        <charset val="134"/>
      </rPr>
      <t>最大限制：直径的两倍加上长度之和≤104cm，单边长度≤90cm；</t>
    </r>
  </si>
  <si>
    <t>无法派送Po.Box地址</t>
  </si>
  <si>
    <t>无退回中国服务，可提供重派服务，重派费40元/件</t>
  </si>
  <si>
    <t>GH</t>
  </si>
  <si>
    <t>15-18天</t>
  </si>
  <si>
    <r>
      <rPr>
        <sz val="11"/>
        <color rgb="FF000000"/>
        <rFont val="微软雅黑"/>
        <charset val="134"/>
      </rPr>
      <t>禁运品主要类别：</t>
    </r>
    <r>
      <rPr>
        <sz val="11"/>
        <color rgb="FF000000"/>
        <rFont val="微软雅黑"/>
        <charset val="134"/>
      </rPr>
      <t xml:space="preserve">
</t>
    </r>
    <r>
      <rPr>
        <sz val="11"/>
        <color rgb="FF000000"/>
        <rFont val="微软雅黑"/>
        <charset val="134"/>
      </rPr>
      <t>1.仿牌，纯电，烟草（含电子烟）刀具，打火机，液体，粉末，膏状体，食品，医疗器械，毒品，军火（如武器、枪支、弹药） 动物、植物以及植物种子;货币，有价证券, 药品及各类化学制品，不雅物品，宗教及政治宣传品；</t>
    </r>
    <r>
      <rPr>
        <sz val="11"/>
        <color rgb="FF000000"/>
        <rFont val="微软雅黑"/>
        <charset val="134"/>
      </rPr>
      <t xml:space="preserve">
</t>
    </r>
    <r>
      <rPr>
        <sz val="11"/>
        <color rgb="FF000000"/>
        <rFont val="微软雅黑"/>
        <charset val="134"/>
      </rPr>
      <t>2.隐私类用品：录音笔,GPS定位器,无人机等；</t>
    </r>
    <r>
      <rPr>
        <sz val="11"/>
        <color rgb="FF000000"/>
        <rFont val="微软雅黑"/>
        <charset val="134"/>
      </rPr>
      <t xml:space="preserve">
</t>
    </r>
    <r>
      <rPr>
        <sz val="11"/>
        <color rgb="FF000000"/>
        <rFont val="微软雅黑"/>
        <charset val="134"/>
      </rPr>
      <t xml:space="preserve">3.配套电池：包括独立锂电池、纽扣锂电池、充电宝 </t>
    </r>
    <r>
      <rPr>
        <sz val="11"/>
        <color rgb="FF000000"/>
        <rFont val="微软雅黑"/>
        <charset val="134"/>
      </rPr>
      <t xml:space="preserve">
</t>
    </r>
    <r>
      <rPr>
        <sz val="11"/>
        <color rgb="FF000000"/>
        <rFont val="微软雅黑"/>
        <charset val="134"/>
      </rPr>
      <t>4.磁性/电子产品：例如 车载手机座、冰箱贴、指南针、记忆卡、U盘等</t>
    </r>
    <r>
      <rPr>
        <sz val="11"/>
        <color rgb="FF000000"/>
        <rFont val="微软雅黑"/>
        <charset val="134"/>
      </rPr>
      <t xml:space="preserve">
</t>
    </r>
    <r>
      <rPr>
        <sz val="11"/>
        <color rgb="FF000000"/>
        <rFont val="微软雅黑"/>
        <charset val="134"/>
      </rPr>
      <t>5.高价值货品：例如 手机,笔记本电脑,平板电脑,照相机</t>
    </r>
    <r>
      <rPr>
        <sz val="11"/>
        <color rgb="FF000000"/>
        <rFont val="微软雅黑"/>
        <charset val="134"/>
      </rPr>
      <t xml:space="preserve">
</t>
    </r>
    <r>
      <rPr>
        <sz val="11"/>
        <color rgb="FF000000"/>
        <rFont val="微软雅黑"/>
        <charset val="134"/>
      </rPr>
      <t>6.假发</t>
    </r>
    <r>
      <rPr>
        <sz val="11"/>
        <color rgb="FF000000"/>
        <rFont val="微软雅黑"/>
        <charset val="134"/>
      </rPr>
      <t xml:space="preserve">
</t>
    </r>
    <r>
      <rPr>
        <sz val="11"/>
        <color rgb="FF000000"/>
        <rFont val="微软雅黑"/>
        <charset val="134"/>
      </rPr>
      <t>提示：</t>
    </r>
    <r>
      <rPr>
        <sz val="11"/>
        <color rgb="FF000000"/>
        <rFont val="微软雅黑"/>
        <charset val="134"/>
      </rPr>
      <t xml:space="preserve">
</t>
    </r>
    <r>
      <rPr>
        <sz val="11"/>
        <color rgb="FF000000"/>
        <rFont val="微软雅黑"/>
        <charset val="134"/>
      </rPr>
      <t>1.如果发现实际发运货物包含禁运品类，需发件人支付额外附加费，附加费参考标准为高价值品类50元/KG,假发15元/KG；具体需要以尾程产生费用为准。</t>
    </r>
    <r>
      <rPr>
        <sz val="11"/>
        <color rgb="FF000000"/>
        <rFont val="微软雅黑"/>
        <charset val="134"/>
      </rPr>
      <t xml:space="preserve">
</t>
    </r>
    <r>
      <rPr>
        <sz val="11"/>
        <color rgb="FF000000"/>
        <rFont val="微软雅黑"/>
        <charset val="134"/>
      </rPr>
      <t>2.正常签收的包裹若存在异常，需在签收后10个自然日内反馈情况，逾期则视为自动放弃。</t>
    </r>
  </si>
  <si>
    <r>
      <rPr>
        <sz val="11"/>
        <color rgb="FF000000"/>
        <rFont val="微软雅黑"/>
        <charset val="134"/>
      </rPr>
      <t>禁运品主要类别：</t>
    </r>
    <r>
      <rPr>
        <sz val="11"/>
        <color rgb="FF000000"/>
        <rFont val="微软雅黑"/>
        <charset val="134"/>
      </rPr>
      <t xml:space="preserve">
</t>
    </r>
    <r>
      <rPr>
        <sz val="11"/>
        <color rgb="FF000000"/>
        <rFont val="微软雅黑"/>
        <charset val="134"/>
      </rPr>
      <t>1.仿牌，纯电，烟草（含电子烟） 刀具，打火机，液体，粉末，膏状体，食品，医疗器械，毒品，军火（如武器、枪支、弹药）动物、植物以及植物种子,货币, 药品及各类化学制品，贵金属和宝石,动物制品（骨头,龟壳,角,鹿角,珊瑚,珍珠母等） 旧轮胎或者翻新轮胎；</t>
    </r>
    <r>
      <rPr>
        <sz val="11"/>
        <color rgb="FF000000"/>
        <rFont val="微软雅黑"/>
        <charset val="134"/>
      </rPr>
      <t xml:space="preserve">
</t>
    </r>
    <r>
      <rPr>
        <sz val="11"/>
        <color rgb="FF000000"/>
        <rFont val="微软雅黑"/>
        <charset val="134"/>
      </rPr>
      <t>2.隐私类用品：录音笔,GPS定位器,无人机等；</t>
    </r>
    <r>
      <rPr>
        <sz val="11"/>
        <color rgb="FF000000"/>
        <rFont val="微软雅黑"/>
        <charset val="134"/>
      </rPr>
      <t xml:space="preserve">
</t>
    </r>
    <r>
      <rPr>
        <sz val="11"/>
        <color rgb="FF000000"/>
        <rFont val="微软雅黑"/>
        <charset val="134"/>
      </rPr>
      <t>3.配套电池：包括独立锂电池、纽扣锂电池、充电宝；</t>
    </r>
    <r>
      <rPr>
        <sz val="11"/>
        <color rgb="FF000000"/>
        <rFont val="微软雅黑"/>
        <charset val="134"/>
      </rPr>
      <t xml:space="preserve">
</t>
    </r>
    <r>
      <rPr>
        <sz val="11"/>
        <color rgb="FF000000"/>
        <rFont val="微软雅黑"/>
        <charset val="134"/>
      </rPr>
      <t>4.磁性/电子产品：例如 车载手机座、冰箱贴、指南针、记忆卡、U盘等</t>
    </r>
    <r>
      <rPr>
        <sz val="11"/>
        <color rgb="FF000000"/>
        <rFont val="微软雅黑"/>
        <charset val="134"/>
      </rPr>
      <t xml:space="preserve">
</t>
    </r>
    <r>
      <rPr>
        <sz val="11"/>
        <color rgb="FF000000"/>
        <rFont val="微软雅黑"/>
        <charset val="134"/>
      </rPr>
      <t>5.高价值货品：例如 手机,笔记本电脑,平板电脑,照相机</t>
    </r>
    <r>
      <rPr>
        <sz val="11"/>
        <color rgb="FF000000"/>
        <rFont val="微软雅黑"/>
        <charset val="134"/>
      </rPr>
      <t xml:space="preserve">
</t>
    </r>
    <r>
      <rPr>
        <sz val="11"/>
        <color rgb="FF000000"/>
        <rFont val="微软雅黑"/>
        <charset val="134"/>
      </rPr>
      <t>6.假发</t>
    </r>
    <r>
      <rPr>
        <sz val="11"/>
        <color rgb="FF000000"/>
        <rFont val="微软雅黑"/>
        <charset val="134"/>
      </rPr>
      <t xml:space="preserve">
</t>
    </r>
    <r>
      <rPr>
        <sz val="11"/>
        <color rgb="FF000000"/>
        <rFont val="微软雅黑"/>
        <charset val="134"/>
      </rPr>
      <t>提示：</t>
    </r>
    <r>
      <rPr>
        <sz val="11"/>
        <color rgb="FF000000"/>
        <rFont val="微软雅黑"/>
        <charset val="134"/>
      </rPr>
      <t xml:space="preserve">
</t>
    </r>
    <r>
      <rPr>
        <sz val="11"/>
        <color rgb="FF000000"/>
        <rFont val="微软雅黑"/>
        <charset val="134"/>
      </rPr>
      <t>1. 如果发现实际发运货物包含禁运品类，需发件人支付额外附加费，附加费参考标准为高价值品类35元/KG,假发15元/KG；具体需要以尾程产生费用为准。</t>
    </r>
    <r>
      <rPr>
        <sz val="11"/>
        <color rgb="FF000000"/>
        <rFont val="微软雅黑"/>
        <charset val="134"/>
      </rPr>
      <t xml:space="preserve">
</t>
    </r>
    <r>
      <rPr>
        <sz val="11"/>
        <color rgb="FF000000"/>
        <rFont val="微软雅黑"/>
        <charset val="134"/>
      </rPr>
      <t>2. 正常签收的包裹若存在异常，需在签收后10个自然日内反馈情况，逾期则视为自动放弃。</t>
    </r>
  </si>
  <si>
    <r>
      <rPr>
        <sz val="11"/>
        <color rgb="FF000000"/>
        <rFont val="微软雅黑"/>
        <charset val="134"/>
      </rPr>
      <t>1. 末端当地派送到自提点，不送货上门。包裹到达自提点以后会短信/邮件通知收件人自提，所以收件人的联系方式非常重要，需要提供格式正确且能接收短信通知的收件人电话，同时建议提供收件人邮箱。</t>
    </r>
    <r>
      <rPr>
        <sz val="11"/>
        <color rgb="FF000000"/>
        <rFont val="微软雅黑"/>
        <charset val="134"/>
      </rPr>
      <t xml:space="preserve">
</t>
    </r>
    <r>
      <rPr>
        <sz val="11"/>
        <color rgb="FF000000"/>
        <rFont val="微软雅黑"/>
        <charset val="134"/>
      </rPr>
      <t>2. 无法派送Po.Box地址</t>
    </r>
  </si>
  <si>
    <r>
      <rPr>
        <sz val="11"/>
        <color rgb="FF000000"/>
        <rFont val="微软雅黑"/>
        <charset val="134"/>
      </rPr>
      <t>1.禁运品主要类别：</t>
    </r>
    <r>
      <rPr>
        <sz val="11"/>
        <color rgb="FF000000"/>
        <rFont val="微软雅黑"/>
        <charset val="134"/>
      </rPr>
      <t xml:space="preserve">
</t>
    </r>
    <r>
      <rPr>
        <sz val="11"/>
        <color rgb="FF000000"/>
        <rFont val="微软雅黑"/>
        <charset val="134"/>
      </rPr>
      <t>①仿牌，纯电，烟草（含电子烟）刀具，打火机，液体，粉末，膏状体，食品，医疗器械，毒品，军火（如武器、枪支、弹药） 动物、植物以及植物种子;货币，有价证券, 药品,各类化学制品；不雅物品，成人用品、宗教及政治宣传品，望远镜，电视频道解码器，测量仪器，书籍和期刊，抛物面天线，映像制品（用于唱片或影片或录音制品工业生产的设备，唱片和影片碟片和所有其他唱片，商业用途的录像带）</t>
    </r>
    <r>
      <rPr>
        <sz val="11"/>
        <color rgb="FF000000"/>
        <rFont val="微软雅黑"/>
        <charset val="134"/>
      </rPr>
      <t xml:space="preserve">
</t>
    </r>
    <r>
      <rPr>
        <sz val="11"/>
        <color rgb="FF000000"/>
        <rFont val="微软雅黑"/>
        <charset val="134"/>
      </rPr>
      <t>②隐私类用品：录音笔,GPS定位器,无人机等；</t>
    </r>
    <r>
      <rPr>
        <sz val="11"/>
        <color rgb="FF000000"/>
        <rFont val="微软雅黑"/>
        <charset val="134"/>
      </rPr>
      <t xml:space="preserve">
</t>
    </r>
    <r>
      <rPr>
        <sz val="11"/>
        <color rgb="FF000000"/>
        <rFont val="微软雅黑"/>
        <charset val="134"/>
      </rPr>
      <t>③配套电池：包括独立锂电池、纽扣锂电池、充电宝</t>
    </r>
    <r>
      <rPr>
        <sz val="11"/>
        <color rgb="FF000000"/>
        <rFont val="微软雅黑"/>
        <charset val="134"/>
      </rPr>
      <t xml:space="preserve">
</t>
    </r>
    <r>
      <rPr>
        <sz val="11"/>
        <color rgb="FF000000"/>
        <rFont val="微软雅黑"/>
        <charset val="134"/>
      </rPr>
      <t>④磁性物品：例如 车载手机座、冰箱贴、指南针、含磁商品</t>
    </r>
    <r>
      <rPr>
        <sz val="11"/>
        <color rgb="FF000000"/>
        <rFont val="微软雅黑"/>
        <charset val="134"/>
      </rPr>
      <t xml:space="preserve">
</t>
    </r>
    <r>
      <rPr>
        <sz val="11"/>
        <color rgb="FF000000"/>
        <rFont val="微软雅黑"/>
        <charset val="134"/>
      </rPr>
      <t>⑤高价值货品：例如 手机,笔记本电脑,平板电脑,照相机（若发现实际货物属高价值货品，需支付附加费35元/kg，由发件人承担）</t>
    </r>
    <r>
      <rPr>
        <sz val="11"/>
        <color rgb="FF000000"/>
        <rFont val="微软雅黑"/>
        <charset val="134"/>
      </rPr>
      <t xml:space="preserve">
</t>
    </r>
    <r>
      <rPr>
        <sz val="11"/>
        <color rgb="FF000000"/>
        <rFont val="微软雅黑"/>
        <charset val="134"/>
      </rPr>
      <t>⑥假发（若发现实际货物为假发，需支付附加费15元/kg，由发件人承担）</t>
    </r>
    <r>
      <rPr>
        <sz val="11"/>
        <color rgb="FF000000"/>
        <rFont val="微软雅黑"/>
        <charset val="134"/>
      </rPr>
      <t xml:space="preserve">
</t>
    </r>
    <r>
      <rPr>
        <sz val="11"/>
        <color rgb="FF000000"/>
        <rFont val="微软雅黑"/>
        <charset val="134"/>
      </rPr>
      <t>2.单个包裹限制：</t>
    </r>
    <r>
      <rPr>
        <sz val="11"/>
        <color rgb="FF000000"/>
        <rFont val="微软雅黑"/>
        <charset val="134"/>
      </rPr>
      <t xml:space="preserve">
</t>
    </r>
    <r>
      <rPr>
        <sz val="11"/>
        <color rgb="FF000000"/>
        <rFont val="微软雅黑"/>
        <charset val="134"/>
      </rPr>
      <t>每个包裹内单个sku不超过5件且申报价值在50美金内，整个包裹申报价值200美金以内，若品类是电子产品，数量不建议超过2个。</t>
    </r>
    <r>
      <rPr>
        <sz val="11"/>
        <color rgb="FF000000"/>
        <rFont val="微软雅黑"/>
        <charset val="134"/>
      </rPr>
      <t xml:space="preserve">
</t>
    </r>
    <r>
      <rPr>
        <sz val="11"/>
        <color rgb="FF000000"/>
        <rFont val="微软雅黑"/>
        <charset val="134"/>
      </rPr>
      <t>3.正常签收的包裹若存在异常，需在签收后10个自然日内反馈情况，逾期则视为自动放弃。</t>
    </r>
  </si>
  <si>
    <t>因摩洛哥海关规定，每个包裹需按照CIF（货值+运费+保险）价格申报，故为避免因申报过低被海关查验，自2023年8月9日起，我司专线追踪产品摩洛哥路向货物最小申报价值由原“申报价值&gt;0元”调整为“申报价值≥5美金”</t>
  </si>
  <si>
    <t>长+宽+高≤150cm，单边长度≤60cm</t>
  </si>
  <si>
    <r>
      <rPr>
        <sz val="11"/>
        <color rgb="FF000000"/>
        <rFont val="微软雅黑"/>
        <charset val="134"/>
      </rPr>
      <t>收件人姓名、城市、州、电话必填。</t>
    </r>
    <r>
      <rPr>
        <sz val="11"/>
        <color rgb="FF000000"/>
        <rFont val="微软雅黑"/>
        <charset val="134"/>
      </rPr>
      <t xml:space="preserve">
</t>
    </r>
    <r>
      <rPr>
        <sz val="11"/>
        <color rgb="FF000000"/>
        <rFont val="微软雅黑"/>
        <charset val="134"/>
      </rPr>
      <t>无法派送Po.Box地址</t>
    </r>
  </si>
  <si>
    <t>无退回中国服务，无重派服务。</t>
  </si>
  <si>
    <t>最小申报价值≥5美金，所有发往摩洛哥B2C的货物按照申报价值的52%统一向发件人收取。</t>
  </si>
  <si>
    <r>
      <rPr>
        <sz val="11"/>
        <color rgb="FF000000"/>
        <rFont val="微软雅黑"/>
        <charset val="134"/>
      </rPr>
      <t>禁运品主要类别：</t>
    </r>
    <r>
      <rPr>
        <sz val="11"/>
        <color rgb="FF000000"/>
        <rFont val="微软雅黑"/>
        <charset val="134"/>
      </rPr>
      <t xml:space="preserve">
</t>
    </r>
    <r>
      <rPr>
        <sz val="11"/>
        <color rgb="FF000000"/>
        <rFont val="微软雅黑"/>
        <charset val="134"/>
      </rPr>
      <t>1.仿牌，纯电，烟草（含电子烟） 刀具，打火机，液体，粉末，膏状体，食品，医疗器械，毒品，军火（如武器、枪支、弹药），动物、植物以及植物种子,艺术品,有价证券,药品及各类化学制品，汽车配件,象牙制品,不雅物品,宗教及政治宣传品；</t>
    </r>
    <r>
      <rPr>
        <sz val="11"/>
        <color rgb="FF000000"/>
        <rFont val="微软雅黑"/>
        <charset val="134"/>
      </rPr>
      <t xml:space="preserve">
</t>
    </r>
    <r>
      <rPr>
        <sz val="11"/>
        <color rgb="FF000000"/>
        <rFont val="微软雅黑"/>
        <charset val="134"/>
      </rPr>
      <t>2.隐私类用品：录音笔,GPS定位器,无人机等；</t>
    </r>
    <r>
      <rPr>
        <sz val="11"/>
        <color rgb="FF000000"/>
        <rFont val="微软雅黑"/>
        <charset val="134"/>
      </rPr>
      <t xml:space="preserve">
</t>
    </r>
    <r>
      <rPr>
        <sz val="11"/>
        <color rgb="FF000000"/>
        <rFont val="微软雅黑"/>
        <charset val="134"/>
      </rPr>
      <t>3.配套电池：包括独立锂电池、纽扣锂电池、充电宝；</t>
    </r>
    <r>
      <rPr>
        <sz val="11"/>
        <color rgb="FF000000"/>
        <rFont val="微软雅黑"/>
        <charset val="134"/>
      </rPr>
      <t xml:space="preserve">
</t>
    </r>
    <r>
      <rPr>
        <sz val="11"/>
        <color rgb="FF000000"/>
        <rFont val="微软雅黑"/>
        <charset val="134"/>
      </rPr>
      <t>4.磁性/电子产品：例如 车载手机座、冰箱贴、指南针、记忆卡、U盘等</t>
    </r>
    <r>
      <rPr>
        <sz val="11"/>
        <color rgb="FF000000"/>
        <rFont val="微软雅黑"/>
        <charset val="134"/>
      </rPr>
      <t xml:space="preserve">
</t>
    </r>
    <r>
      <rPr>
        <sz val="11"/>
        <color rgb="FF000000"/>
        <rFont val="微软雅黑"/>
        <charset val="134"/>
      </rPr>
      <t>5.高价值货品：例如 手机,笔记本电脑,平板电脑,照相机</t>
    </r>
    <r>
      <rPr>
        <sz val="11"/>
        <color rgb="FF000000"/>
        <rFont val="微软雅黑"/>
        <charset val="134"/>
      </rPr>
      <t xml:space="preserve">
</t>
    </r>
    <r>
      <rPr>
        <sz val="11"/>
        <color rgb="FF000000"/>
        <rFont val="微软雅黑"/>
        <charset val="134"/>
      </rPr>
      <t>6.假发</t>
    </r>
    <r>
      <rPr>
        <sz val="11"/>
        <color rgb="FF000000"/>
        <rFont val="微软雅黑"/>
        <charset val="134"/>
      </rPr>
      <t xml:space="preserve">
</t>
    </r>
    <r>
      <rPr>
        <sz val="11"/>
        <color rgb="FF000000"/>
        <rFont val="微软雅黑"/>
        <charset val="134"/>
      </rPr>
      <t>提示：</t>
    </r>
    <r>
      <rPr>
        <sz val="11"/>
        <color rgb="FF000000"/>
        <rFont val="微软雅黑"/>
        <charset val="134"/>
      </rPr>
      <t xml:space="preserve">
</t>
    </r>
    <r>
      <rPr>
        <sz val="11"/>
        <color rgb="FF000000"/>
        <rFont val="微软雅黑"/>
        <charset val="134"/>
      </rPr>
      <t>1.如果发现实际发运货物包含禁运品类，需发件人支付额外附加费，附加费参考标准为高价值品类35元/KG,假发15元/KG；具体需要以尾程产生费用为准。</t>
    </r>
    <r>
      <rPr>
        <sz val="11"/>
        <color rgb="FF000000"/>
        <rFont val="微软雅黑"/>
        <charset val="134"/>
      </rPr>
      <t xml:space="preserve">
</t>
    </r>
    <r>
      <rPr>
        <sz val="11"/>
        <color rgb="FF000000"/>
        <rFont val="微软雅黑"/>
        <charset val="134"/>
      </rPr>
      <t>2.正常签收的包裹若存在异常，需在签收后10个自然日内反馈情况，逾期则视为自动放弃。</t>
    </r>
  </si>
  <si>
    <t>RW</t>
  </si>
  <si>
    <t>11-15天</t>
  </si>
  <si>
    <r>
      <rPr>
        <sz val="11"/>
        <color rgb="FF000000"/>
        <rFont val="微软雅黑"/>
        <charset val="134"/>
      </rPr>
      <t>禁运品主要类别：</t>
    </r>
    <r>
      <rPr>
        <sz val="11"/>
        <color rgb="FF000000"/>
        <rFont val="微软雅黑"/>
        <charset val="134"/>
      </rPr>
      <t xml:space="preserve">
</t>
    </r>
    <r>
      <rPr>
        <sz val="11"/>
        <color rgb="FF000000"/>
        <rFont val="微软雅黑"/>
        <charset val="134"/>
      </rPr>
      <t>1.仿牌，纯电，烟草（含电子烟）刀具，打火机，液体，粉末，膏状体，食品，医疗器械，毒品，军火（如武器、枪支、弹药） 动物、植物以及植物种子;货币，有价证券, 药品及各类化学制品，不雅物品，宗教及政治宣传品；</t>
    </r>
    <r>
      <rPr>
        <sz val="11"/>
        <color rgb="FF000000"/>
        <rFont val="微软雅黑"/>
        <charset val="134"/>
      </rPr>
      <t xml:space="preserve">
</t>
    </r>
    <r>
      <rPr>
        <sz val="11"/>
        <color rgb="FF000000"/>
        <rFont val="微软雅黑"/>
        <charset val="134"/>
      </rPr>
      <t>2.隐私类用品：录音笔,GPS定位器,无人机等；</t>
    </r>
    <r>
      <rPr>
        <sz val="11"/>
        <color rgb="FF000000"/>
        <rFont val="微软雅黑"/>
        <charset val="134"/>
      </rPr>
      <t xml:space="preserve">
</t>
    </r>
    <r>
      <rPr>
        <sz val="11"/>
        <color rgb="FF000000"/>
        <rFont val="微软雅黑"/>
        <charset val="134"/>
      </rPr>
      <t xml:space="preserve">3.配套电池：包括独立锂电池、纽扣锂电池、充电宝 </t>
    </r>
    <r>
      <rPr>
        <sz val="11"/>
        <color rgb="FF000000"/>
        <rFont val="微软雅黑"/>
        <charset val="134"/>
      </rPr>
      <t xml:space="preserve">
</t>
    </r>
    <r>
      <rPr>
        <sz val="11"/>
        <color rgb="FF000000"/>
        <rFont val="微软雅黑"/>
        <charset val="134"/>
      </rPr>
      <t>4.磁性/电子产品：例如 车载手机座、冰箱贴、指南针、记忆卡、U盘等</t>
    </r>
    <r>
      <rPr>
        <sz val="11"/>
        <color rgb="FF000000"/>
        <rFont val="微软雅黑"/>
        <charset val="134"/>
      </rPr>
      <t xml:space="preserve">
</t>
    </r>
    <r>
      <rPr>
        <sz val="11"/>
        <color rgb="FF000000"/>
        <rFont val="微软雅黑"/>
        <charset val="134"/>
      </rPr>
      <t>5.高价值货品：例如 手机、笔记本电脑、平板电脑、照相机</t>
    </r>
    <r>
      <rPr>
        <sz val="11"/>
        <color rgb="FF000000"/>
        <rFont val="微软雅黑"/>
        <charset val="134"/>
      </rPr>
      <t xml:space="preserve">
</t>
    </r>
    <r>
      <rPr>
        <sz val="11"/>
        <color rgb="FF000000"/>
        <rFont val="微软雅黑"/>
        <charset val="134"/>
      </rPr>
      <t>6.假发</t>
    </r>
    <r>
      <rPr>
        <sz val="11"/>
        <color rgb="FF000000"/>
        <rFont val="微软雅黑"/>
        <charset val="134"/>
      </rPr>
      <t xml:space="preserve">
</t>
    </r>
    <r>
      <rPr>
        <sz val="11"/>
        <color rgb="FF000000"/>
        <rFont val="微软雅黑"/>
        <charset val="134"/>
      </rPr>
      <t>提示：</t>
    </r>
    <r>
      <rPr>
        <sz val="11"/>
        <color rgb="FF000000"/>
        <rFont val="微软雅黑"/>
        <charset val="134"/>
      </rPr>
      <t xml:space="preserve">
</t>
    </r>
    <r>
      <rPr>
        <sz val="11"/>
        <color rgb="FF000000"/>
        <rFont val="微软雅黑"/>
        <charset val="134"/>
      </rPr>
      <t>1.如果发现实际发运货物包含禁运品类，需发件人支付额外附加费，附加费参考标准为高价值品类1800元/KG,假发15元/KG；具体需要以尾程产生费用为准。</t>
    </r>
    <r>
      <rPr>
        <sz val="11"/>
        <color rgb="FF000000"/>
        <rFont val="微软雅黑"/>
        <charset val="134"/>
      </rPr>
      <t xml:space="preserve">
</t>
    </r>
    <r>
      <rPr>
        <sz val="11"/>
        <color rgb="FF000000"/>
        <rFont val="微软雅黑"/>
        <charset val="134"/>
      </rPr>
      <t>2.正常签收的包裹若存在异常，需在签收后10个自然日内反馈情况，逾期则视为自动放弃。</t>
    </r>
    <r>
      <rPr>
        <sz val="11"/>
        <color rgb="FF000000"/>
        <rFont val="微软雅黑"/>
        <charset val="134"/>
      </rPr>
      <t xml:space="preserve">
</t>
    </r>
  </si>
  <si>
    <t>申报价值＜100美金</t>
  </si>
  <si>
    <r>
      <rPr>
        <sz val="11"/>
        <color rgb="FF000000"/>
        <rFont val="微软雅黑"/>
        <charset val="134"/>
      </rPr>
      <t>禁运品主要类别：</t>
    </r>
    <r>
      <rPr>
        <sz val="11"/>
        <color rgb="FF000000"/>
        <rFont val="微软雅黑"/>
        <charset val="134"/>
      </rPr>
      <t xml:space="preserve">
</t>
    </r>
    <r>
      <rPr>
        <sz val="11"/>
        <color rgb="FF000000"/>
        <rFont val="微软雅黑"/>
        <charset val="134"/>
      </rPr>
      <t>① 仿牌，纯电，烟草（含电子烟）刀具，打火机，液体，粉末，膏状体，食品，医疗器械，毒品，军火（如武器、枪支、弹药） 动物、植物以及植物种子;货币，有价证券, 药品及各类化学制品，不雅物品，宗教及政治宣传品；</t>
    </r>
    <r>
      <rPr>
        <sz val="11"/>
        <color rgb="FF000000"/>
        <rFont val="微软雅黑"/>
        <charset val="134"/>
      </rPr>
      <t xml:space="preserve">
</t>
    </r>
    <r>
      <rPr>
        <sz val="11"/>
        <color rgb="FF000000"/>
        <rFont val="微软雅黑"/>
        <charset val="134"/>
      </rPr>
      <t>②隐私类用品：录音笔,GPS定位器,无人机等；</t>
    </r>
    <r>
      <rPr>
        <sz val="11"/>
        <color rgb="FF000000"/>
        <rFont val="微软雅黑"/>
        <charset val="134"/>
      </rPr>
      <t xml:space="preserve">
</t>
    </r>
    <r>
      <rPr>
        <sz val="11"/>
        <color rgb="FF000000"/>
        <rFont val="微软雅黑"/>
        <charset val="134"/>
      </rPr>
      <t xml:space="preserve">③配套电池：包括独立锂电池、纽扣锂电池、充电宝 </t>
    </r>
    <r>
      <rPr>
        <sz val="11"/>
        <color rgb="FF000000"/>
        <rFont val="微软雅黑"/>
        <charset val="134"/>
      </rPr>
      <t xml:space="preserve">
</t>
    </r>
    <r>
      <rPr>
        <sz val="11"/>
        <color rgb="FF000000"/>
        <rFont val="微软雅黑"/>
        <charset val="134"/>
      </rPr>
      <t>④磁性/电子产品：例如 车载手机座、冰箱贴、指南针、记忆卡、U盘等</t>
    </r>
    <r>
      <rPr>
        <sz val="11"/>
        <color rgb="FF000000"/>
        <rFont val="微软雅黑"/>
        <charset val="134"/>
      </rPr>
      <t xml:space="preserve">
</t>
    </r>
    <r>
      <rPr>
        <sz val="11"/>
        <color rgb="FF000000"/>
        <rFont val="微软雅黑"/>
        <charset val="134"/>
      </rPr>
      <t>⑤高价值货品：例如 手机,笔记本电脑,平板电脑,照相机</t>
    </r>
    <r>
      <rPr>
        <sz val="11"/>
        <color rgb="FF000000"/>
        <rFont val="微软雅黑"/>
        <charset val="134"/>
      </rPr>
      <t xml:space="preserve">
</t>
    </r>
    <r>
      <rPr>
        <sz val="11"/>
        <color rgb="FF000000"/>
        <rFont val="微软雅黑"/>
        <charset val="134"/>
      </rPr>
      <t>⑥假发</t>
    </r>
    <r>
      <rPr>
        <sz val="11"/>
        <color rgb="FF000000"/>
        <rFont val="微软雅黑"/>
        <charset val="134"/>
      </rPr>
      <t xml:space="preserve">
</t>
    </r>
    <r>
      <rPr>
        <sz val="11"/>
        <color rgb="FF000000"/>
        <rFont val="微软雅黑"/>
        <charset val="134"/>
      </rPr>
      <t>提示：</t>
    </r>
    <r>
      <rPr>
        <sz val="11"/>
        <color rgb="FF000000"/>
        <rFont val="微软雅黑"/>
        <charset val="134"/>
      </rPr>
      <t xml:space="preserve">
</t>
    </r>
    <r>
      <rPr>
        <sz val="11"/>
        <color rgb="FF000000"/>
        <rFont val="微软雅黑"/>
        <charset val="134"/>
      </rPr>
      <t>1. 如果发现实际发运货物包含禁运品类，需发件人支付额外附加费，附加费参考标准为高价值品类35元/KG,假发15元/KG；具体需要以尾程产生费用为准。</t>
    </r>
    <r>
      <rPr>
        <sz val="11"/>
        <color rgb="FF000000"/>
        <rFont val="微软雅黑"/>
        <charset val="134"/>
      </rPr>
      <t xml:space="preserve">
</t>
    </r>
    <r>
      <rPr>
        <sz val="11"/>
        <color rgb="FF000000"/>
        <rFont val="微软雅黑"/>
        <charset val="134"/>
      </rPr>
      <t>2. 正常签收的包裹若存在异常，需在签收后10个自然日内反馈情况，逾期则视为自动放弃。</t>
    </r>
  </si>
  <si>
    <t>UG</t>
  </si>
  <si>
    <r>
      <rPr>
        <sz val="11"/>
        <color rgb="FF000000"/>
        <rFont val="微软雅黑"/>
        <charset val="134"/>
      </rPr>
      <t>禁运品主要类别：</t>
    </r>
    <r>
      <rPr>
        <sz val="11"/>
        <color rgb="FF000000"/>
        <rFont val="微软雅黑"/>
        <charset val="134"/>
      </rPr>
      <t xml:space="preserve">
</t>
    </r>
    <r>
      <rPr>
        <sz val="11"/>
        <color rgb="FF000000"/>
        <rFont val="微软雅黑"/>
        <charset val="134"/>
      </rPr>
      <t>1.仿牌，纯电，烟草（含电子烟） 刀具,打火机,液体,粉末,膏状体,食品,医疗器械,毒品, 军火（如武器、枪支、弹药等）动物、植物以及植物种子,艺术品,有价证券,药品及各类化学制品，象牙制品,不雅物品,宗教及政治宣传品；</t>
    </r>
    <r>
      <rPr>
        <sz val="11"/>
        <color rgb="FF000000"/>
        <rFont val="微软雅黑"/>
        <charset val="134"/>
      </rPr>
      <t xml:space="preserve">
</t>
    </r>
    <r>
      <rPr>
        <sz val="11"/>
        <color rgb="FF000000"/>
        <rFont val="微软雅黑"/>
        <charset val="134"/>
      </rPr>
      <t>2.隐私类用品：录音笔、GPS定位器、记忆卡、无人机等；</t>
    </r>
    <r>
      <rPr>
        <sz val="11"/>
        <color rgb="FF000000"/>
        <rFont val="微软雅黑"/>
        <charset val="134"/>
      </rPr>
      <t xml:space="preserve">
</t>
    </r>
    <r>
      <rPr>
        <sz val="11"/>
        <color rgb="FF000000"/>
        <rFont val="微软雅黑"/>
        <charset val="134"/>
      </rPr>
      <t>3.配套电池：包括独立锂电池、纽扣锂电池、充电宝；</t>
    </r>
    <r>
      <rPr>
        <sz val="11"/>
        <color rgb="FF000000"/>
        <rFont val="微软雅黑"/>
        <charset val="134"/>
      </rPr>
      <t xml:space="preserve">
</t>
    </r>
    <r>
      <rPr>
        <sz val="11"/>
        <color rgb="FF000000"/>
        <rFont val="微软雅黑"/>
        <charset val="134"/>
      </rPr>
      <t>4.磁性/电子产品：例如 车载手机座、冰箱贴、指南针、记忆卡、U盘等</t>
    </r>
    <r>
      <rPr>
        <sz val="11"/>
        <color rgb="FF000000"/>
        <rFont val="微软雅黑"/>
        <charset val="134"/>
      </rPr>
      <t xml:space="preserve">
</t>
    </r>
    <r>
      <rPr>
        <sz val="11"/>
        <color rgb="FF000000"/>
        <rFont val="微软雅黑"/>
        <charset val="134"/>
      </rPr>
      <t>5.高价值货品：例如 手机,笔记本电脑,平板电脑,照相机</t>
    </r>
    <r>
      <rPr>
        <sz val="11"/>
        <color rgb="FF000000"/>
        <rFont val="微软雅黑"/>
        <charset val="134"/>
      </rPr>
      <t xml:space="preserve">
</t>
    </r>
    <r>
      <rPr>
        <sz val="11"/>
        <color rgb="FF000000"/>
        <rFont val="微软雅黑"/>
        <charset val="134"/>
      </rPr>
      <t>6.假发</t>
    </r>
    <r>
      <rPr>
        <sz val="11"/>
        <color rgb="FF000000"/>
        <rFont val="微软雅黑"/>
        <charset val="134"/>
      </rPr>
      <t xml:space="preserve">
</t>
    </r>
    <r>
      <rPr>
        <sz val="11"/>
        <color rgb="FF000000"/>
        <rFont val="微软雅黑"/>
        <charset val="134"/>
      </rPr>
      <t>提示：</t>
    </r>
    <r>
      <rPr>
        <sz val="11"/>
        <color rgb="FF000000"/>
        <rFont val="微软雅黑"/>
        <charset val="134"/>
      </rPr>
      <t xml:space="preserve">
</t>
    </r>
    <r>
      <rPr>
        <sz val="11"/>
        <color rgb="FF000000"/>
        <rFont val="微软雅黑"/>
        <charset val="134"/>
      </rPr>
      <t>1.如果发现实际发运货物包含禁运品类，需发件人支付额外附加费，附加费参考标准为高价值品类50元/KG,假发30元/KG；具体需要以尾程产生费用为准。</t>
    </r>
    <r>
      <rPr>
        <sz val="11"/>
        <color rgb="FF000000"/>
        <rFont val="微软雅黑"/>
        <charset val="134"/>
      </rPr>
      <t xml:space="preserve">
</t>
    </r>
    <r>
      <rPr>
        <sz val="11"/>
        <color rgb="FF000000"/>
        <rFont val="微软雅黑"/>
        <charset val="134"/>
      </rPr>
      <t>2.正常签收的包裹若存在异常，需在签收后10个自然日内反馈情况，逾期则视为自动放弃。</t>
    </r>
  </si>
  <si>
    <r>
      <rPr>
        <sz val="11"/>
        <color rgb="FF000000"/>
        <rFont val="微软雅黑"/>
        <charset val="134"/>
      </rPr>
      <t>制单填写要求</t>
    </r>
    <r>
      <rPr>
        <sz val="11"/>
        <color rgb="FF000000"/>
        <rFont val="微软雅黑"/>
        <charset val="134"/>
      </rPr>
      <t xml:space="preserve">
</t>
    </r>
    <r>
      <rPr>
        <sz val="11"/>
        <color rgb="FF000000"/>
        <rFont val="微软雅黑"/>
        <charset val="134"/>
      </rPr>
      <t>1. 收件人地址：不能全是数字;不能只有一个单词</t>
    </r>
    <r>
      <rPr>
        <sz val="11"/>
        <color rgb="FF000000"/>
        <rFont val="微软雅黑"/>
        <charset val="134"/>
      </rPr>
      <t xml:space="preserve">
</t>
    </r>
    <r>
      <rPr>
        <sz val="11"/>
        <color rgb="FF000000"/>
        <rFont val="微软雅黑"/>
        <charset val="134"/>
      </rPr>
      <t>2. 收件人电话：9 位数字，9位数字不包含区号 27,027,0027,0等前缀，正确格式如：760496720或27760496720； 076892421和27 076892421则格式错误</t>
    </r>
    <r>
      <rPr>
        <sz val="11"/>
        <color rgb="FF000000"/>
        <rFont val="微软雅黑"/>
        <charset val="134"/>
      </rPr>
      <t xml:space="preserve">
</t>
    </r>
    <r>
      <rPr>
        <sz val="11"/>
        <color rgb="FF000000"/>
        <rFont val="微软雅黑"/>
        <charset val="134"/>
      </rPr>
      <t>3. 英文品名：不能包含中文;不能为纯数字;不能只填写单词“Other</t>
    </r>
    <r>
      <rPr>
        <sz val="11"/>
        <color rgb="FF000000"/>
        <rFont val="微软雅黑"/>
        <charset val="134"/>
      </rPr>
      <t xml:space="preserve">
</t>
    </r>
    <r>
      <rPr>
        <sz val="11"/>
        <color rgb="FF000000"/>
        <rFont val="微软雅黑"/>
        <charset val="134"/>
      </rPr>
      <t>4. 申报价值：单品申报价值不低于0.05美元</t>
    </r>
    <r>
      <rPr>
        <sz val="11"/>
        <color rgb="FF000000"/>
        <rFont val="微软雅黑"/>
        <charset val="134"/>
      </rPr>
      <t xml:space="preserve">
</t>
    </r>
    <r>
      <rPr>
        <sz val="11"/>
        <color rgb="FF000000"/>
        <rFont val="微软雅黑"/>
        <charset val="134"/>
      </rPr>
      <t>5. 接南非海关通知，要求发往南非的货物在清关环节须提供收件人ID（可理解为南非身份证号码或护照号码），南非身份证ID是13位纯数字，护照ID是7-12位纯数字/纯字母/数字和字母组合；以便于货物顺利清关；自2022.6.16起制单的订单将要求收件人ID必填，若未填写或填写错误，将不能成功制单；</t>
    </r>
    <r>
      <rPr>
        <sz val="11"/>
        <color rgb="FF000000"/>
        <rFont val="微软雅黑"/>
        <charset val="134"/>
      </rPr>
      <t xml:space="preserve">
</t>
    </r>
    <r>
      <rPr>
        <sz val="11"/>
        <color rgb="FF000000"/>
        <rFont val="微软雅黑"/>
        <charset val="134"/>
      </rPr>
      <t>温馨提示：</t>
    </r>
    <r>
      <rPr>
        <sz val="11"/>
        <color rgb="FF000000"/>
        <rFont val="微软雅黑"/>
        <charset val="134"/>
      </rPr>
      <t xml:space="preserve">
</t>
    </r>
    <r>
      <rPr>
        <sz val="11"/>
        <color rgb="FF000000"/>
        <rFont val="微软雅黑"/>
        <charset val="134"/>
      </rPr>
      <t>南非收件人ID为13位纯数字，格式为:YYMMDDSSSSCAZ。</t>
    </r>
    <r>
      <rPr>
        <sz val="11"/>
        <color rgb="FF000000"/>
        <rFont val="微软雅黑"/>
        <charset val="134"/>
      </rPr>
      <t xml:space="preserve">
</t>
    </r>
    <r>
      <rPr>
        <sz val="11"/>
        <color rgb="FF000000"/>
        <rFont val="微软雅黑"/>
        <charset val="134"/>
      </rPr>
      <t>YYMMDD：前六位数字表示出生日期，如1992年06月14日显示为920614。</t>
    </r>
    <r>
      <rPr>
        <sz val="11"/>
        <color rgb="FF000000"/>
        <rFont val="微软雅黑"/>
        <charset val="134"/>
      </rPr>
      <t xml:space="preserve">
</t>
    </r>
    <r>
      <rPr>
        <sz val="11"/>
        <color rgb="FF000000"/>
        <rFont val="微软雅黑"/>
        <charset val="134"/>
      </rPr>
      <t>SSSS：第七位到第十位用表示性别，（其中女性的分配号码是从 0000 到 4999，男性的分配号码是从 5000 到 9999）。</t>
    </r>
    <r>
      <rPr>
        <sz val="11"/>
        <color rgb="FF000000"/>
        <rFont val="微软雅黑"/>
        <charset val="134"/>
      </rPr>
      <t xml:space="preserve">
</t>
    </r>
    <r>
      <rPr>
        <sz val="11"/>
        <color rgb="FF000000"/>
        <rFont val="微软雅黑"/>
        <charset val="134"/>
      </rPr>
      <t>C：第十一位表示否是南非公民，0表示出生在南非，1表示是永久居民。</t>
    </r>
    <r>
      <rPr>
        <sz val="11"/>
        <color rgb="FF000000"/>
        <rFont val="微软雅黑"/>
        <charset val="134"/>
      </rPr>
      <t xml:space="preserve">
</t>
    </r>
    <r>
      <rPr>
        <sz val="11"/>
        <color rgb="FF000000"/>
        <rFont val="微软雅黑"/>
        <charset val="134"/>
      </rPr>
      <t>A：第十二位被用来表示一个人的种族。</t>
    </r>
    <r>
      <rPr>
        <sz val="11"/>
        <color rgb="FF000000"/>
        <rFont val="微软雅黑"/>
        <charset val="134"/>
      </rPr>
      <t xml:space="preserve">
</t>
    </r>
    <r>
      <rPr>
        <sz val="11"/>
        <color rgb="FF000000"/>
        <rFont val="微软雅黑"/>
        <charset val="134"/>
      </rPr>
      <t>Z：最后一位是一个‘校验和’数字，用来检查数字序列是否准确。</t>
    </r>
    <r>
      <rPr>
        <sz val="11"/>
        <color rgb="FF000000"/>
        <rFont val="微软雅黑"/>
        <charset val="134"/>
      </rPr>
      <t xml:space="preserve">
</t>
    </r>
    <r>
      <rPr>
        <sz val="11"/>
        <color rgb="FF000000"/>
        <rFont val="微软雅黑"/>
        <charset val="134"/>
      </rPr>
      <t>禁运品主要类别：</t>
    </r>
    <r>
      <rPr>
        <sz val="11"/>
        <color rgb="FF000000"/>
        <rFont val="微软雅黑"/>
        <charset val="134"/>
      </rPr>
      <t xml:space="preserve">
</t>
    </r>
    <r>
      <rPr>
        <sz val="11"/>
        <color rgb="FF000000"/>
        <rFont val="微软雅黑"/>
        <charset val="134"/>
      </rPr>
      <t>仿牌, 纯电, 烟草（包括电子烟） 刀具 ,打火机, 液体, 粉末 ,香精, 香料, 膏状体, 食品, 医疗器械 ,药品 ,毒品, 军火 ,植物, 动物以及植物种子 ,茶, 焚香器, 香, 木质材料（商品含有木头的） 营养补品, 钱币, 纪念币, 美甲工具 ,药品</t>
    </r>
    <r>
      <rPr>
        <sz val="11"/>
        <color rgb="FF000000"/>
        <rFont val="微软雅黑"/>
        <charset val="134"/>
      </rPr>
      <t xml:space="preserve">
</t>
    </r>
    <r>
      <rPr>
        <sz val="11"/>
        <color rgb="FF000000"/>
        <rFont val="微软雅黑"/>
        <charset val="134"/>
      </rPr>
      <t>（1）液体类---例：护肤品，香水，香油，精油, 洗涤剂, 洗发剂, 除臭剂, 沐浴露, 护发素,牙齿美白剂, 擦亮剂, 胶水 ,粘合剂</t>
    </r>
    <r>
      <rPr>
        <sz val="11"/>
        <color rgb="FF000000"/>
        <rFont val="微软雅黑"/>
        <charset val="134"/>
      </rPr>
      <t xml:space="preserve">
</t>
    </r>
    <r>
      <rPr>
        <sz val="11"/>
        <color rgb="FF000000"/>
        <rFont val="微软雅黑"/>
        <charset val="134"/>
      </rPr>
      <t>（2）膏状类---例：牙膏,蜡烛, 肥皂</t>
    </r>
    <r>
      <rPr>
        <sz val="11"/>
        <color rgb="FF000000"/>
        <rFont val="微软雅黑"/>
        <charset val="134"/>
      </rPr>
      <t xml:space="preserve">
</t>
    </r>
    <r>
      <rPr>
        <sz val="11"/>
        <color rgb="FF000000"/>
        <rFont val="微软雅黑"/>
        <charset val="134"/>
      </rPr>
      <t>提示：以上品类属于南非海关必查货物，发现实际包裹为以上品类的，需要多缴纳150兰特/票的查验费用，此费用由发件人承担。</t>
    </r>
  </si>
  <si>
    <r>
      <rPr>
        <sz val="11"/>
        <color rgb="FF000000"/>
        <rFont val="微软雅黑"/>
        <charset val="134"/>
      </rPr>
      <t xml:space="preserve">    </t>
    </r>
    <r>
      <rPr>
        <sz val="11"/>
        <color rgb="FF000000"/>
        <rFont val="微软雅黑"/>
        <charset val="134"/>
      </rPr>
      <t>每公斤申报价值≤40美金 免征关税</t>
    </r>
    <r>
      <rPr>
        <sz val="11"/>
        <color rgb="FF000000"/>
        <rFont val="微软雅黑"/>
        <charset val="134"/>
      </rPr>
      <t xml:space="preserve">
</t>
    </r>
    <r>
      <rPr>
        <sz val="11"/>
        <color rgb="FF000000"/>
        <rFont val="微软雅黑"/>
        <charset val="134"/>
      </rPr>
      <t xml:space="preserve">    </t>
    </r>
    <r>
      <rPr>
        <sz val="11"/>
        <color rgb="FF000000"/>
        <rFont val="微软雅黑"/>
        <charset val="134"/>
      </rPr>
      <t>请如实填写申报价值，以免影响清关。疑似低报被扣关的包裹，需收件人配合提供海关所需资料清关，确认低报货物会造成额外的杂费及税费，费用由发件人承担：①选择继续清关需缴纳罚金500-1000兰特，若申报价值超出40USD/kg，除罚金外还需按照实际交易价值补缴税费；②如在海关销毁会产生销毁费用，销毁费1500兰特/件。</t>
    </r>
  </si>
  <si>
    <t>不超过8kg</t>
  </si>
  <si>
    <t>最长边≤60cm，长+宽+高≤90cm</t>
  </si>
  <si>
    <r>
      <rPr>
        <sz val="11"/>
        <color rgb="FF000000"/>
        <rFont val="微软雅黑"/>
        <charset val="134"/>
      </rPr>
      <t>无法派送Po.Box ；farm</t>
    </r>
    <r>
      <rPr>
        <sz val="11"/>
        <color rgb="FF000000"/>
        <rFont val="微软雅黑"/>
        <charset val="134"/>
      </rPr>
      <t xml:space="preserve">  </t>
    </r>
    <r>
      <rPr>
        <sz val="11"/>
        <color rgb="FF000000"/>
        <rFont val="微软雅黑"/>
        <charset val="134"/>
      </rPr>
      <t>；plot；plaas；posbus；private bag；private sak 地址</t>
    </r>
  </si>
  <si>
    <r>
      <rPr>
        <sz val="11"/>
        <color rgb="FF000000"/>
        <rFont val="微软雅黑"/>
        <charset val="134"/>
      </rPr>
      <t>无退回中国服务，可提供重派服务，重派费向收件人收取，具体费用可咨询当地派送商，南非客服电话：+27105934710/+270870953451</t>
    </r>
    <r>
      <rPr>
        <sz val="11"/>
        <color rgb="FF000000"/>
        <rFont val="微软雅黑"/>
        <charset val="134"/>
      </rPr>
      <t xml:space="preserve"> </t>
    </r>
  </si>
  <si>
    <r>
      <rPr>
        <b/>
        <sz val="12"/>
        <color rgb="FFFFFFFF"/>
        <rFont val="微软雅黑"/>
        <charset val="134"/>
      </rPr>
      <t>返</t>
    </r>
    <r>
      <rPr>
        <b/>
        <sz val="12"/>
        <color rgb="FFFFFFFF"/>
        <rFont val="微软雅黑"/>
        <charset val="134"/>
      </rPr>
      <t xml:space="preserve">
</t>
    </r>
    <r>
      <rPr>
        <b/>
        <sz val="12"/>
        <color rgb="FFFFFFFF"/>
        <rFont val="微软雅黑"/>
        <charset val="134"/>
      </rPr>
      <t>回</t>
    </r>
    <r>
      <rPr>
        <b/>
        <sz val="12"/>
        <color rgb="FFFFFFFF"/>
        <rFont val="微软雅黑"/>
        <charset val="134"/>
      </rPr>
      <t xml:space="preserve">
</t>
    </r>
    <r>
      <rPr>
        <b/>
        <sz val="12"/>
        <color rgb="FFFFFFFF"/>
        <rFont val="微软雅黑"/>
        <charset val="134"/>
      </rPr>
      <t>目</t>
    </r>
    <r>
      <rPr>
        <b/>
        <sz val="12"/>
        <color rgb="FFFFFFFF"/>
        <rFont val="微软雅黑"/>
        <charset val="134"/>
      </rPr>
      <t xml:space="preserve">
</t>
    </r>
    <r>
      <rPr>
        <b/>
        <sz val="12"/>
        <color rgb="FFFFFFFF"/>
        <rFont val="微软雅黑"/>
        <charset val="134"/>
      </rPr>
      <t>录</t>
    </r>
  </si>
  <si>
    <t>顺邮宝挂号价目表</t>
  </si>
  <si>
    <t>(2025/07/07生效)</t>
  </si>
  <si>
    <t>国家(地区)</t>
  </si>
  <si>
    <t>单价(元/KG)</t>
  </si>
  <si>
    <t>限重(KG)</t>
  </si>
  <si>
    <t>英文</t>
  </si>
  <si>
    <t>代码</t>
  </si>
  <si>
    <t>中文</t>
  </si>
  <si>
    <t>Afghanistan</t>
  </si>
  <si>
    <t>Albania</t>
  </si>
  <si>
    <t>Algeria</t>
  </si>
  <si>
    <t>American Samoa</t>
  </si>
  <si>
    <t>Andorra</t>
  </si>
  <si>
    <t>Angola</t>
  </si>
  <si>
    <t>Anguilla</t>
  </si>
  <si>
    <t>安圭拉岛</t>
  </si>
  <si>
    <t>Antigua and Barbuda</t>
  </si>
  <si>
    <t>Argentina</t>
  </si>
  <si>
    <t>Armenia</t>
  </si>
  <si>
    <t>Aruba</t>
  </si>
  <si>
    <t>Ascension Island</t>
  </si>
  <si>
    <t>AC</t>
  </si>
  <si>
    <t>阿森松岛</t>
  </si>
  <si>
    <t>Australia</t>
  </si>
  <si>
    <t>Austria</t>
  </si>
  <si>
    <t>Azerbaijan</t>
  </si>
  <si>
    <t>Bahamas</t>
  </si>
  <si>
    <t>Bahrain</t>
  </si>
  <si>
    <t>Bangladesh</t>
  </si>
  <si>
    <t>Barbados</t>
  </si>
  <si>
    <t>Belarus</t>
  </si>
  <si>
    <t>Belgium</t>
  </si>
  <si>
    <t>Belize</t>
  </si>
  <si>
    <t>Benin</t>
  </si>
  <si>
    <t>Bermuda</t>
  </si>
  <si>
    <t>百慕大群岛</t>
  </si>
  <si>
    <t>Bhutan</t>
  </si>
  <si>
    <t>Bolivia</t>
  </si>
  <si>
    <t>Bonaire</t>
  </si>
  <si>
    <t>博奈尔岛</t>
  </si>
  <si>
    <t>Bosnia And Herzegovina</t>
  </si>
  <si>
    <t>Botswana</t>
  </si>
  <si>
    <t>Brazil</t>
  </si>
  <si>
    <t>Brunei Darussalam</t>
  </si>
  <si>
    <t>Bulgaria</t>
  </si>
  <si>
    <t>Burkina Faso</t>
  </si>
  <si>
    <t>Burundi</t>
  </si>
  <si>
    <t>Cambodia</t>
  </si>
  <si>
    <t>Cameroon</t>
  </si>
  <si>
    <t>Canada</t>
  </si>
  <si>
    <t>Cape Verde</t>
  </si>
  <si>
    <t>佛得角群岛</t>
  </si>
  <si>
    <t>Cayman Islands</t>
  </si>
  <si>
    <t>Central African Republic</t>
  </si>
  <si>
    <t>中非共和国</t>
  </si>
  <si>
    <t>Chad</t>
  </si>
  <si>
    <t>Chile</t>
  </si>
  <si>
    <t>Colombia</t>
  </si>
  <si>
    <t>Comoros</t>
  </si>
  <si>
    <t>Congo (DEM. REP. OF)</t>
  </si>
  <si>
    <t>刚果民主共和国</t>
  </si>
  <si>
    <t>Congo (REP. OF)</t>
  </si>
  <si>
    <t>刚果共和国</t>
  </si>
  <si>
    <t>Cook Islands</t>
  </si>
  <si>
    <t>Costa Rica</t>
  </si>
  <si>
    <t>Cote D'Ivoire</t>
  </si>
  <si>
    <t>Croatia</t>
  </si>
  <si>
    <t>Cuba</t>
  </si>
  <si>
    <t>Curacao</t>
  </si>
  <si>
    <t>Cyprus</t>
  </si>
  <si>
    <t>Czech Republic</t>
  </si>
  <si>
    <t>Denmark</t>
  </si>
  <si>
    <t>Djibouti</t>
  </si>
  <si>
    <t>Dominica</t>
  </si>
  <si>
    <t>多米尼克岛</t>
  </si>
  <si>
    <t>Dominican Republic</t>
  </si>
  <si>
    <t>Ecuador</t>
  </si>
  <si>
    <t>Egypt</t>
  </si>
  <si>
    <t>El Salvador</t>
  </si>
  <si>
    <t>Equatorial Guinea</t>
  </si>
  <si>
    <t>Eritrea</t>
  </si>
  <si>
    <t>Estonia</t>
  </si>
  <si>
    <t>Ethiopia</t>
  </si>
  <si>
    <t>Falkland Islands</t>
  </si>
  <si>
    <t>福克兰</t>
  </si>
  <si>
    <t>Faroe Islands</t>
  </si>
  <si>
    <t>Fiji</t>
  </si>
  <si>
    <t>FJ</t>
  </si>
  <si>
    <t>斐济</t>
  </si>
  <si>
    <t>Finland</t>
  </si>
  <si>
    <t>France</t>
  </si>
  <si>
    <t>French Polynesia</t>
  </si>
  <si>
    <t>Gabon</t>
  </si>
  <si>
    <t>Gambia</t>
  </si>
  <si>
    <t>Georgia</t>
  </si>
  <si>
    <t>Germany</t>
  </si>
  <si>
    <t>Ghana</t>
  </si>
  <si>
    <t>Gibraltar</t>
  </si>
  <si>
    <t>Greece</t>
  </si>
  <si>
    <t>Greenland</t>
  </si>
  <si>
    <t>Grenada</t>
  </si>
  <si>
    <t>Guadeloupe</t>
  </si>
  <si>
    <t>GP</t>
  </si>
  <si>
    <t>瓜德罗普岛</t>
  </si>
  <si>
    <t>Guam</t>
  </si>
  <si>
    <t>GU</t>
  </si>
  <si>
    <t>关岛</t>
  </si>
  <si>
    <t>Guatemala</t>
  </si>
  <si>
    <t>Guernsey</t>
  </si>
  <si>
    <t>根西岛</t>
  </si>
  <si>
    <t>Guinea</t>
  </si>
  <si>
    <t>Haiti</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</si>
  <si>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</si>
  <si>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</si>
  <si>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</si>
  <si>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</si>
  <si>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</si>
  <si>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</si>
  <si>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</si>
  <si>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</si>
  <si>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</si>
  <si>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</si>
  <si>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</si>
  <si>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</si>
  <si>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</si>
  <si>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</si>
  <si>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</si>
  <si>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</si>
  <si>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</si>
  <si>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</si>
  <si>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</si>
  <si>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Kosovo</t>
  </si>
  <si>
    <t>XK</t>
  </si>
  <si>
    <t>科索沃</t>
  </si>
  <si>
    <t>Kuwait</t>
  </si>
  <si>
    <t>Kyrgyzstan</t>
  </si>
  <si>
    <t>Laos</t>
  </si>
  <si>
    <t>Latvia</t>
  </si>
  <si>
    <t>Lebanon</t>
  </si>
  <si>
    <t>LB</t>
  </si>
  <si>
    <t>Lesotho</t>
  </si>
  <si>
    <t>Liberia</t>
  </si>
  <si>
    <t>Libya</t>
  </si>
  <si>
    <t>Liechtenstein</t>
  </si>
  <si>
    <t>Lithuania</t>
  </si>
  <si>
    <t>Luxembourg</t>
  </si>
  <si>
    <t>Macao(China)</t>
  </si>
  <si>
    <t>MO</t>
  </si>
  <si>
    <t>中国澳门</t>
  </si>
  <si>
    <t>Macedonia</t>
  </si>
  <si>
    <t>北马其顿</t>
  </si>
  <si>
    <t>Madagascar</t>
  </si>
  <si>
    <t>Malawi</t>
  </si>
  <si>
    <t>Malaysia</t>
  </si>
  <si>
    <t>Maldives</t>
  </si>
  <si>
    <t>Mali</t>
  </si>
  <si>
    <t>Malta</t>
  </si>
  <si>
    <t>Marshall Islands</t>
  </si>
  <si>
    <t>Martinique</t>
  </si>
  <si>
    <t>马提尼克岛</t>
  </si>
  <si>
    <t>Mauritius</t>
  </si>
  <si>
    <t>Mexico</t>
  </si>
  <si>
    <t>Moldova</t>
  </si>
  <si>
    <t>Monaco</t>
  </si>
  <si>
    <t>Mongolia</t>
  </si>
  <si>
    <t>Montenegro</t>
  </si>
  <si>
    <t>Montserrat</t>
  </si>
  <si>
    <t>MS</t>
  </si>
  <si>
    <t>蒙特塞拉特</t>
  </si>
  <si>
    <t>Morocco</t>
  </si>
  <si>
    <t>Mozambique</t>
  </si>
  <si>
    <t>Myanmar</t>
  </si>
  <si>
    <t>Namibia</t>
  </si>
  <si>
    <t>Nauru</t>
  </si>
  <si>
    <t>Nepal</t>
  </si>
  <si>
    <t>Netherland</t>
  </si>
  <si>
    <t>New Caledonia</t>
  </si>
  <si>
    <t>New Zealand</t>
  </si>
  <si>
    <t>Nicaragua</t>
  </si>
  <si>
    <t>Niger</t>
  </si>
  <si>
    <t>Nigeria</t>
  </si>
  <si>
    <t>Niue</t>
  </si>
  <si>
    <t>NU</t>
  </si>
  <si>
    <t>纽埃</t>
  </si>
  <si>
    <t>Norfolk Island</t>
  </si>
  <si>
    <t>NF</t>
  </si>
  <si>
    <t>诺福克岛</t>
  </si>
  <si>
    <t>Northern Mariana Islands</t>
  </si>
  <si>
    <t>Norway</t>
  </si>
  <si>
    <t>Oman</t>
  </si>
  <si>
    <t>Pakistan</t>
  </si>
  <si>
    <t>Palestine</t>
  </si>
  <si>
    <t>Panama</t>
  </si>
  <si>
    <t>Papua New Guinea</t>
  </si>
  <si>
    <t>Paraguay</t>
  </si>
  <si>
    <t>Peru</t>
  </si>
  <si>
    <t>Philippines</t>
  </si>
  <si>
    <t>Pitcairn</t>
  </si>
  <si>
    <t>PN</t>
  </si>
  <si>
    <t>皮特凯恩群岛</t>
  </si>
  <si>
    <t>Poland</t>
  </si>
  <si>
    <t>Portugal</t>
  </si>
  <si>
    <t>Puerto Rico</t>
  </si>
  <si>
    <t>Qatar</t>
  </si>
  <si>
    <t>Republic of Korea</t>
  </si>
  <si>
    <t>Reunion</t>
  </si>
  <si>
    <t>留尼汪岛</t>
  </si>
  <si>
    <t>Romania</t>
  </si>
  <si>
    <t>Russia</t>
  </si>
  <si>
    <t>Rwanda</t>
  </si>
  <si>
    <t>Saint Helena</t>
  </si>
  <si>
    <t>SH</t>
  </si>
  <si>
    <t>圣赫勒拿岛</t>
  </si>
  <si>
    <t>Saint Kitts And Nevis</t>
  </si>
  <si>
    <t>Saint Lucia</t>
  </si>
  <si>
    <t>Saint Pierre And Miquelon</t>
  </si>
  <si>
    <t>圣皮埃尔和密克隆群岛</t>
  </si>
  <si>
    <t>Saint Vincent and The Grenadies</t>
  </si>
  <si>
    <t>Samoa, Western</t>
  </si>
  <si>
    <t>西萨摩亚</t>
  </si>
  <si>
    <t>San Marino</t>
  </si>
  <si>
    <t>Sao Tome and Principe</t>
  </si>
  <si>
    <t>Saudi Arabia</t>
  </si>
  <si>
    <t>Senegal</t>
  </si>
  <si>
    <t>Serbia</t>
  </si>
  <si>
    <t>Seychelles</t>
  </si>
  <si>
    <t>Sierra Leone</t>
  </si>
  <si>
    <t>Singapore</t>
  </si>
  <si>
    <t>Sint Maarteen</t>
  </si>
  <si>
    <t>SX</t>
  </si>
  <si>
    <t>荷属圣马丁</t>
  </si>
  <si>
    <t>Slovakia</t>
  </si>
  <si>
    <t>Slovenia</t>
  </si>
  <si>
    <t>Solomon Islands</t>
  </si>
  <si>
    <t>SB</t>
  </si>
  <si>
    <t>所罗门群岛</t>
  </si>
  <si>
    <t>Somalia</t>
  </si>
  <si>
    <t>South Africa</t>
  </si>
  <si>
    <t>Spain</t>
  </si>
  <si>
    <t>Sri Lanka</t>
  </si>
  <si>
    <t>Sudan</t>
  </si>
  <si>
    <t>Suriname</t>
  </si>
  <si>
    <t>Swaziland</t>
  </si>
  <si>
    <t>SZ</t>
  </si>
  <si>
    <t>斯威士兰</t>
  </si>
  <si>
    <t>Sweden</t>
  </si>
  <si>
    <t>Switzerland</t>
  </si>
  <si>
    <t>Tajikistan</t>
  </si>
  <si>
    <t>Taiwan</t>
  </si>
  <si>
    <t>Tanzania</t>
  </si>
  <si>
    <t>Thailand</t>
  </si>
  <si>
    <t>Timor-leste</t>
  </si>
  <si>
    <t>Togo</t>
  </si>
  <si>
    <t>Tokelau</t>
  </si>
  <si>
    <t>Tonga</t>
  </si>
  <si>
    <t>Tortola (British Virgin Islands)</t>
  </si>
  <si>
    <t>VG</t>
  </si>
  <si>
    <t>托尔托拉岛(英属处女群岛)</t>
  </si>
  <si>
    <t>Trinidad and Tobago</t>
  </si>
  <si>
    <t>Tristan Da Cunha</t>
  </si>
  <si>
    <t>TA</t>
  </si>
  <si>
    <t>特里斯坦-达库尼亚群岛</t>
  </si>
  <si>
    <t>Tunisia</t>
  </si>
  <si>
    <t>Turkey</t>
  </si>
  <si>
    <t>Turks And Caicos Islands</t>
  </si>
  <si>
    <t>Tuvalu</t>
  </si>
  <si>
    <t>Uganda</t>
  </si>
  <si>
    <t>Ukraine</t>
  </si>
  <si>
    <t>United Kingdom</t>
  </si>
  <si>
    <t>United States</t>
  </si>
  <si>
    <t>United States Virgin Islands</t>
  </si>
  <si>
    <t>Uruguay</t>
  </si>
  <si>
    <t>Uzbekistan</t>
  </si>
  <si>
    <t>Vanuatu</t>
  </si>
  <si>
    <t>Venezuela</t>
  </si>
  <si>
    <t>Vietnam</t>
  </si>
  <si>
    <t>Wallis And Futuna Islands</t>
  </si>
  <si>
    <t>瓦利斯和富图纳群岛</t>
  </si>
  <si>
    <t>Zambia</t>
  </si>
  <si>
    <t>Zimbabwe</t>
  </si>
  <si>
    <r>
      <rPr>
        <b/>
        <sz val="8"/>
        <color rgb="FFFFFFFF"/>
        <rFont val="微软雅黑"/>
        <charset val="134"/>
      </rPr>
      <t>地址：深圳市龙华区民治街道光浩国际中心A座19楼</t>
    </r>
    <r>
      <rPr>
        <b/>
        <sz val="8"/>
        <color rgb="FFFFFFFF"/>
        <rFont val="微软雅黑"/>
        <charset val="134"/>
      </rPr>
      <t xml:space="preserve">   </t>
    </r>
    <r>
      <rPr>
        <b/>
        <sz val="8"/>
        <color rgb="FFFFFFFF"/>
        <rFont val="微软雅黑"/>
        <charset val="134"/>
      </rPr>
      <t>电话：4006075388</t>
    </r>
    <r>
      <rPr>
        <b/>
        <sz val="8"/>
        <color rgb="FFFFFFFF"/>
        <rFont val="微软雅黑"/>
        <charset val="134"/>
      </rPr>
      <t xml:space="preserve">   </t>
    </r>
    <r>
      <rPr>
        <b/>
        <sz val="8"/>
        <color rgb="FFFFFFFF"/>
        <rFont val="微软雅黑"/>
        <charset val="134"/>
      </rPr>
      <t>网址：www.sypost.com</t>
    </r>
    <r>
      <rPr>
        <b/>
        <sz val="8"/>
        <color rgb="FFFFFFFF"/>
        <rFont val="微软雅黑"/>
        <charset val="134"/>
      </rPr>
      <t xml:space="preserve">   </t>
    </r>
    <r>
      <rPr>
        <b/>
        <sz val="8"/>
        <color rgb="FFFFFFFF"/>
        <rFont val="微软雅黑"/>
        <charset val="134"/>
      </rPr>
      <t>邮箱：b@sypost.com</t>
    </r>
  </si>
  <si>
    <t>路向国</t>
  </si>
  <si>
    <t>包裹处理费
（RMB/票）</t>
  </si>
  <si>
    <t>包裹运费
（RMB/KG）</t>
  </si>
  <si>
    <t>重量段
（KG）</t>
  </si>
  <si>
    <t>重量 min</t>
  </si>
  <si>
    <t>重量 max</t>
  </si>
  <si>
    <t>参考时效
（工作日）</t>
  </si>
  <si>
    <t>旺季参考时效
（工作日）</t>
  </si>
  <si>
    <t>尺寸限制
（CM）</t>
  </si>
  <si>
    <t>备注说明</t>
  </si>
  <si>
    <t>0-0.15</t>
  </si>
  <si>
    <t>7-12</t>
  </si>
  <si>
    <t>10-15</t>
  </si>
  <si>
    <t>15＜L≤55，10≤W≤40,  H≤25</t>
  </si>
  <si>
    <t>1）起步50g,
2）圆柱体、不规则件，需加收34元/票附加费
3）L≤66且L+2（W+H）≤213cm的超尺寸包裹，需加收34元/票附加费
4）L＞66cm或L+2（W+H）&gt;213cm不可发</t>
  </si>
  <si>
    <t>0.151-0.3</t>
  </si>
  <si>
    <t>0.301-0.453</t>
  </si>
  <si>
    <t>0.454-0.7</t>
  </si>
  <si>
    <t>0.701-1.814</t>
  </si>
  <si>
    <t>1.815-2</t>
  </si>
  <si>
    <t>2.001-10</t>
  </si>
  <si>
    <t>0-0.3</t>
  </si>
  <si>
    <t>6-9</t>
  </si>
  <si>
    <t>7-10</t>
  </si>
  <si>
    <t>15≤L≤60,10≤W≤40，H≤40</t>
  </si>
  <si>
    <r>
      <rPr>
        <sz val="10"/>
        <color theme="1"/>
        <rFont val="微软雅黑"/>
        <charset val="134"/>
      </rPr>
      <t>(1)2区禁用,若单独申请开通发货需加收17元/票;</t>
    </r>
    <r>
      <rPr>
        <sz val="10"/>
        <color theme="1"/>
        <rFont val="Times New Roman"/>
        <charset val="134"/>
      </rPr>
      <t>​</t>
    </r>
    <r>
      <rPr>
        <sz val="10"/>
        <color theme="1"/>
        <rFont val="微软雅黑"/>
        <charset val="134"/>
      </rPr>
      <t xml:space="preserve">
2区邮编:苏格兰高地和群岛-邮政编码IV、HS、KA27-28、KW、PA20-49、PA60-78、PH17-26、PH30-44、   PH49-50、马恩岛、根西岛辖区和泽西岛、ZE、GY、JE、IM
(2)3区禁用,若单独申请开通发货需加收9元/票</t>
    </r>
    <r>
      <rPr>
        <sz val="10"/>
        <color theme="1"/>
        <rFont val="Times New Roman"/>
        <charset val="134"/>
      </rPr>
      <t>​</t>
    </r>
    <r>
      <rPr>
        <sz val="10"/>
        <color theme="1"/>
        <rFont val="微软雅黑"/>
        <charset val="134"/>
      </rPr>
      <t xml:space="preserve">
3区邮编:北爱尔兰和锡利群岛-邮政编码BT，TR21-25</t>
    </r>
    <r>
      <rPr>
        <sz val="10"/>
        <color theme="1"/>
        <rFont val="Times New Roman"/>
        <charset val="134"/>
      </rPr>
      <t>​</t>
    </r>
    <r>
      <rPr>
        <sz val="10"/>
        <color theme="1"/>
        <rFont val="微软雅黑"/>
        <charset val="134"/>
      </rPr>
      <t xml:space="preserve">
若有需求开通偏远邮编发货,请联系销售经理</t>
    </r>
  </si>
  <si>
    <t>0.301-1</t>
  </si>
  <si>
    <t>1.001-20</t>
  </si>
  <si>
    <t>0-0.1</t>
  </si>
  <si>
    <t>7-15</t>
  </si>
  <si>
    <t>15≤L≤100,10≤W≤60</t>
  </si>
  <si>
    <t>异形包裹需加收25元/票附加费</t>
  </si>
  <si>
    <t>0.1-0.3</t>
  </si>
  <si>
    <t>0.301-30</t>
  </si>
  <si>
    <t>15≤L≤60,10≤W≤50
L+H+W≤130</t>
  </si>
  <si>
    <t>0.3-5</t>
  </si>
  <si>
    <t>0-1</t>
  </si>
  <si>
    <t>15≤L≤60,10≤W≤50，L+H+W≤150</t>
  </si>
  <si>
    <t>1.001-30</t>
  </si>
  <si>
    <t>0-0.2KG</t>
  </si>
  <si>
    <t>15&lt;L≤60,L+W+H≤90</t>
  </si>
  <si>
    <t>禁发圆柱体，异形件加收48元/票</t>
  </si>
  <si>
    <t>0.201-0.4KG</t>
  </si>
  <si>
    <t>0.401-2KG</t>
  </si>
  <si>
    <t>重要提示：
随着步入旺季，为了尽量保证货物正常转运，请您避免出现以下几种因货物无法上分拣设备需人工操作导致转运延迟的情况：
1.超大规格或小于10x15CM尺寸的货物；
2.不规则货物（例如：球形、三角形、圆柱形等）；
3.面单不合规或模糊褶皱；
4.账户欠费。
5.所有国家不接受亚马逊仓库地址及其他海外仓库地址。</t>
  </si>
  <si>
    <t>注意事项：</t>
  </si>
  <si>
    <t>一、计泡说明</t>
  </si>
  <si>
    <t>1、计泡标准：符合渠道货物类型的按实重计费</t>
  </si>
  <si>
    <t>二、在线追踪</t>
  </si>
  <si>
    <t>1、专线类挂号小包类可追踪；平邮小包类不可追踪；</t>
  </si>
  <si>
    <t>2、查询网址如下：http://www.cne.com；http://www.17track.net</t>
  </si>
  <si>
    <t>三、关税相关</t>
  </si>
  <si>
    <t>1、清关模式：DDP模式，CNE预收VAT，不提供税单。</t>
  </si>
  <si>
    <t>2、美国：不接受申报价值超过USD800的产品，且不接受同一个收件人名且同一地址，当天累计包裹申报价值超过USD800</t>
  </si>
  <si>
    <t>3、英国：自2021年1月1日起，所有发往英国的货物取消15GBP以下免征VAT的豁免政策，至此之后申报价值≤135 英镑的 B2C 进口货物需交纳VAT，申报价值＞135 英镑的进口货物需交纳VAT和关税（Duty）。</t>
  </si>
  <si>
    <t>4、欧盟国家：下单时若未提供IOSS：（1）与CNE签署代缴协议，由CNE进行VAT的预收和代缴，VAT计费规则是每日发给同一收件人包裹的合计申报价值≤150EUR 时，按照订单申报价值的20%收取；（2）下单时已提供IOSS，申报价值≤150EUR 时，CNE将不再征收VAT；（3）包裹申报价值＞EUR150 时，有无IOSS都要征收VAT，另还会产生关税，产生关税以及产生的关税额度视所寄物品与当地海关的政策法规而定，CNE将会在海关账单下来的当月补扣该费用。</t>
  </si>
  <si>
    <t>四、查询标准</t>
  </si>
  <si>
    <t>1、发货起30天内：30天内查询确认丢件或者国外一直不反馈调查结果超过30天，按照遗失进行赔偿。（具体调查服务及调查时间以当地服务商反馈为准）</t>
  </si>
  <si>
    <r>
      <rPr>
        <sz val="10"/>
        <rFont val="微软雅黑"/>
        <charset val="134"/>
      </rPr>
      <t>2、发货起30-60天：只提供查询</t>
    </r>
    <r>
      <rPr>
        <sz val="10"/>
        <color theme="1"/>
        <rFont val="微软雅黑"/>
        <charset val="134"/>
      </rPr>
      <t>，若30天内国外确认丢件，则赔偿；没有确认，不赔偿。</t>
    </r>
  </si>
  <si>
    <t>3、发货起＞60天：不提供查询以及索赔服务。</t>
  </si>
  <si>
    <t>4、不接受查询：易碎品；送达后破损或者少货。</t>
  </si>
  <si>
    <t>5、调查时间：最长30天。</t>
  </si>
  <si>
    <t>6、 所有调查需要按照渠道服务商要求提供调查资料。</t>
  </si>
  <si>
    <t>五、赔偿标准</t>
  </si>
  <si>
    <t>1、未出库赔偿标准：即货件有CNE 揽收信息，但无操作记录，或者CNE已操作货件但未发出，经调查确认丢件，赔偿货件成本价值最高不超200元。如已收取运费，另退运费。索赔资料：成本价值证明。有效成本价值证明说明：https://www.cne.com/news/article/35415</t>
  </si>
  <si>
    <t>2、未上网赔偿标准：服务商未上网货件，经过调查确认丢件赔偿双倍运费，最高不超200元。 索赔资料：平台退款截图或补发单号。</t>
  </si>
  <si>
    <r>
      <rPr>
        <sz val="10"/>
        <color theme="1"/>
        <rFont val="微软雅黑"/>
        <charset val="134"/>
      </rPr>
      <t>3、已上网赔偿标准：货件在服务商官网上网后提起的调查，经服务商确认的丢件，赔偿申报价值不退运费，最高不超100元。</t>
    </r>
    <r>
      <rPr>
        <b/>
        <sz val="10"/>
        <color theme="1"/>
        <rFont val="微软雅黑"/>
        <charset val="134"/>
      </rPr>
      <t>（美国 路向上网后不提供索赔服务）索赔资料：按照渠道服务商索赔所需资料提供，具体以客服通知为准。</t>
    </r>
  </si>
  <si>
    <t>4、送达后破损或者少货、退件、查验、易碎品、延误及其他不可抗力因素无赔偿服务。</t>
  </si>
  <si>
    <t>5、贵重物品请自行购买保险，遗失、破损均按渠道标准赔偿。</t>
  </si>
  <si>
    <t>6、所有问题件需接受先开查后赔偿的原则，索赔申请需按渠道要求提供相关资料。</t>
  </si>
  <si>
    <t>六、走货属性</t>
  </si>
  <si>
    <t>1、本渠道只接收普通服装类，不接收枕头/棉被/毛绒玩具/棉服/鞋子等较泡产品，禁止带电或需要加热等的服装类产品。</t>
  </si>
  <si>
    <t>2、包装要求：本渠道只接收普通防水袋包装的产品，不接收纸盒包装产品（包括内件和外箱），不接受包装内有气泡柱、气泡膜。</t>
  </si>
  <si>
    <t>3、温馨提示：仓库会把不符合此渠道收货标准的包裹流转到问题件，届时您可以选择改发或者退回</t>
  </si>
  <si>
    <t>七、退到国外仓库（美国除外）</t>
  </si>
  <si>
    <t>1、提供退到国外仓库服务，但是不能保证每票退件都能退到，无索赔。（是否提供退件服务以当地服务商反馈为准）</t>
  </si>
  <si>
    <t>2、退件退到国外仓库后客服会工单通知，需在处理期限内回复是否需要重派，超期未回复服务商自动销毁，无索赔服务。</t>
  </si>
  <si>
    <t>3、退件重派有费用，重派原国家收取原运费，详情请咨询客服人员。</t>
  </si>
  <si>
    <t>特别提示：如贵司同意接受我司服务，即视为贵司已详细阅读过以上内容，并接受各条款的约束。</t>
  </si>
  <si>
    <t>1）起步50g
2）圆柱体、不规则件，需加收34元/票附加费
3）L≤66且L+2（W+H）≤213cm的超尺寸包裹，需加收34元/票附加费
4）L＞66cm或L+2（W+H）&gt;213cm不可发</t>
  </si>
  <si>
    <t>0-0.2</t>
  </si>
  <si>
    <t>15≤L≤80,10≤W≤60
L+W+H≤150</t>
  </si>
  <si>
    <t>0.201-0.4</t>
  </si>
  <si>
    <t>0.401-5</t>
  </si>
  <si>
    <t>0.3-30</t>
  </si>
  <si>
    <t>0.301-10</t>
  </si>
  <si>
    <t>15≤L≤100,10≤W≤50,L+2W+2H≤300</t>
  </si>
  <si>
    <t>0.201-3</t>
  </si>
  <si>
    <t>15≤L≤100,10≤W≤60
L+H+W&lt;150</t>
  </si>
  <si>
    <t>异形包裹需加收50元/票附加费，直径≥40cm或(直径x2+长)≥2m的异形包裹不可发</t>
  </si>
  <si>
    <t>0.201-1</t>
  </si>
  <si>
    <t>0-0.5</t>
  </si>
  <si>
    <t>15≤L≤60,10≤W≤50</t>
  </si>
  <si>
    <t>异形包裹需加收52元/票附加费</t>
  </si>
  <si>
    <t>0.5-10</t>
  </si>
  <si>
    <t>7-16</t>
  </si>
  <si>
    <t>15≤L≤80,10≤W≤60，L+2*W+2*H≤300</t>
  </si>
  <si>
    <t>异形包裹需加收180元/票附加费</t>
  </si>
  <si>
    <t>0.301-0.6</t>
  </si>
  <si>
    <t>0.601-20</t>
  </si>
  <si>
    <t>15≤L≤60,10≤W≤50,H≤30</t>
  </si>
  <si>
    <t>1) 圆柱体、不规则件，且尺寸小于50cm*20cm(直径*高)，需加收55元/票附加费
2) L≤105cm且H≤55cm的超尺寸包裹，附加费55元/票
3) L&gt;105cm或H&gt;55cm不可发</t>
  </si>
  <si>
    <t>1.001-10</t>
  </si>
  <si>
    <t>15≤L≤80,10≤W≤60</t>
  </si>
  <si>
    <t>禁发异形件</t>
  </si>
  <si>
    <t>0.201-2</t>
  </si>
  <si>
    <t>2-30</t>
  </si>
  <si>
    <t>0.2-1</t>
  </si>
  <si>
    <t>L＜60,L+2W+2H＜120</t>
  </si>
  <si>
    <t>0.301-20</t>
  </si>
  <si>
    <t>15≤L＜60,L+W+H＜90</t>
  </si>
  <si>
    <t>50G起步；禁发异形件</t>
  </si>
  <si>
    <t>0.101-0.6</t>
  </si>
  <si>
    <t>0.6-10</t>
  </si>
  <si>
    <t>0-5</t>
  </si>
  <si>
    <t>7-9</t>
  </si>
  <si>
    <t>L＜60,L+W+H＜120</t>
  </si>
  <si>
    <t>包裹首重
（RMB/500G）</t>
  </si>
  <si>
    <t>包裹续重
（RMB/500G）</t>
  </si>
  <si>
    <t>0-10KG</t>
  </si>
  <si>
    <t>2-4</t>
  </si>
  <si>
    <t>2-7</t>
  </si>
  <si>
    <t>L+W+H≤160</t>
  </si>
  <si>
    <t>①不接受亚马逊地址
②日本禁发医疗用品
③冲绳偏远禁运，如需开通下单请联系业务或客服
④禁发植物类、土壤类及果实、种子类等产品</t>
  </si>
  <si>
    <t>1、计泡标准：货物单边&gt;5CM且L+W+H＞50CM需计泡（除日本），日本是L+W+H＞60CM需计泡。</t>
  </si>
  <si>
    <t>2、计泡系数（除日本）</t>
  </si>
  <si>
    <t>①.单边&gt;5CM且50CM&lt;L+W+H≤70CM,记泡系数10000</t>
  </si>
  <si>
    <t>②.单边&gt;5CM且70CM&lt;L+W+H≤90CM,记泡系数8000</t>
  </si>
  <si>
    <t>③.L+W+H&gt;90CM,记泡系数6000</t>
  </si>
  <si>
    <t>3、日本计泡系数</t>
  </si>
  <si>
    <t>L+W+H&gt;60CM,记泡系数6000</t>
  </si>
  <si>
    <t>注：三边之和小于50CM单件泡比过高或者批量单一品类泡货请提前沟通，否则我司有计泡的权利。</t>
  </si>
  <si>
    <t>2、欧盟国家：下单时若未提供IOSS：（1）与CNE签署代缴协议，由CNE进行VAT的预收和代缴，VAT计费规则是每日发给同一收件人包裹的合计申报价值≤150EUR 时，按照订单申报价值的20%收取；（2）下单时已提供IOSS，申报价值≤150EUR 时，CNE将不再征收VAT；（3）包裹申报价值＞EUR150 时，有无IOSS都要征收VAT，另还会产生关税，产生关税以及产生的关税额度视所寄物品与当地海关的政策法规而定，CNE将会在海关账单下来的当月补扣该费用。</t>
  </si>
  <si>
    <t>3、日本：（1）不接受申报价值超过JPY10000（约等同USD95）的产品，不收所有真皮类包裹，包括但不仅限于，真皮外套，真皮皮鞋、真皮腰带等。如产生税金，由发件人支付，税金实报实销，不收取手续费。
              （2）不接受公司性质的收件人地址，包裹内商品数量需符合正常个人自用范围，且每批次同一个收件人只能一个包裹，否则因此导致的查验和相关费用等风险由发件方自行承担。</t>
  </si>
  <si>
    <t>4、英国：自2021年1月1日起，所有发往英国的货物取消15GBP以下免征VAT的豁免政策，至此之后申报价值≤135 英镑的 B2C 进口货物需交纳VAT，申报价值＞135 英镑的进口货物需交纳VAT和关税（Duty）。</t>
  </si>
  <si>
    <t>5、瑞士：不接受申报价值超过CHF62（约等同EUR60）的产品，且不接受同一个收件人名且同一地址，当天累计包裹申报价值超过CHF 62。</t>
  </si>
  <si>
    <t>6、美国：不接受申报价值超过USD800的产品，且不接受同一个收件人名且同一地址，当天累计包裹申报价值超过USD800</t>
  </si>
  <si>
    <t>1、未出库赔偿标准：即货件有CNE 揽收信息，但无操作记录，或者CNE已操作货件但未发出，经调查确认丢件，赔偿货件成本价值最高不超200元。如已收取运费，另退运费。 
索赔资料：成本价值证明。有效成本价值证明说明：https://www.cne.com/news/article/35415</t>
  </si>
  <si>
    <t>3、已上网赔偿标准：货件在服务商官网上网后提起的调查，经服务商确认的丢件，赔偿申报价值不退运费，最高不超100元。（美国：赔偿单倍运费，最高不超100元）索赔资料：按照渠道服务商索赔所需资料提供，具体以客服通知为准。</t>
  </si>
  <si>
    <r>
      <rPr>
        <b/>
        <sz val="10"/>
        <rFont val="微软雅黑"/>
        <charset val="134"/>
      </rPr>
      <t>六、退到国外仓库</t>
    </r>
    <r>
      <rPr>
        <b/>
        <sz val="10"/>
        <color theme="1"/>
        <rFont val="微软雅黑"/>
        <charset val="134"/>
      </rPr>
      <t>（爱尔兰、比利时、波兰、捷克、匈牙利、美国除外）</t>
    </r>
  </si>
  <si>
    <t>报价币种：人民币                            价格生效日期：2024年10月14日</t>
  </si>
  <si>
    <t>大洲/地区</t>
  </si>
  <si>
    <t>国家/地区</t>
  </si>
  <si>
    <t>产品代码</t>
  </si>
  <si>
    <t>报价区域</t>
  </si>
  <si>
    <t>收费标准</t>
  </si>
  <si>
    <t>标准尺寸</t>
  </si>
  <si>
    <t>可服务超尺寸及附加费</t>
  </si>
  <si>
    <t>时效
（工作日）</t>
  </si>
  <si>
    <t>备注</t>
  </si>
  <si>
    <t>运费
RMB/KG</t>
  </si>
  <si>
    <t>挂号费
RMB/票</t>
  </si>
  <si>
    <t>北美洲</t>
  </si>
  <si>
    <t>S5060</t>
  </si>
  <si>
    <t>华南/华东</t>
  </si>
  <si>
    <r>
      <rPr>
        <sz val="10"/>
        <color rgb="FF000000"/>
        <rFont val="微软雅黑"/>
        <charset val="134"/>
      </rPr>
      <t>最小尺寸：10*15CM
最大尺寸：三边之和≤</t>
    </r>
    <r>
      <rPr>
        <sz val="10"/>
        <color rgb="FF000000"/>
        <rFont val="微软雅黑"/>
        <charset val="134"/>
      </rPr>
      <t>90cm</t>
    </r>
    <r>
      <rPr>
        <sz val="10"/>
        <color rgb="FF000000"/>
        <rFont val="微软雅黑"/>
        <charset val="134"/>
      </rPr>
      <t>，单边≤</t>
    </r>
    <r>
      <rPr>
        <sz val="10"/>
        <color rgb="FF000000"/>
        <rFont val="微软雅黑"/>
        <charset val="134"/>
      </rPr>
      <t>60cm</t>
    </r>
  </si>
  <si>
    <t>/</t>
  </si>
  <si>
    <t>15-17</t>
  </si>
  <si>
    <t>可服务邮编，见“分区&amp;无服务邮编表”</t>
  </si>
  <si>
    <t>0.101-0.2</t>
  </si>
  <si>
    <t>0.201-0.45</t>
  </si>
  <si>
    <t>0.451-0.7</t>
  </si>
  <si>
    <t>0.701-1</t>
  </si>
  <si>
    <t>1.001-2</t>
  </si>
  <si>
    <t>最小尺寸：10*15cm
最大尺寸：60cm*40cm*35cm</t>
  </si>
  <si>
    <t>0.301-0.5</t>
  </si>
  <si>
    <t>0.501-2</t>
  </si>
  <si>
    <t>2.001-5</t>
  </si>
  <si>
    <t>最小尺寸：10*15cm
最大尺寸：40cm*50cm*60cm</t>
  </si>
  <si>
    <r>
      <rPr>
        <sz val="10"/>
        <color rgb="FF000000"/>
        <rFont val="微软雅黑"/>
        <charset val="134"/>
      </rPr>
      <t>10-</t>
    </r>
    <r>
      <rPr>
        <sz val="10"/>
        <color rgb="FF000000"/>
        <rFont val="微软雅黑"/>
        <charset val="134"/>
      </rPr>
      <t>20</t>
    </r>
  </si>
  <si>
    <r>
      <rPr>
        <sz val="10"/>
        <color rgb="FF000000"/>
        <rFont val="微软雅黑"/>
        <charset val="134"/>
      </rPr>
      <t>0.501-</t>
    </r>
    <r>
      <rPr>
        <sz val="10"/>
        <color rgb="FF000000"/>
        <rFont val="微软雅黑"/>
        <charset val="134"/>
      </rPr>
      <t>1</t>
    </r>
  </si>
  <si>
    <t>1.001-5</t>
  </si>
  <si>
    <t>南美洲</t>
  </si>
  <si>
    <t>最小尺寸：10*15cm
最大尺寸：单边长度≤100cm
长+宽+高≤200cm</t>
  </si>
  <si>
    <t>15-25
受PRC政策影响
预计延误7-10天</t>
  </si>
  <si>
    <t>0.201-0.5</t>
  </si>
  <si>
    <t>0.501-1</t>
  </si>
  <si>
    <t>1.01-1.5</t>
  </si>
  <si>
    <t>1.501-2</t>
  </si>
  <si>
    <t>2.01-30</t>
  </si>
  <si>
    <t>欧洲</t>
  </si>
  <si>
    <t>0-2</t>
  </si>
  <si>
    <t>最小尺寸：10CM*15CM
单边尺寸：≤60CM
三边尺寸：长+宽+高≤90CM</t>
  </si>
  <si>
    <t>无服务邮编：邮编前两位97、98</t>
  </si>
  <si>
    <t>无服务邮编：27498、78266</t>
  </si>
  <si>
    <t>无服务邮编：120、47890 – 47899、22061、23030</t>
  </si>
  <si>
    <t>无服务邮编：51、52、35、38开头、44500、GX11_1AA</t>
  </si>
  <si>
    <t>无服务邮编：FO 100:999、3900:3999</t>
  </si>
  <si>
    <t>无服务邮编：630_86</t>
  </si>
  <si>
    <t>无服务邮编：22000:22999</t>
  </si>
  <si>
    <t>报价币种：人民币                            价格生效日期：2024年10月19日</t>
  </si>
  <si>
    <t>大洲</t>
  </si>
  <si>
    <t>JW</t>
  </si>
  <si>
    <t>最小尺寸：10*15CM
最大尺寸：60*40*35CM</t>
  </si>
  <si>
    <t>9-14</t>
  </si>
  <si>
    <t>无服务邮编： ①邮编前3位006-009,967-969,995-999（006-009：波多黎各、维尔京群岛；967-969：夏威夷、关岛；995-999：阿拉斯加）；②不接受APO/FPO军事地址和亚马逊仓库地址；</t>
  </si>
  <si>
    <t>1.001-3</t>
  </si>
  <si>
    <t>3.001-6</t>
  </si>
  <si>
    <t>6.001-30</t>
  </si>
  <si>
    <r>
      <rPr>
        <sz val="10"/>
        <rFont val="微软雅黑"/>
        <charset val="134"/>
      </rPr>
      <t>单边长度≤100CM</t>
    </r>
    <r>
      <rPr>
        <sz val="10"/>
        <rFont val="微软雅黑"/>
        <charset val="134"/>
      </rPr>
      <t xml:space="preserve">
</t>
    </r>
    <r>
      <rPr>
        <sz val="10"/>
        <rFont val="微软雅黑"/>
        <charset val="134"/>
      </rPr>
      <t>长+宽+高≤200CM</t>
    </r>
  </si>
  <si>
    <t>12-17</t>
  </si>
  <si>
    <t>0.501-1.5</t>
  </si>
  <si>
    <t>2.001-30</t>
  </si>
  <si>
    <t>0-0.25</t>
  </si>
  <si>
    <t>最大尺寸：40cm*50m*60cm</t>
  </si>
  <si>
    <t>12-22</t>
  </si>
  <si>
    <t>【禁运物品清单】</t>
  </si>
  <si>
    <t>0.251-0.5</t>
  </si>
  <si>
    <t>1.001-1.5</t>
  </si>
  <si>
    <t>0-2KG：
最小尺寸：10CM*21CM
单边尺寸：≤60CM
三边尺寸：60CM*40CM*35CM
最大体积＜0.04m³
2-15KG
最小尺寸：10CM*21CM
单边尺寸：≤120CM
三边尺寸：长+宽+高≤150CM
最大体积＜0.04m³</t>
  </si>
  <si>
    <t>主要地区收费标准：130RMB/票；
0-2KG：60CM＜单边≤120CM   或 140CM＜长+宽+高≤150CM或
0-15KG 体积长*宽*高≥0.04m³
偏远地区：不接受超尺服务
2-15KG不接受超尺服务；</t>
  </si>
  <si>
    <t>无服务邮编
详见 【分区&amp;无服务邮编表】</t>
  </si>
  <si>
    <t>2.001-15</t>
  </si>
  <si>
    <t>最大尺寸限制：120CM*60CM*60CM；最小尺寸限制：10*21CM</t>
  </si>
  <si>
    <t>10-12</t>
  </si>
  <si>
    <t>不提供P.O.BOX及军事地址派送服务；</t>
  </si>
  <si>
    <t>0.301-2</t>
  </si>
  <si>
    <t>2.001-3</t>
  </si>
  <si>
    <t>3.001-30</t>
  </si>
  <si>
    <t>0-0.4</t>
  </si>
  <si>
    <r>
      <rPr>
        <b/>
        <sz val="10"/>
        <rFont val="微软雅黑"/>
        <charset val="134"/>
      </rPr>
      <t>0-2KG：</t>
    </r>
    <r>
      <rPr>
        <sz val="10"/>
        <rFont val="微软雅黑"/>
        <charset val="134"/>
      </rPr>
      <t xml:space="preserve">
最小尺寸：10CM*15CM
单边尺寸：最长边不超60CM
三边尺寸：长+宽+高≤90CM
</t>
    </r>
    <r>
      <rPr>
        <b/>
        <sz val="10"/>
        <rFont val="微软雅黑"/>
        <charset val="134"/>
      </rPr>
      <t>2-30KG：</t>
    </r>
    <r>
      <rPr>
        <sz val="10"/>
        <rFont val="微软雅黑"/>
        <charset val="134"/>
      </rPr>
      <t xml:space="preserve">
最小尺寸：10CM*15CM
单边尺寸：最长边不超80CM
三边尺寸：长+宽+高≤120CM</t>
    </r>
  </si>
  <si>
    <r>
      <rPr>
        <b/>
        <sz val="10"/>
        <rFont val="微软雅黑"/>
        <charset val="134"/>
      </rPr>
      <t xml:space="preserve">收费标准：130RMB/票；
</t>
    </r>
    <r>
      <rPr>
        <sz val="10"/>
        <rFont val="微软雅黑"/>
        <charset val="134"/>
      </rPr>
      <t>0-2KG：60CM＜单边≤100CM 或 90CM＜长+宽+高≤150CM
2-30KG：80CM&lt;单边≤100CM或120CM&lt;长+宽+高≤150CM</t>
    </r>
  </si>
  <si>
    <t>无服务邮编编码 前两位： 97、98、00，POBOX，军事地址：字符里有armee或者armée 及 字符里有或邮编为00100和00200</t>
  </si>
  <si>
    <t>0.401-30</t>
  </si>
  <si>
    <t>0-20</t>
  </si>
  <si>
    <t>最大尺寸限制：40CM*50CM*60CM
最小尺寸：10*15CM</t>
  </si>
  <si>
    <t>亚洲</t>
  </si>
  <si>
    <t>最小尺寸：10CM*20CM
单边尺寸：≤100CM
三边尺寸：长+宽+高≤160CM</t>
  </si>
  <si>
    <t>6-8</t>
  </si>
  <si>
    <t>2.001-20</t>
  </si>
  <si>
    <t>澳大利亚-3区</t>
  </si>
  <si>
    <t>0.3-0.5</t>
  </si>
  <si>
    <t>0.5-1</t>
  </si>
  <si>
    <t>1-2</t>
  </si>
  <si>
    <t>价格使用说明</t>
  </si>
  <si>
    <t>一、计费重量</t>
  </si>
  <si>
    <t>以G为单位进位；</t>
  </si>
  <si>
    <t>取实重和体积重较大值计费（体积重量计算方式为：长*宽*高/8000），测量以我司数据为准；</t>
  </si>
  <si>
    <r>
      <rPr>
        <b/>
        <sz val="10"/>
        <rFont val="微软雅黑"/>
        <charset val="134"/>
      </rPr>
      <t>美国、加拿大、西班牙</t>
    </r>
    <r>
      <rPr>
        <sz val="10"/>
        <rFont val="微软雅黑"/>
        <charset val="134"/>
      </rPr>
      <t>：最低50G计费；</t>
    </r>
  </si>
  <si>
    <t>二、尺寸限制补充说明</t>
  </si>
  <si>
    <r>
      <rPr>
        <b/>
        <sz val="10"/>
        <rFont val="微软雅黑"/>
        <charset val="134"/>
      </rPr>
      <t>英国、法国</t>
    </r>
    <r>
      <rPr>
        <sz val="10"/>
        <rFont val="微软雅黑"/>
        <charset val="134"/>
      </rPr>
      <t>：不接受圆筒状等不规则产品，若有发货，需额外收取130RMB/票的处理费;</t>
    </r>
  </si>
  <si>
    <r>
      <rPr>
        <b/>
        <sz val="10"/>
        <rFont val="微软雅黑"/>
        <charset val="134"/>
      </rPr>
      <t>墨西哥：</t>
    </r>
    <r>
      <rPr>
        <sz val="10"/>
        <rFont val="微软雅黑"/>
        <charset val="134"/>
      </rPr>
      <t>不接受圆筒状等不规则产品。</t>
    </r>
  </si>
  <si>
    <r>
      <rPr>
        <b/>
        <sz val="10"/>
        <rFont val="微软雅黑"/>
        <charset val="134"/>
      </rPr>
      <t>德国：</t>
    </r>
    <r>
      <rPr>
        <sz val="10"/>
        <rFont val="微软雅黑"/>
        <charset val="134"/>
      </rPr>
      <t>不接受不规则产品（圆形货物；三角形、三棱状包装；货物主体上附带凸出的货物；货物底部不平稳，异性货物；多个包裹捆绑在一起致超尺寸的货物；使用特殊麻袋、桶状、金属、木质、布料包装的货物、薄膜或快递袋的包装
有提手环或收口；用橡皮筋捆扎或只用胶带缠绕的外包装）。</t>
    </r>
    <r>
      <rPr>
        <b/>
        <sz val="10"/>
        <rFont val="微软雅黑"/>
        <charset val="134"/>
      </rPr>
      <t>若有发货，需额外收取130RMB/票的处理费</t>
    </r>
    <r>
      <rPr>
        <sz val="10"/>
        <rFont val="微软雅黑"/>
        <charset val="134"/>
      </rPr>
      <t>；</t>
    </r>
  </si>
  <si>
    <t>其他国家不接受圆筒状等不规则产品，若有发货，需额外收取130RMB/票的处理费；</t>
  </si>
  <si>
    <t>关于异形件示例，见附表【异形件说明】。</t>
  </si>
  <si>
    <t>三、申报及税费</t>
  </si>
  <si>
    <t>1、通用条款：</t>
  </si>
  <si>
    <t>①货件品名和申报价值需如实申报，此报价不含目的地海关的关税、海关罚款、仓储费以及收件人责任所引起的相关费用；</t>
  </si>
  <si>
    <t>②如因申报不符等原因导致的相关费用以及法律责任，由发件人自行承担；</t>
  </si>
  <si>
    <t>③如因发件人蓄意低报所产生的后果（eg.海关扣件/罚款等）由发件人自行承担；</t>
  </si>
  <si>
    <t>④申报的收件人姓名不可含有公司名字样，如：Gmbh、kft、SRL、Ltd，如含有这些字样，在进口申报时可能被海关定义为B2B模式而要求缴纳关税；</t>
  </si>
  <si>
    <t>2、各国家详细条款：</t>
  </si>
  <si>
    <r>
      <rPr>
        <b/>
        <sz val="10"/>
        <rFont val="微软雅黑"/>
        <charset val="134"/>
      </rPr>
      <t>美国</t>
    </r>
    <r>
      <rPr>
        <sz val="10"/>
        <rFont val="微软雅黑"/>
        <charset val="134"/>
      </rPr>
      <t>：不接受申报价值超过800美金的货物；不接受同一个收件人名且同一个地址，当天累计包裹申报价值超过800美金。A.根据T86相关规定，货物申报品名必须具体、精确，而某些常见的模糊描述将不再被接受，①必须确保清关预报
品名描述包括货物名称，用途，材质等描述，比如：cloth可以细化成“women's polyester shirt”，②品名描述不应包括型号，比如：”women's polyester shirt(ui033)“不应涵盖型号ui033；B 收件人名应该包括"名+姓"，而不是单
名/单姓;</t>
    </r>
  </si>
  <si>
    <r>
      <rPr>
        <b/>
        <sz val="10"/>
        <rFont val="微软雅黑"/>
        <charset val="134"/>
      </rPr>
      <t>加拿大</t>
    </r>
    <r>
      <rPr>
        <sz val="10"/>
        <rFont val="微软雅黑"/>
        <charset val="134"/>
      </rPr>
      <t>：此产品仅支持DDP模式，申报价值≤20加币免税（约15美元）；20加币＜申报价值≤136加币（约100美元）按申报价值*12%收取；不接受申报价值＞136加币（约100美元）的货物；若计费重&gt;5KG，申报价值不得低于20
加币（约15美元）；以实际清关时汇率为准，若美元与加币汇率变动产生了关税，我司会另行加收。
申报要求：①申报品名不能为大类申报，必须为具体品名，如：不能申报服装，应具体申报为女式上衣等；②若申报价值超过20加币，需在申报品名前补充货物材质；③不接受合并报关；④收件人姓名必须与CPF(税号)的姓名保持一致。</t>
    </r>
  </si>
  <si>
    <r>
      <rPr>
        <b/>
        <sz val="10"/>
        <rFont val="微软雅黑"/>
        <charset val="134"/>
      </rPr>
      <t>墨西哥</t>
    </r>
    <r>
      <rPr>
        <sz val="10"/>
        <rFont val="微软雅黑"/>
        <charset val="134"/>
      </rPr>
      <t>：暂不接受申报价值大于50USD的货物，货件品名和申报价值请如实申报。
一般情况下，申报价值50USD内免征关税，若经海关核实，认定实际货物价值超过50USD，产生的相关费用由发件人承担。
每个包裹同个产品件数不超过5件；同一收件人名，同一收件地址，当天累计包裹申报价值大于等于50美金会产生关税。</t>
    </r>
  </si>
  <si>
    <r>
      <rPr>
        <b/>
        <sz val="10"/>
        <color rgb="FF000000"/>
        <rFont val="微软雅黑"/>
        <charset val="134"/>
      </rPr>
      <t>日本</t>
    </r>
    <r>
      <rPr>
        <sz val="10"/>
        <color rgb="FF000000"/>
        <rFont val="微软雅黑"/>
        <charset val="134"/>
      </rPr>
      <t>：①针织类及皮革类等类目为必税品类，关税起征点为零，其它产品关税起征点为16,000 JPY；申报价值超过</t>
    </r>
    <r>
      <rPr>
        <b/>
        <sz val="10"/>
        <color rgb="FF000000"/>
        <rFont val="微软雅黑"/>
        <charset val="134"/>
      </rPr>
      <t>起征点</t>
    </r>
    <r>
      <rPr>
        <sz val="10"/>
        <color rgb="FF000000"/>
        <rFont val="微软雅黑"/>
        <charset val="134"/>
      </rPr>
      <t>将产生税金=关税+消费税（10%）+地方消费税（22/78），同时会收取通关手续费（类似DDP手续费）100元/票。
②客户下单时申报金额</t>
    </r>
    <r>
      <rPr>
        <b/>
        <sz val="10"/>
        <color rgb="FF000000"/>
        <rFont val="微软雅黑"/>
        <charset val="134"/>
      </rPr>
      <t>起征点</t>
    </r>
    <r>
      <rPr>
        <sz val="10"/>
        <color rgb="FF000000"/>
        <rFont val="微软雅黑"/>
        <charset val="134"/>
      </rPr>
      <t>，将预收税金=申报价值*20%，[关税10%+消费税综合10%（7.8%+2.2%)]。③如实申报，申报价值与销售价值保持一致；</t>
    </r>
  </si>
  <si>
    <t>澳大利亚：不接受申报价值超过120USD的包裹，货件品名和申报价值需如实申报，同一收件人名，同一收件地址，当天累计包裹申报价值大于等于1000AUD（685USD）相关税费为收件人支付；</t>
  </si>
  <si>
    <t>德国、法国、西班牙、爱尔兰：</t>
  </si>
  <si>
    <t>①下单时IOSS 号码为必填；海关编码为非必填；</t>
  </si>
  <si>
    <t>②申报币种： 欧元或美金申报；</t>
  </si>
  <si>
    <t>③增值税起征点为0欧元（美金），只接受申报价值≤150欧元或≤150美金的货物，系统不再征收增值税VAT；</t>
  </si>
  <si>
    <t>④如实申报，申报价值与销售价值保持一致；</t>
  </si>
  <si>
    <r>
      <rPr>
        <b/>
        <sz val="10"/>
        <rFont val="微软雅黑"/>
        <charset val="134"/>
      </rPr>
      <t>英国</t>
    </r>
    <r>
      <rPr>
        <sz val="10"/>
        <rFont val="微软雅黑"/>
        <charset val="134"/>
      </rPr>
      <t>：2021年1月1日0点起，对所有英国境外进口的B2C包裹VAT（增值税），由清关点征收变为交易点征收，税金起征点为零；申报价值小于等于135英镑（约168美金），相关税费由平台代缴或卖家自主向英国HMRC申报缴纳，我司
不再提前征收税金。不接受申报价值大于135英镑的货物，且不接受同一个收件人名同一地址当天累计包裹申报价值超过135英镑的货物；
特别地，卖家（平台卖家或直接卖家）均负有向英国HMRC申报税务的责任。如因卖家的VAT/EORI出现问题导致清关异常，需由卖家自行承担。</t>
    </r>
  </si>
  <si>
    <t>四、派送附加说明</t>
  </si>
  <si>
    <r>
      <rPr>
        <b/>
        <sz val="10"/>
        <color rgb="FF000000"/>
        <rFont val="微软雅黑"/>
        <charset val="134"/>
      </rPr>
      <t>德国：</t>
    </r>
    <r>
      <rPr>
        <sz val="10"/>
        <color rgb="FF000000"/>
        <rFont val="微软雅黑"/>
        <charset val="134"/>
      </rPr>
      <t>不提供P.O.BOX及军事地址派送服务；</t>
    </r>
  </si>
  <si>
    <r>
      <rPr>
        <b/>
        <sz val="10"/>
        <color rgb="FF000000"/>
        <rFont val="微软雅黑"/>
        <charset val="134"/>
      </rPr>
      <t>法国</t>
    </r>
    <r>
      <rPr>
        <sz val="10"/>
        <color rgb="FF000000"/>
        <rFont val="微软雅黑"/>
        <charset val="134"/>
      </rPr>
      <t>：不提供P.O.BOX地址、军事地址（字符里有armee或者armée 及 字符里有或邮编为00100和00200）及法国附属岛屿（邮编编码前两位： 97、98、00）服务；</t>
    </r>
  </si>
  <si>
    <r>
      <rPr>
        <b/>
        <sz val="10"/>
        <rFont val="微软雅黑"/>
        <charset val="134"/>
      </rPr>
      <t>西班牙</t>
    </r>
    <r>
      <rPr>
        <sz val="10"/>
        <rFont val="微软雅黑"/>
        <charset val="134"/>
      </rPr>
      <t>：可服务邮编详见 【分区&amp;无服务邮编表】</t>
    </r>
  </si>
  <si>
    <r>
      <rPr>
        <b/>
        <sz val="10"/>
        <color theme="1"/>
        <rFont val="微软雅黑"/>
        <charset val="134"/>
      </rPr>
      <t>英国</t>
    </r>
    <r>
      <rPr>
        <sz val="10"/>
        <color theme="1"/>
        <rFont val="微软雅黑"/>
        <charset val="134"/>
      </rPr>
      <t>：只服务主要地区，若因篡改地址规则发往军事地址BFPO需加收附加费110RMB/票；若因篡改地址规则发往偏远区域，费用实报实销，偏远邮编详见【分区&amp;无服务邮编表】；</t>
    </r>
  </si>
  <si>
    <r>
      <rPr>
        <b/>
        <sz val="10"/>
        <color rgb="FF000000"/>
        <rFont val="微软雅黑"/>
        <charset val="134"/>
      </rPr>
      <t>加拿大</t>
    </r>
    <r>
      <rPr>
        <sz val="10"/>
        <color rgb="FF000000"/>
        <rFont val="微软雅黑"/>
        <charset val="134"/>
      </rPr>
      <t>：若收件人联系服务商更改派送地址，或者经由服务商系统自动检测出派送邮编与地址不一致，服务商会自行进行更正，并产生7CAD/票的更改费用（约37RMB/票），此费用按照服务商账单实报实销；</t>
    </r>
  </si>
  <si>
    <r>
      <rPr>
        <b/>
        <sz val="10"/>
        <color rgb="FF000000"/>
        <rFont val="微软雅黑"/>
        <charset val="134"/>
      </rPr>
      <t>澳大利亚：</t>
    </r>
    <r>
      <rPr>
        <sz val="10"/>
        <color rgb="FF000000"/>
        <rFont val="微软雅黑"/>
        <charset val="134"/>
      </rPr>
      <t>不提供P.O.BOX\Parcel Locker及军事地址派送服务；</t>
    </r>
  </si>
  <si>
    <t>五、禁限运</t>
  </si>
  <si>
    <t>禁运物品：液体，粉末，食品，香烟，光碟，仿真枪只，玩具枪，大型刀具，反共书箱，动植物，贵金属，矿石，化工原料以及成品、半成品，易燃易爆物品，纯电池，移动电源，枪支弹药及配件，具有放电功能的电子设备，宗教
资料等；不接受任何航空公司、海关及目的国拒绝入境的货物；</t>
  </si>
  <si>
    <r>
      <rPr>
        <b/>
        <sz val="10"/>
        <rFont val="微软雅黑"/>
        <charset val="134"/>
      </rPr>
      <t>美国</t>
    </r>
    <r>
      <rPr>
        <sz val="10"/>
        <rFont val="微软雅黑"/>
        <charset val="134"/>
      </rPr>
      <t>：T86海关拒绝入境的货物：①FDA管控医疗产品：急救绷带、心电图、牙线、牙胶、洗手液、丁腈手套、医用长袍、外科口罩等；②“反倾销”和“反补贴”范围的货物：床垫、自行车等；③EPA管控的含毒性风险的日用品(含
三氯乙烯TCE）：去污剂、清洁凝胶、清洁剂等；④EPA管控的杀虫设备：有害生物防治工具、捕鼠器、溶剂捕集器等；⑤敏感性配件：汽车燃油过滤器、药片压片机、冲孔套装、汽车滤清器清洁套装等；</t>
    </r>
  </si>
  <si>
    <r>
      <rPr>
        <b/>
        <sz val="10"/>
        <color indexed="8"/>
        <rFont val="微软雅黑"/>
        <charset val="134"/>
      </rPr>
      <t>德国、法国：</t>
    </r>
    <r>
      <rPr>
        <sz val="10"/>
        <color indexed="8"/>
        <rFont val="微软雅黑"/>
        <charset val="134"/>
      </rPr>
      <t>不接受食品、药品、粉末、液体、动植物类、危险品、烟酒、现金、有价证券、淫秽物品、侵权产品、航空禁运品以及其他当地法律禁止邮寄的物品，德国不接受</t>
    </r>
    <r>
      <rPr>
        <b/>
        <sz val="10"/>
        <color indexed="10"/>
        <rFont val="微软雅黑"/>
        <charset val="134"/>
      </rPr>
      <t>不符合德国包装法</t>
    </r>
    <r>
      <rPr>
        <sz val="10"/>
        <color indexed="8"/>
        <rFont val="微软雅黑"/>
        <charset val="134"/>
      </rPr>
      <t>等物品；</t>
    </r>
  </si>
  <si>
    <r>
      <rPr>
        <b/>
        <sz val="10"/>
        <rFont val="微软雅黑"/>
        <charset val="134"/>
      </rPr>
      <t>澳大利亚</t>
    </r>
    <r>
      <rPr>
        <sz val="10"/>
        <rFont val="微软雅黑"/>
        <charset val="134"/>
      </rPr>
      <t>：禁止进口动植物及含有动植物成本的产品。不接受任何澳大利亚海关限制进口及禁止进口产品，空运危险品等。产生的海关费用预计包括销毁费和检验检疫费用（大约AUD250），费用实报实销由发货人承担。</t>
    </r>
  </si>
  <si>
    <r>
      <rPr>
        <b/>
        <sz val="10"/>
        <color rgb="FF000000"/>
        <rFont val="微软雅黑"/>
        <charset val="134"/>
      </rPr>
      <t>温馨提示：</t>
    </r>
    <r>
      <rPr>
        <sz val="10"/>
        <color rgb="FF000000"/>
        <rFont val="微软雅黑"/>
        <charset val="134"/>
      </rPr>
      <t>所有进入欧盟的商品必须在商品外包装上印有CE认证标识，欧盟海关将会不定期对入境欧盟的商品随机抽查，没有CE认证的商品将会被欧盟海关要求出具相关证明，如发件人无法配合提供证明，所产生的后果（eg海关扣件
/罚款等)由发件人自行承担</t>
    </r>
  </si>
  <si>
    <t>六、电池货限制</t>
  </si>
  <si>
    <r>
      <rPr>
        <b/>
        <sz val="10"/>
        <rFont val="微软雅黑"/>
        <charset val="134"/>
      </rPr>
      <t>通用说明</t>
    </r>
    <r>
      <rPr>
        <sz val="10"/>
        <rFont val="微软雅黑"/>
        <charset val="134"/>
      </rPr>
      <t>：只接受内置电池，且电量不超过100WH，不接受配套电池和纯电；详询业务人员。</t>
    </r>
  </si>
  <si>
    <t>七、发货须知</t>
  </si>
  <si>
    <t>必须使用递四方系统录入或批量上传收件人信息，获取跟踪号，并打印地址标签贴于货上，无需另外填写运单和发票；</t>
  </si>
  <si>
    <r>
      <rPr>
        <b/>
        <sz val="10"/>
        <color rgb="FF000000"/>
        <rFont val="微软雅黑"/>
        <charset val="134"/>
      </rPr>
      <t>日本</t>
    </r>
    <r>
      <rPr>
        <sz val="10"/>
        <color rgb="FF000000"/>
        <rFont val="微软雅黑"/>
        <charset val="134"/>
      </rPr>
      <t>：日本海关要求，进口小包清关，必须提供收件人真实全名，物品申报数量在个人合理自用范围内，否则货物会被认为用于销售、转卖或其他用途，产生进口关税；
而日本的派送员大多看不懂英文和中文，所以请客户下单时，规范填写以下信息，减少资料翻译和来回确认时间，提高派送时效和妥投率。
      ① 收件人名字：真实全名，日文/中文/英文都可以，但必须是真实姓名，请勿填写公司名；
      ② 收件人地址：尽量日文地址，提高末端派送时效和妥投率；
      ③ 申报数量：个人合理自用范围，同SKU不超过5件；</t>
    </r>
  </si>
  <si>
    <t>八、赔偿</t>
  </si>
  <si>
    <r>
      <rPr>
        <sz val="10"/>
        <color rgb="FF000000"/>
        <rFont val="微软雅黑"/>
        <charset val="134"/>
      </rPr>
      <t>1、</t>
    </r>
    <r>
      <rPr>
        <b/>
        <sz val="10"/>
        <color rgb="FF000000"/>
        <rFont val="微软雅黑"/>
        <charset val="134"/>
      </rPr>
      <t>通用条款</t>
    </r>
    <r>
      <rPr>
        <sz val="10"/>
        <color rgb="FF000000"/>
        <rFont val="微软雅黑"/>
        <charset val="134"/>
      </rPr>
      <t>：
①货物部分丢失，延误或者破损均不赔偿；
②货物全部丢失赔偿标准：若客户未购买保险，不免运费和挂号费，赔偿申报价值，最高不超过USD50；
③服务商官网显示签收，但客户反馈没有收到包裹的情况，我司会协助查询，但不提供赔偿；</t>
    </r>
  </si>
  <si>
    <r>
      <rPr>
        <sz val="10"/>
        <color theme="1"/>
        <rFont val="微软雅黑"/>
        <charset val="134"/>
      </rPr>
      <t>2、</t>
    </r>
    <r>
      <rPr>
        <b/>
        <sz val="10"/>
        <color theme="1"/>
        <rFont val="微软雅黑"/>
        <charset val="134"/>
      </rPr>
      <t>各渠道赔偿标准以递四方官网为准</t>
    </r>
    <r>
      <rPr>
        <sz val="10"/>
        <color theme="1"/>
        <rFont val="微软雅黑"/>
        <charset val="134"/>
      </rPr>
      <t>“http://express.4px.com/article/detail/id/500425/cid/28”；</t>
    </r>
  </si>
  <si>
    <t>九、保价及保险</t>
  </si>
  <si>
    <t>我司可提供代买保险服务。客户必须在网上下单时选择保险，否则无法购买，保险费用收取标准如下：</t>
  </si>
  <si>
    <t>A、保价服务：建议投保金额低于或等于USD100购买保价服务；</t>
  </si>
  <si>
    <t>①保价保费：RMB5/票；
②保价服务免赔额：保价服务不能提供保单无免赔额；
③理赔标准：投保金额与成交价值相比较，取低者，不免运费最高赔付USD100；</t>
  </si>
  <si>
    <t>B、保险服务：建议投保金额高于USD100购买保险服务；</t>
  </si>
  <si>
    <t>①保险费率：均按保险价值的0.6%收取；最低收费RMB20/票；
②保险服务免赔额：</t>
  </si>
  <si>
    <t>a：手机等3C产品：每次事故绝对免赔额为RMB500或损失金额（损失金额*投保比例）的20%，以高者为准；
b：普通货物：每次事故绝对免赔额为损失金额（损失金额*投保比例）的10%，（免赔计算投保比例之后取二者的高者）。</t>
  </si>
  <si>
    <t>③理赔标准：损失金额*投保比例-免赔额</t>
  </si>
  <si>
    <t>以上具体规则均参考递四方官网保价保险“http://express.4px.com/article/detail/id/500004/cid/28” 易碎物品只保丢失不保破损。（以实际投保受理为准）；</t>
  </si>
  <si>
    <t>澳大利亚：暂不提供报价及保险服务；</t>
  </si>
  <si>
    <t>十、退件及重派</t>
  </si>
  <si>
    <r>
      <rPr>
        <b/>
        <sz val="10"/>
        <rFont val="微软雅黑"/>
        <charset val="134"/>
      </rPr>
      <t>美国</t>
    </r>
    <r>
      <rPr>
        <sz val="10"/>
        <rFont val="微软雅黑"/>
        <charset val="134"/>
      </rPr>
      <t>：无退回中国服务，无重派服务，派送不成功默认销毁；</t>
    </r>
  </si>
  <si>
    <r>
      <rPr>
        <b/>
        <sz val="10"/>
        <rFont val="微软雅黑"/>
        <charset val="134"/>
      </rPr>
      <t>加拿大</t>
    </r>
    <r>
      <rPr>
        <sz val="10"/>
        <rFont val="微软雅黑"/>
        <charset val="134"/>
      </rPr>
      <t>：有退件及重派服务；客户若下单时勾选“需要退件”，包裹派送失败退回后，海外仓会盘点退件数据并提供给客户，客户可以选择重派或销毁，需在退回后</t>
    </r>
    <r>
      <rPr>
        <b/>
        <sz val="10"/>
        <rFont val="微软雅黑"/>
        <charset val="134"/>
      </rPr>
      <t>一周</t>
    </r>
    <r>
      <rPr>
        <sz val="10"/>
        <rFont val="微软雅黑"/>
        <charset val="134"/>
      </rPr>
      <t>内提供处理意见；重派费收费标准：首1KG为82RMB，续1KG为12RMB，按1KG进位（含退回运费）；销毁免费。若下单时未勾选“需要退件”或超过</t>
    </r>
    <r>
      <rPr>
        <b/>
        <sz val="10"/>
        <rFont val="微软雅黑"/>
        <charset val="134"/>
      </rPr>
      <t>一周</t>
    </r>
    <r>
      <rPr>
        <sz val="10"/>
        <rFont val="微软雅黑"/>
        <charset val="134"/>
      </rPr>
      <t>未提供处理意见，默认退件后销毁处理。</t>
    </r>
  </si>
  <si>
    <r>
      <rPr>
        <b/>
        <sz val="10"/>
        <color rgb="FF000000"/>
        <rFont val="微软雅黑"/>
        <charset val="134"/>
      </rPr>
      <t>英国</t>
    </r>
    <r>
      <rPr>
        <sz val="10"/>
        <color rgb="FF000000"/>
        <rFont val="微软雅黑"/>
        <charset val="134"/>
      </rPr>
      <t>：有退件及重派服务。客户若下单时勾选“需要退件”，包裹派送失败退回后，英国仓会盘点退件数据并提供给客户下达重出指令，重派费用按40RMB/票收取，不支持从英国退回至香港/大陆的服务。若下单时未勾选“需要退件“，
默认退件后销毁处理。</t>
    </r>
  </si>
  <si>
    <r>
      <rPr>
        <b/>
        <sz val="10"/>
        <color rgb="FF000000"/>
        <rFont val="微软雅黑"/>
        <charset val="134"/>
      </rPr>
      <t>德国、法国</t>
    </r>
    <r>
      <rPr>
        <sz val="10"/>
        <color rgb="FF000000"/>
        <rFont val="微软雅黑"/>
        <charset val="134"/>
      </rPr>
      <t>：有退件及重派服务。客户若下单时勾选“需要退件”，包裹派送失败退回后，海外仓会盘点退件数据并提供给客户下达重出指令，客户需在14个自然日内告知我司是否需要重派，如需重派，重派费用按50RMB/票收取。
不支持从德国、法国退回至香港/大陆的服务。若下单时未勾选“需要退件“，默认退件后销毁处理。</t>
    </r>
  </si>
  <si>
    <r>
      <rPr>
        <b/>
        <sz val="10"/>
        <color rgb="FF000000"/>
        <rFont val="微软雅黑"/>
        <charset val="134"/>
      </rPr>
      <t>西班牙</t>
    </r>
    <r>
      <rPr>
        <sz val="10"/>
        <color rgb="FF000000"/>
        <rFont val="微软雅黑"/>
        <charset val="134"/>
      </rPr>
      <t>：有退件及重派服务。客户若下单时勾选“需要退件”，包裹派送失败退回后，海外仓会盘点退件数据并提供给客户下达重出指令，重派费用按50RMB/票收取。不支持从西班牙退回至香港/大陆的服务。若下单时未勾选“需要
退件“，默认退件后销毁处理。</t>
    </r>
  </si>
  <si>
    <r>
      <rPr>
        <b/>
        <sz val="10"/>
        <rFont val="微软雅黑"/>
        <charset val="134"/>
      </rPr>
      <t>爱尔兰、墨西哥：</t>
    </r>
    <r>
      <rPr>
        <sz val="10"/>
        <rFont val="微软雅黑"/>
        <charset val="134"/>
      </rPr>
      <t>无退件及重派服务；</t>
    </r>
  </si>
  <si>
    <r>
      <rPr>
        <b/>
        <sz val="10"/>
        <color rgb="FF000000"/>
        <rFont val="微软雅黑"/>
        <charset val="134"/>
      </rPr>
      <t>日本</t>
    </r>
    <r>
      <rPr>
        <sz val="10"/>
        <color rgb="FF000000"/>
        <rFont val="微软雅黑"/>
        <charset val="134"/>
      </rPr>
      <t>：有退件及重派服务。不支持从日本退回至香港/大陆的服务。若客户下单时未勾选“需要退件”的，不再通知退件数据，包裹直接销毁处理。
          ①修改地址附加费：修改派送地址将产生手续费50元/票；
          ②如返仓件需要再次配送，重派费用为100元/票；</t>
    </r>
  </si>
  <si>
    <r>
      <rPr>
        <b/>
        <sz val="10"/>
        <rFont val="微软雅黑"/>
        <charset val="134"/>
      </rPr>
      <t>澳大利亚</t>
    </r>
    <r>
      <rPr>
        <sz val="10"/>
        <rFont val="微软雅黑"/>
        <charset val="134"/>
      </rPr>
      <t>：无退回中国服务，无重派服务，派送不成功默认销毁；</t>
    </r>
  </si>
  <si>
    <t>退件流程请详细咨询业务人员。</t>
  </si>
  <si>
    <t>十一、查询网址</t>
  </si>
  <si>
    <t>通用查询网址：</t>
  </si>
  <si>
    <t>http://track.4px.com/</t>
  </si>
  <si>
    <t>https://www.17track.net/zh-cn</t>
  </si>
  <si>
    <t>十二、特别提示</t>
  </si>
  <si>
    <t>1、如客户一旦同意接受我公司服务，即认为客户已详细阅读过此价格表备注内容以及我司托运条款，并接受各条款的约束。</t>
  </si>
  <si>
    <t>2、最好提供销售链接和海关编码（方便快速清关）。</t>
  </si>
  <si>
    <t>O5</t>
  </si>
  <si>
    <t>8-10</t>
  </si>
  <si>
    <t>最大尺寸限制：60CM*40CM*40CM；最小尺寸限制：10*21CM</t>
  </si>
  <si>
    <t>0.501-30</t>
  </si>
  <si>
    <t>S1427</t>
  </si>
  <si>
    <t>无超尺服务</t>
  </si>
  <si>
    <t>无服务邮编： ①邮编前3位006-009,967-969,995-999（006-009：波多黎各、维尔京群岛；967-969：夏威夷、关岛；995-999：阿拉斯加）；②不接受APO/FPO军事地址和亚马逊仓库地址</t>
  </si>
  <si>
    <t>单边长度≤100CM
长+宽+高≤200CM</t>
  </si>
  <si>
    <t>最大尺寸限制：40cm*50m*60cm</t>
  </si>
  <si>
    <t>10-20</t>
  </si>
  <si>
    <t>最大尺寸限制：60CM*40CM*35CM；
最小尺寸限制：10*15CM</t>
  </si>
  <si>
    <t>0.401-2</t>
  </si>
  <si>
    <t>最小尺寸：10CM*15CM
单边尺寸：最长边不超60CM
三边尺寸：长+宽+高≤90CM</t>
  </si>
  <si>
    <t>收费标准：130RMB/票；
60CM＜单边≤100CM 或 90CM＜长+宽+高≤150CM</t>
  </si>
  <si>
    <t>最小尺寸：10CM*15CM
单边尺寸：≤60CM
三边尺寸：长+宽+高≤120CM</t>
  </si>
  <si>
    <t>收费标准：130RMB/票；
60CM＜单边≤120CM 或 120CM＜长+宽+高≤240CM</t>
  </si>
  <si>
    <t>最小尺寸：14cm*9cm
单边尺寸：≤60CM
三边尺寸：长+宽+高≤90CM</t>
  </si>
  <si>
    <t>无服务邮编编码前两位: 07， 35， 38， 51-99</t>
  </si>
  <si>
    <t>最长边≤60CM,
长+宽+高≤90CM
最小尺寸：10*15CM</t>
  </si>
  <si>
    <t>收费标准：50RMB/票；
60CM＜单边≤120CM 或 90CM＜长+宽+高≤240CM</t>
  </si>
  <si>
    <t>0.101-2</t>
  </si>
  <si>
    <t>最长边不大于60CM，三边之和小于90CM，最小尺寸不小于：10CM*15CM</t>
  </si>
  <si>
    <t>10-14</t>
  </si>
  <si>
    <t>无服务邮编编码 开头：9</t>
  </si>
  <si>
    <t>0-30</t>
  </si>
  <si>
    <t>最小尺寸：16x10x1cm
单边尺寸不超过60cm
三边之和不超过90cm</t>
  </si>
  <si>
    <t>最小尺寸：16x10x1 cm
最大尺寸： 60x50x30 cm</t>
  </si>
  <si>
    <t>0-3</t>
  </si>
  <si>
    <t>3-30</t>
  </si>
  <si>
    <t>最大尺寸：20*40*65 cm
最小尺寸不小于：16x10x1cm</t>
  </si>
  <si>
    <t>2-20</t>
  </si>
  <si>
    <t>单边不超过60cm
三边之和不超过90cm
最小尺寸不小于：16x10x1cm</t>
  </si>
  <si>
    <t>如需发货，请咨询业务人员进行备案。</t>
  </si>
  <si>
    <r>
      <rPr>
        <sz val="10"/>
        <color rgb="FF000000"/>
        <rFont val="微软雅黑"/>
        <charset val="134"/>
      </rPr>
      <t>以G为单位进位；</t>
    </r>
    <r>
      <rPr>
        <b/>
        <sz val="10"/>
        <color rgb="FF000000"/>
        <rFont val="微软雅黑"/>
        <charset val="134"/>
      </rPr>
      <t>不足50G按50G计费</t>
    </r>
    <r>
      <rPr>
        <sz val="10"/>
        <color rgb="FF000000"/>
        <rFont val="微软雅黑"/>
        <charset val="134"/>
      </rPr>
      <t>；</t>
    </r>
  </si>
  <si>
    <t>取实重，测量以我司数据为准；泡比&gt;1.2倍计泡，材积/6000；</t>
  </si>
  <si>
    <r>
      <rPr>
        <b/>
        <sz val="10"/>
        <rFont val="微软雅黑"/>
        <charset val="134"/>
      </rPr>
      <t>德国：</t>
    </r>
    <r>
      <rPr>
        <sz val="10"/>
        <rFont val="微软雅黑"/>
        <charset val="134"/>
      </rPr>
      <t>不接受不规则产品（圆形货物；三角形、三棱状包装；货物主体上附带凸出的货物；货物底部不平稳，异性货物；多个包裹捆绑在一起致超尺寸的货物；使用特殊麻袋、桶状、金属、木质、布料包装的货物、薄膜或快递袋的包装有提手环
或收口；用橡皮筋捆扎或只用胶带缠绕的外包装）。</t>
    </r>
    <r>
      <rPr>
        <b/>
        <sz val="10"/>
        <rFont val="微软雅黑"/>
        <charset val="134"/>
      </rPr>
      <t>若有发货，需额外收取130RMB/票的处理费</t>
    </r>
    <r>
      <rPr>
        <sz val="10"/>
        <rFont val="微软雅黑"/>
        <charset val="134"/>
      </rPr>
      <t>；</t>
    </r>
  </si>
  <si>
    <r>
      <rPr>
        <b/>
        <sz val="10"/>
        <rFont val="微软雅黑"/>
        <charset val="134"/>
      </rPr>
      <t>美国、西班牙、葡萄牙、墨西哥：</t>
    </r>
    <r>
      <rPr>
        <sz val="10"/>
        <rFont val="微软雅黑"/>
        <charset val="134"/>
      </rPr>
      <t>不接受圆筒状等不规则产品;</t>
    </r>
  </si>
  <si>
    <r>
      <rPr>
        <b/>
        <sz val="10"/>
        <rFont val="微软雅黑"/>
        <charset val="134"/>
      </rPr>
      <t>其他国家：</t>
    </r>
    <r>
      <rPr>
        <sz val="10"/>
        <rFont val="微软雅黑"/>
        <charset val="134"/>
      </rPr>
      <t>不接受圆筒状等不规则产品，若有发货，需额外收取130RMB/票的处理费;</t>
    </r>
  </si>
  <si>
    <t>①货件品名和申报价值需如实申报，此报价不含目的地海关的关税、海关罚款、仓储费以及收件人责任所引起的相关费用；
②如因申报不符等原因导致的相关费用以及法律责任，由发件人自行承担；
③如因发件人蓄意低报所产生的后果（eg.海关扣件/罚款等）由发件人自行承担；</t>
  </si>
  <si>
    <r>
      <rPr>
        <b/>
        <sz val="10"/>
        <rFont val="微软雅黑"/>
        <charset val="134"/>
      </rPr>
      <t>美国</t>
    </r>
    <r>
      <rPr>
        <sz val="10"/>
        <rFont val="微软雅黑"/>
        <charset val="134"/>
      </rPr>
      <t>：不接受申报价值超过800美金的货物；不接受同一个收件人名且同一个地址，当天累计包裹申报价值超过800美金。A.根据T86相关规定，货物申报品名必须具体、精确，而某些常见的模糊描述将不再被接受，①必须确保清关预报品名描述
包括货物名称，用途，材质等描述，比如：cloth可以细化成“women's polyester shirt”，②品名描述不应包括型号，比如：”women's polyester shirt(ui033)“不应涵盖型号ui033；B 收件人名应该包括"名+姓"，而不是单名/单姓;</t>
    </r>
  </si>
  <si>
    <r>
      <rPr>
        <b/>
        <sz val="10"/>
        <rFont val="微软雅黑"/>
        <charset val="134"/>
      </rPr>
      <t>加拿大</t>
    </r>
    <r>
      <rPr>
        <sz val="10"/>
        <rFont val="微软雅黑"/>
        <charset val="134"/>
      </rPr>
      <t>：此产品仅支持DDP模式，申报价值≤20加币免税（约15美元）；20加币＜申报价值≤136加币（约100美元）按申报价值*12%收取；不接受申报价值＞136加币（约100美元）的货物；若计费重&gt;5KG，申报价值不得低于20加币（约
15美元）；以实际清关时汇率为准，若美元与加币汇率变动产生了关税，我司会另行加收。
申报要求：①申报品名不能为大类申报，必须为具体品名，如：不能申报服装，应具体申报为女式上衣等；②若申报价值超过20加币，需在申报品名前补充货物材质；③不接受合并报关；④收件人姓名必须与CPF(税号)的姓名保持一致。</t>
    </r>
  </si>
  <si>
    <r>
      <rPr>
        <b/>
        <sz val="10"/>
        <rFont val="微软雅黑"/>
        <charset val="134"/>
      </rPr>
      <t>英国</t>
    </r>
    <r>
      <rPr>
        <sz val="10"/>
        <rFont val="微软雅黑"/>
        <charset val="134"/>
      </rPr>
      <t>：2021年1月1日0点起，对所有英国境外进口的B2C包裹VAT（增值税），由清关点征收变为交易点征收，税金起征点为零；申报价值小于等于135英镑（约168美金），相关税费由平台代缴或卖家自主向英国HMRC申报缴纳，我司不再提
前征收税金。不接受申报价值大于135英镑的货物，且不接受同一个收件人名同一地址当天累计包裹申报价值超过135英镑的货物；
特别地，卖家（平台卖家或直接卖家）均负有向英国HMRC申报税务的责任。如因卖家的VAT/EORI出现问题导致清关异常，需由卖家自行承担。</t>
    </r>
  </si>
  <si>
    <t>德国、意大利、西班牙、瑞典、丹麦、荷兰、比利时、葡萄牙、奥地利、匈牙利、斯洛伐克、斯洛文尼亚、克罗地亚、罗马尼亚、保加利亚、波兰、捷克：</t>
  </si>
  <si>
    <t>瑞典、丹麦：手机号必填，邮箱选填；</t>
  </si>
  <si>
    <t>法国：</t>
  </si>
  <si>
    <t>①下单时IOSS 号码为非必填；海关编码为非必填；</t>
  </si>
  <si>
    <t>③增值税起征点为0欧元（美金），只接受申报价值≤150欧元或≤150美金的货物，如下单时IOSS为空，4PX自动加收VAT，VAT征收标准以具体目的国税率征收标准为准，各国税率详见附表；</t>
  </si>
  <si>
    <t>补充说明：</t>
  </si>
  <si>
    <r>
      <rPr>
        <sz val="10"/>
        <color rgb="FF000000"/>
        <rFont val="微软雅黑"/>
        <charset val="134"/>
      </rPr>
      <t>①当客户选择我司</t>
    </r>
    <r>
      <rPr>
        <b/>
        <sz val="10"/>
        <color rgb="FFFF0000"/>
        <rFont val="微软雅黑"/>
        <charset val="134"/>
      </rPr>
      <t>联邮通服装专线-法国路向</t>
    </r>
    <r>
      <rPr>
        <sz val="10"/>
        <color rgb="FF000000"/>
        <rFont val="微软雅黑"/>
        <charset val="134"/>
      </rPr>
      <t>下单时，则表明客户已经详细阅读过我司价格表备注内容以及我司托运条款，并接受该条款的约束；</t>
    </r>
  </si>
  <si>
    <t>②我司库内对于没有IOSS号码包裹，会加强库内查验力度，客户必须保证：</t>
  </si>
  <si>
    <t>A:  申报品名与实际发运品名保持一致
B:  申报价值与实际销售价值保持一致
C:  申报数量与实际发运数量保持一致</t>
  </si>
  <si>
    <r>
      <rPr>
        <b/>
        <sz val="10"/>
        <color rgb="FF000000"/>
        <rFont val="微软雅黑"/>
        <charset val="134"/>
      </rPr>
      <t>如我司库内查验到申报数据与实际到货数据不符，我司不再做时效承诺，且我司有权利拒绝运输此货物；</t>
    </r>
    <r>
      <rPr>
        <sz val="10"/>
        <color rgb="FF000000"/>
        <rFont val="微软雅黑"/>
        <charset val="134"/>
      </rPr>
      <t xml:space="preserve">
③当客户选择</t>
    </r>
    <r>
      <rPr>
        <b/>
        <sz val="10"/>
        <color rgb="FFFE0300"/>
        <rFont val="微软雅黑"/>
        <charset val="134"/>
      </rPr>
      <t>联邮通服装专线-法国路向</t>
    </r>
    <r>
      <rPr>
        <sz val="10"/>
        <color rgb="FF000000"/>
        <rFont val="微软雅黑"/>
        <charset val="134"/>
      </rPr>
      <t>下单时，货物品名和申报价值必须如实申报，如因申报不符等原因导致的相关费用(包括海关罚款)以及法律责任，由发件人自行承担；</t>
    </r>
  </si>
  <si>
    <r>
      <rPr>
        <sz val="10"/>
        <color rgb="FF000000"/>
        <rFont val="微软雅黑"/>
        <charset val="134"/>
      </rPr>
      <t>④当客户选择我司</t>
    </r>
    <r>
      <rPr>
        <b/>
        <sz val="10"/>
        <color rgb="FFFE0300"/>
        <rFont val="微软雅黑"/>
        <charset val="134"/>
      </rPr>
      <t>联邮通服装专线-法国路向</t>
    </r>
    <r>
      <rPr>
        <sz val="10"/>
        <color rgb="FF000000"/>
        <rFont val="微软雅黑"/>
        <charset val="134"/>
      </rPr>
      <t>下单时，需提前预充值（VAT+运费），确保账户余额充足；客户若未及时充值可能会导致扣货，影响订单中转时效；</t>
    </r>
  </si>
  <si>
    <r>
      <rPr>
        <b/>
        <sz val="10"/>
        <color theme="1"/>
        <rFont val="微软雅黑"/>
        <charset val="134"/>
      </rPr>
      <t>瑞典、丹麦：</t>
    </r>
    <r>
      <rPr>
        <sz val="10"/>
        <color theme="1"/>
        <rFont val="微软雅黑"/>
        <charset val="134"/>
      </rPr>
      <t>派送到自提点，不送货上门，包裹到达自提点以后会手机短信、邮件、公众号等方式通知客户通知收件人自提，自提点免费储存期为7天。</t>
    </r>
  </si>
  <si>
    <r>
      <rPr>
        <b/>
        <sz val="10"/>
        <color theme="1"/>
        <rFont val="微软雅黑"/>
        <charset val="134"/>
      </rPr>
      <t>加拿大</t>
    </r>
    <r>
      <rPr>
        <sz val="10"/>
        <color theme="1"/>
        <rFont val="微软雅黑"/>
        <charset val="134"/>
      </rPr>
      <t>：若收件人联系服务商更改派送地址，或者经由服务商系统自动检测出派送邮编与地址不一致，服务商会自行进行更正，并产生7CAD/票的更改费用（约37RMB/票），此费用按照服务商账单实报实销；</t>
    </r>
  </si>
  <si>
    <t>禁运物品：液体，粉末，食品，香烟，光碟，仿真枪只，玩具枪，大型刀具，反共书箱，动植物，贵金属，矿石，化工原料以及成品、半成品，易燃易爆物品，枪支弹药及配件，具有放电功能的电子设备，宗教资料等；不接受任何航空公司、海关
及目的国拒绝入境的货物；</t>
  </si>
  <si>
    <r>
      <rPr>
        <b/>
        <sz val="10"/>
        <rFont val="微软雅黑"/>
        <charset val="134"/>
      </rPr>
      <t>美国</t>
    </r>
    <r>
      <rPr>
        <sz val="10"/>
        <rFont val="微软雅黑"/>
        <charset val="134"/>
      </rPr>
      <t>：T86海关拒绝入境的货物：①FDA管控医疗产品：急救绷带、心电图、牙线、牙胶、洗手液、丁腈手套、医用长袍、外科口罩等；②“反倾销”和“反补贴”范围的货物：床垫、自行车等；③EPA管控的含毒性风险的日用品(含三氯
乙烯TCE）：去污剂、清洁凝胶、清洁剂等；④EPA管控的杀虫设备：有害生物防治工具、捕鼠器、溶剂捕集器等；⑤敏感性配件：汽车燃油过滤器、药片压片机、冲孔套装、汽车滤清器清洁套装等；</t>
    </r>
  </si>
  <si>
    <r>
      <rPr>
        <b/>
        <sz val="10"/>
        <color rgb="FF000000"/>
        <rFont val="微软雅黑"/>
        <charset val="134"/>
      </rPr>
      <t>德国、法国、西班牙：</t>
    </r>
    <r>
      <rPr>
        <sz val="10"/>
        <color rgb="FF000000"/>
        <rFont val="微软雅黑"/>
        <charset val="134"/>
      </rPr>
      <t>不接受食品、药品、粉末、液体、动植物类、危险品、烟酒、现金、有价证券、淫秽物品、侵权产品、航空禁运品以及其他当地法律禁止邮寄的物品，德国不接受</t>
    </r>
    <r>
      <rPr>
        <b/>
        <sz val="10"/>
        <color rgb="FFFF0000"/>
        <rFont val="微软雅黑"/>
        <charset val="134"/>
      </rPr>
      <t>不符合德国包装法</t>
    </r>
    <r>
      <rPr>
        <sz val="10"/>
        <color rgb="FF000000"/>
        <rFont val="微软雅黑"/>
        <charset val="134"/>
      </rPr>
      <t>等物品；</t>
    </r>
  </si>
  <si>
    <r>
      <rPr>
        <b/>
        <sz val="10"/>
        <color rgb="FF000000"/>
        <rFont val="微软雅黑"/>
        <charset val="134"/>
      </rPr>
      <t>温馨提示：</t>
    </r>
    <r>
      <rPr>
        <sz val="10"/>
        <color rgb="FF000000"/>
        <rFont val="微软雅黑"/>
        <charset val="134"/>
      </rPr>
      <t>所有进入欧盟的商品必须在商品外包装上印有CE认证标识，欧盟海关将会不定期对入境欧盟的商品随机抽查，没有CE认证的商品将会被欧盟海关要求出具相关证明，如发件人无法配合提供证明，所产生的后果（eg海关扣件/罚款等)
由发件人自行承担；</t>
    </r>
  </si>
  <si>
    <t>只接受普货：只接收普通服装类产品，包括普通衣服、帽子、围巾、袜子、床上四件套等；不接收枕头、棉被、玩具娃娃等较大较泡的产品，同时不接收佩戴LED灯或需要加热等的服装类产品；</t>
  </si>
  <si>
    <t>包装要求：本产品只接受袋子包装产品，不接受纸盒包装产品(包含内件和外箱)；</t>
  </si>
  <si>
    <r>
      <rPr>
        <b/>
        <sz val="10"/>
        <rFont val="微软雅黑"/>
        <charset val="134"/>
      </rPr>
      <t>加拿大</t>
    </r>
    <r>
      <rPr>
        <sz val="10"/>
        <rFont val="微软雅黑"/>
        <charset val="134"/>
      </rPr>
      <t>：有退件及重派服务；客户若下单时勾选“需要退件”，包裹派送失败退回后，海外仓会盘点退件数据并提供给客户，客户可以选择重派或销毁，需在退回后</t>
    </r>
    <r>
      <rPr>
        <b/>
        <sz val="10"/>
        <rFont val="微软雅黑"/>
        <charset val="134"/>
      </rPr>
      <t>一周</t>
    </r>
    <r>
      <rPr>
        <sz val="10"/>
        <rFont val="微软雅黑"/>
        <charset val="134"/>
      </rPr>
      <t>内提供处理意见；重派费收费标准：首1KG为82RMB，续1KG为12RMB，
按1KG进位（含退回运费）；销毁免费。若下单时未勾选“需要退件”或超过</t>
    </r>
    <r>
      <rPr>
        <b/>
        <sz val="10"/>
        <rFont val="微软雅黑"/>
        <charset val="134"/>
      </rPr>
      <t>一周</t>
    </r>
    <r>
      <rPr>
        <sz val="10"/>
        <rFont val="微软雅黑"/>
        <charset val="134"/>
      </rPr>
      <t>未提供处理意见，默认退件后销毁处理。</t>
    </r>
  </si>
  <si>
    <r>
      <rPr>
        <b/>
        <sz val="10"/>
        <color rgb="FF000000"/>
        <rFont val="微软雅黑"/>
        <charset val="134"/>
      </rPr>
      <t>英国</t>
    </r>
    <r>
      <rPr>
        <sz val="10"/>
        <color rgb="FF000000"/>
        <rFont val="微软雅黑"/>
        <charset val="134"/>
      </rPr>
      <t>：有退件及重派服务。客户若下单时勾选“需要退件”，包裹派送失败退回后，英国仓会盘点退件数据并提供给客户下达重出指令，重派费用按40RMB/票收取，不支持从英国退回至香港/大陆的服务。若下单时未勾选“需要退件“，默认
退件后销毁处理。</t>
    </r>
  </si>
  <si>
    <r>
      <rPr>
        <b/>
        <sz val="10"/>
        <color rgb="FF000000"/>
        <rFont val="微软雅黑"/>
        <charset val="134"/>
      </rPr>
      <t>德国</t>
    </r>
    <r>
      <rPr>
        <sz val="10"/>
        <color rgb="FF000000"/>
        <rFont val="微软雅黑"/>
        <charset val="134"/>
      </rPr>
      <t>：有退件及重派服务。客户若下单时勾选“需要退件”，免费派送1-2次派送失败之后，包裹会退回4PX德国仓，免费保存7个自然日，4PX应该在包裹退回之后的7个自然日通知客户，客户需要在接到4PX通知后的7个自然日之内给与包裹
处理意见（重派/销毁)， 销毁免费，如需重派，重派费用按50RMB/票收取。不支持从德国退回至香港/大陆的服务。若下单时未勾选“需要退件“，默认退件后销毁处理。</t>
    </r>
  </si>
  <si>
    <r>
      <rPr>
        <b/>
        <sz val="10"/>
        <color rgb="FF000000"/>
        <rFont val="微软雅黑"/>
        <charset val="134"/>
      </rPr>
      <t>法国</t>
    </r>
    <r>
      <rPr>
        <sz val="10"/>
        <color rgb="FF000000"/>
        <rFont val="微软雅黑"/>
        <charset val="134"/>
      </rPr>
      <t>：有退件及重派服务。客户若下单时勾选“需要退件”，包裹派送失败退回后，海外仓会盘点退件数据并提供给客户下达重出指令，客户需在14个自然日内告知我司是否需要重派，如需重派，重派费用按50RMB/票收取。不支持从法国退
回至香港/大陆的服务。若下单时未勾选“需要退件“，默认退件后销毁处理。</t>
    </r>
  </si>
  <si>
    <r>
      <rPr>
        <b/>
        <sz val="10"/>
        <color rgb="FF000000"/>
        <rFont val="微软雅黑"/>
        <charset val="134"/>
      </rPr>
      <t>意大利</t>
    </r>
    <r>
      <rPr>
        <sz val="10"/>
        <color rgb="FF000000"/>
        <rFont val="微软雅黑"/>
        <charset val="134"/>
      </rPr>
      <t>：有退件及重派服务。（1）正向物流提供2次免费派送：若派送失败，包裹将放邮局等待10天让收货人自提，若收件人未及时取件，或因收件人不在家/拒收、地址错误或地址不完整等原因包裹将被退回海外仓；（2）客户若下单时勾选
“需要退件”，包裹派送失败退回后，海外仓会盘点退件数据并提供给客户下达重出指令，需在退回后两周内提供处理意见，重派费用按RMB50/票收取（不支持从海外退回至香港/大陆的服务）；（3）若下单时未勾选“需要退件”或超过两周
未提供处理意见，默认退件后销毁处理。</t>
    </r>
  </si>
  <si>
    <r>
      <rPr>
        <b/>
        <sz val="10"/>
        <color rgb="FF000000"/>
        <rFont val="微软雅黑"/>
        <charset val="134"/>
      </rPr>
      <t>西班牙</t>
    </r>
    <r>
      <rPr>
        <sz val="10"/>
        <color rgb="FF000000"/>
        <rFont val="微软雅黑"/>
        <charset val="134"/>
      </rPr>
      <t>：有退件及重派服务。客户若下单时勾选“需要退件”，包裹派送失败退回后，西班牙仓会盘点退件数据并提供给客户下达重出指令，重派费用按50RMB/票收取，不支持从西班牙退回至香港/大陆的服务。若下单时未勾选“需要退件“
，默认退件后销毁处理。</t>
    </r>
  </si>
  <si>
    <r>
      <rPr>
        <b/>
        <sz val="10"/>
        <rFont val="微软雅黑"/>
        <charset val="134"/>
      </rPr>
      <t>荷兰、比利时、葡萄牙、墨西哥、瑞典、丹麦：</t>
    </r>
    <r>
      <rPr>
        <sz val="10"/>
        <rFont val="微软雅黑"/>
        <charset val="134"/>
      </rPr>
      <t>无退件及重派服务。</t>
    </r>
  </si>
  <si>
    <r>
      <rPr>
        <b/>
        <sz val="10"/>
        <rFont val="微软雅黑"/>
        <charset val="134"/>
      </rPr>
      <t>奥地利、匈牙利、斯洛伐克、斯洛文尼亚、克罗地亚、罗马尼亚、保加利亚、波兰、捷克：</t>
    </r>
    <r>
      <rPr>
        <sz val="10"/>
        <rFont val="微软雅黑"/>
        <charset val="134"/>
      </rPr>
      <t>二次派送后，等待7天再退回，无法派送成功包裹会退回菜鸟BUD仓库，默认销毁</t>
    </r>
  </si>
  <si>
    <t>退件流程及退件费请详细咨询业务人员。</t>
  </si>
  <si>
    <t>燕文专线追踪-特货</t>
  </si>
  <si>
    <t>生效日期</t>
  </si>
  <si>
    <t>2024-09-25 00:00:00</t>
  </si>
  <si>
    <t>产品号</t>
  </si>
  <si>
    <t>484</t>
  </si>
  <si>
    <t>133</t>
  </si>
  <si>
    <t>0.03</t>
  </si>
  <si>
    <t>127</t>
  </si>
  <si>
    <t>123</t>
  </si>
  <si>
    <t>109</t>
  </si>
  <si>
    <t>118</t>
  </si>
  <si>
    <t>126</t>
  </si>
  <si>
    <t>128</t>
  </si>
  <si>
    <t>71</t>
  </si>
  <si>
    <t>73</t>
  </si>
  <si>
    <t>101</t>
  </si>
  <si>
    <t>98</t>
  </si>
  <si>
    <t>92</t>
  </si>
  <si>
    <t>200</t>
  </si>
  <si>
    <t>97</t>
  </si>
  <si>
    <t>165</t>
  </si>
  <si>
    <t>0.201 - 30</t>
  </si>
  <si>
    <t>107</t>
  </si>
  <si>
    <t>大洋洲</t>
  </si>
  <si>
    <t>32.5</t>
  </si>
  <si>
    <t>35.5</t>
  </si>
  <si>
    <t>4区</t>
  </si>
  <si>
    <t>60</t>
  </si>
  <si>
    <t>价格使用说明:</t>
  </si>
  <si>
    <t>1.参考时效 (自然日)</t>
  </si>
  <si>
    <t>2.价格构成</t>
  </si>
  <si>
    <t>人民币计价，按克计费  无燃油附加费</t>
  </si>
  <si>
    <t>3.计费方式</t>
  </si>
  <si>
    <t>（1）操作费/件+运费/kg，按g收费，英国、法国、德国、意大利、西班牙、荷兰、波兰、澳大利亚、新西兰，奥地利无50g起重 ；</t>
  </si>
  <si>
    <t xml:space="preserve">           美国30g起重，不足30g的部分按30g计价；</t>
  </si>
  <si>
    <t xml:space="preserve">           其余国家50g起重，不足50g的部分按50g计价。</t>
  </si>
  <si>
    <t>4.走货属性</t>
  </si>
  <si>
    <t>特货产品走货属性：</t>
  </si>
  <si>
    <t>（1）可走固体类化妆品（例如固体口红可发；唇釉、唇彩不可发；眼影腮红等粉状化妆品不可发）；</t>
  </si>
  <si>
    <t>（2）可走内置锂电池产品（含锂离子和锂金属）</t>
  </si>
  <si>
    <t>每个小包内最多能装4个电池芯或2个电池</t>
  </si>
  <si>
    <t>A. 内置锂离子电池产品：锂电池装在设备内，单个电池不超100Wh，且单个设备有做好独立包装，设备开关有做好绝缘断电。</t>
  </si>
  <si>
    <t>电池参数计算公式：内置锂离子电池：电池芯最大容量不得超过20Wh，电池最大容量不得超过100Wh，Wh=V*Ah=V*mAh/1000</t>
  </si>
  <si>
    <t>例如：一小风扇（不含磁），内置电池参数为5V 200mAh，其电池容量=5*200/1000=1 Wh</t>
  </si>
  <si>
    <t>B. 内置锂金属电池产品：电池芯锂含量最大不得超过1g，电池锂含量最大不得超过2g；</t>
  </si>
  <si>
    <t>（3）严禁邮寄违反中国法律、国际航空运输协会（IATA）禁限寄物品条例及当地法例的物品。比如：仿牌，纯电，烟酒，刀具，电子烟，打火机，液体，粉末，膏状体，食品，医疗器械，毒品，军火，植物，动物以及植物种子等。如有违反，引致的损失、罚款、清关费用等及法律责任由客户承担。</t>
  </si>
  <si>
    <t>5.申报价值</t>
  </si>
  <si>
    <t xml:space="preserve">（2）为了方便清关，最好提供销售链接和海关编码 </t>
  </si>
  <si>
    <t xml:space="preserve">（3）申报品名不能为大类申报，必须为具体品名。如不能只申报电子配件，部件等   </t>
  </si>
  <si>
    <t>6.重量要求</t>
  </si>
  <si>
    <t>7.包装尺寸</t>
  </si>
  <si>
    <t>8.派送地址要求</t>
  </si>
  <si>
    <t>（1）所有国家：不接受亚马逊仓库地址。（2）其他要求：请详见下方国家维度具体要求</t>
  </si>
  <si>
    <t>9.退件重派</t>
  </si>
  <si>
    <t>10.保险服务</t>
  </si>
  <si>
    <t>11.赔偿标准</t>
  </si>
  <si>
    <t>2020年全球新型冠状病毒（WHO：COVID-19 Pandemic）流行期间，疫情已被政府部门列为不可抗力因素，受疫情影响而产生的物流服务限制、服务商临时措施等情况引发的问题，不在我司赔偿范围之内。</t>
  </si>
  <si>
    <t xml:space="preserve">(1)赔偿受理截止时间：自收寄后10个自然日可提交查询，超过60天的包裹不受理查件和索赔请求       </t>
  </si>
  <si>
    <t xml:space="preserve">(2)赔偿标准：      </t>
  </si>
  <si>
    <t xml:space="preserve">A. 上网前丢件赔偿标准：有揽收信息或交接单证明且自收寄后7个自然日无上网追踪信息的快件；赔偿货物申报价值（最高不超200元/件）+退运费（如已收取）    </t>
  </si>
  <si>
    <t xml:space="preserve">B. 上网后丢件赔偿标准：      </t>
  </si>
  <si>
    <t xml:space="preserve">a)若货物在到达服务商后丢失，经我司确认后，将不退运费，按申报价值赔偿，最高不超过200RMB/票      </t>
  </si>
  <si>
    <t xml:space="preserve">b)若服务商官网显示签收，但收件人反馈未收到包裹的情况，我司会协助查询，但不提供赔偿      </t>
  </si>
  <si>
    <t xml:space="preserve">c）海外退件，如没有选择重派，则默认按销毁处理，不提供赔偿     </t>
  </si>
  <si>
    <t xml:space="preserve">(3)索赔要求：      </t>
  </si>
  <si>
    <t xml:space="preserve">A. 货物在我司至到达服务商的这期间丢失,即上网前确认丢失，赔偿申请需提交证明 </t>
  </si>
  <si>
    <t xml:space="preserve">a) 燕文已收寄或有揽收司机签字的交接单证明      </t>
  </si>
  <si>
    <t xml:space="preserve">B.货物在末端服务商确认丢失，即上网后确认丢失，赔偿申请需提交证明    </t>
  </si>
  <si>
    <t xml:space="preserve">a)平台的网上交易截图+退款截图      </t>
  </si>
  <si>
    <t xml:space="preserve">b)若在未退款情况下安排的货物补寄，需提交平台的网上交易截图+争议内容+补寄单号      </t>
  </si>
  <si>
    <t xml:space="preserve">(4)赔偿处理原则：所有问题件要接受先开查后赔偿的原则，需按产品要求提供相关资料      </t>
  </si>
  <si>
    <t xml:space="preserve">(5)免责申明：                                           </t>
  </si>
  <si>
    <t xml:space="preserve">A. 服务商、机场、海关安检时发现违禁品、侵权产品或超限制产品导致扣货、禁止进口或退运的包裹，均不受理赔偿，并且保留追究发件人责任的权利；     </t>
  </si>
  <si>
    <t>B.由于跨境物流无法控制因素较多，在任何情况下，因不可抗力事件而产生的任何种类的任何丢失、损坏、毁坏、损失、罚没、滞期费或未履行义务，燕文物流不向客户承担任何责任。以下情况均无赔偿：</t>
  </si>
  <si>
    <t xml:space="preserve">f) 高价值的货物建议客户自行购买保险。        </t>
  </si>
  <si>
    <t xml:space="preserve">C. 国外退件由于中转过程较长，往来海关多次检查，同时经中转环节较多，无法控制返程流转环节，因此我公司只负责将收到的退件退回，对未退回和退回快件破损，内件短少的情况不承担任何赔偿责任      </t>
  </si>
  <si>
    <t xml:space="preserve">D. 专线服务赔偿附加特别申明，以下情况不受理赔偿      </t>
  </si>
  <si>
    <t xml:space="preserve">a) 如因价值申报、知识产权、当地禁止进口、产品认证等原因导致的海关扣货不在赔偿范围内，但会协助发件人提交资料处理      </t>
  </si>
  <si>
    <t xml:space="preserve">b) 只对整箱、整袋丢失按照我司赔偿标准赔偿，内件物品缺失、损坏不受理赔偿 </t>
  </si>
  <si>
    <t xml:space="preserve">(1)燕文网站：www.yw56.com.cn      </t>
  </si>
  <si>
    <t xml:space="preserve">(2)https://www.ship24.com/  </t>
  </si>
  <si>
    <t>13.其他要求</t>
  </si>
  <si>
    <t>国家维度具体要求:</t>
  </si>
  <si>
    <t>请如实申报，同一收件人同一天包裹总价值不超过800美金</t>
  </si>
  <si>
    <t>申报价值800美元内免征关税</t>
  </si>
  <si>
    <t>1、不接受异形件如圆柱状，管状或者棱状包裹等
2、A. 最小尺寸 15*10*2cm
B.最大尺寸：55*45*38cm（无需加收费用）；
C.若发货包裹任意一边超最大尺寸但未超拒绝承运尺寸需加收100RMB。
3、美国拒绝承运包裹尺寸：
任意单边 &gt;90cm或长+2x（宽+高）&gt; 213cm。
若客户发运拒绝承运尺寸的包裹，我司将保留补收高额附加费权利。</t>
  </si>
  <si>
    <t>无退回中国服务，可提供本土重派服务，如需重派请联系您的燕文销售进行配置。重派费需根据货物实际重量以及重派地址进行收取，详细价格请提供重派地址后咨询您的专属客服或销售。</t>
  </si>
  <si>
    <t>1. 过滤器、户外工具（管制刀具、火石、弹弓等）、手电筒（激光）、刀具、克隆粉（粉末）等，加拿大海关严查品名不建议申报。（filter，flashlight，laser，military，nunchakus，silencer等）
2. 若包裹因申报不正确、低报、瞒报、发运违禁品、侵权等不合规行为导致清关异常而产生异常费用（包括但不限于税费、罚款、销毁费等），具体判决结果以实际当地海关判定的为准，后期会统一向发件人收取</t>
  </si>
  <si>
    <t>请如实申报，申报价值不能超过130加币（约等同于94.5美金），其中5.001-30KG重量段申报价值限制不能低于20加币（约等同于14.5美金）</t>
  </si>
  <si>
    <t>DDP服务，加拿大免税额为20CAD，申报价值在20CAD以下，免税费；
申报价值超过20CAD（约等同14.5USD）时，我司将依据客户申报的产品价值收取20%税费</t>
  </si>
  <si>
    <t>不接受圆柱体和异型件，有特殊需求请咨询销售
最小为：15*10cm, 最大为: 最长边≤100cm，第二边长≤76cm, 长+2*宽+2*高≤250cm</t>
  </si>
  <si>
    <t>1.  收件人名称必填且需提供收件人的全名-first name（名）and last name（姓），英文名字需要用空格隔开名和姓。
2.  商品中英文描述需详细且完整，申报超过20CAD的货物，必须在填申报品名时注明材质，如塑料玩具：plastic toys。</t>
  </si>
  <si>
    <t>无退回中国服务，可提供重派服务，重派费：首1KG为82RMB/票，续1KG为12RMB/票，不足1公斤按1公斤计费（含退回运费）。</t>
  </si>
  <si>
    <t>15-32天</t>
  </si>
  <si>
    <t>禁寄物品：
1.个人护理、美容、按摩功能用品：
洗脸仪、吸黑头仪、电动牙刷、UV光面罩等美容仪；电动、非电动按摩仪器；减肥腰带、减肥仪；塑形、束腰类穿戴；脚趾矫正、牙齿保持器、牙齿矫正等正畸用品
2.三岁以下儿童用品、玩具：
所有适用于三岁及三岁以下儿童使用的物品，如奶嘴、婴儿水壶等。
3.医疗器械、用品：吸鼻器、听诊器、注射器、血氧仪、血压计、血压仪、血糖仪、体温计、温度计、心电仪、针灸仪，轮椅、负压器、耳镜、多普勒设备、电疗设备、牙科红外摄像仪内窥镜、助听器、理疗用品等医疗设备；止血带，创口贴等外用医疗用品；
4.空气、水等净化仪器和有消毒功能的物品：如空气净化器、水净化器，包括空气加湿器；带有消毒功能的仪器
5.涉及名牌、奢侈品、注册品牌物品：
Gucci、Prada、Channel等奢侈品；带有著名品牌、奢侈品标志的物品；采用著名品牌、奢侈品牌设计的物品；涉及、带有知名动漫、电影人物形象的物品；
6.盗版、假冒、仿品：所有仿牌鞋服装、山寨电子产品等
7.特定种类的玩具：人形的、有人体形象的玩具、玩偶（如手办等），带有著名动画、影视人物图片、图标的玩具（如带有迪士尼、漫威人物的玩具）
8.成人用品、性玩具
9.涉及反倾销物品：自行车及自行车配件；木制铅笔、中性笔、圆珠笔；其他涉及反倾销的物品
10.其他：粉末、颗粒状：眼影、粉饼等；
液体状：护手霜、牙膏、护肤液、香水、指甲油等；针状物；墨粉、墨水
面膜类：面膜、鼻贴等
压缩喷剂：防晒喷剂等
下港敏感货物：头盔，面具，防护面具，雨伞等
防疫物资：任何形式的口罩，口罩滤片，酒精消毒纸巾，防护隔离面罩，测温枪，防护手套，防护服等
植物和植物材料：植物、花卉、种子
高货值：古董、文物、珠宝、黄金、白银、钻石、玉器、高价值字画等贵重货品
木制品：木盒，木勺，木桶，木铲，竹蒸笼，木质玩具（积木，孔明锁等），实木家具（如木桌，木椅，木书架…等），实木工具，非厨房用途的竹制品
燃油滤清器</t>
  </si>
  <si>
    <t>申报价值50美元内免征关税，超过50美元的包裹，征收19%VAT税费，税费由发件人支付</t>
  </si>
  <si>
    <t>最大尺寸：长+宽+高＜150CM，最长边＜120CM</t>
  </si>
  <si>
    <t>收件人电话：必填，格式要求为 52+8位数字或52+10位数字</t>
  </si>
  <si>
    <t xml:space="preserve">1、不接受异形件如圆柱状，管状或者棱状包裹等  
2、A. 最小尺寸 15*10*2cm  
B.最大尺寸：55*45*38cm（无需加收费用）；
C.若发货包裹任意一边超最大尺寸但未超拒绝承运尺寸需加收100RMB。
3、美国拒绝承运包裹尺寸：  任意单边 &gt;90cm或长+2x（宽+高）&gt; 213cm。  
若客户发运拒绝承运尺寸的包裹，我司将保留补收高额附加费权利。  </t>
  </si>
  <si>
    <t>可达967（除96799）,968,995,996,997998,999开头的美国偏远地区（夏威夷&amp;阿拉斯加）邮编</t>
  </si>
  <si>
    <t>5-13天</t>
  </si>
  <si>
    <t>英国（包括北爱尔兰地区）每日发给同一收件人包裹的合计申报价值＜135 英镑
为了预防万一，防止在海外查验时被要求提供相关信息，我们强烈建议！您在发货时，同时提供以下信息给我们，店铺的VAT税号，HS CODE 和销售订单号 order number。以上信息非必填。</t>
  </si>
  <si>
    <t>0-20kg，单边不能超60CM，最大尺寸60*46*46 
不接受圆柱体和异型件，有特殊需求请咨询销售</t>
  </si>
  <si>
    <t>0-20kg 全境可达，军事地址除外</t>
  </si>
  <si>
    <t>1. 无退回中国服务；
2. 提供二次重派服务，可重派至英国境内(不含外岛)，重派期限为5天，即自通知客户包裹退回起，5天内，客户可选择重派，若不回复，超过5天后，包裹默认被销毁。重派费：45元/件；
3. 当包裹重量大于20kg或尺寸大于60*46*46cm，无二次重派服务。</t>
  </si>
  <si>
    <t>法国对于玩具、电子产品、眼镜、太阳眼镜这些类别的产品，商品本身需要带有CE标识，且被海关查验时需要及时提供证明，若查验未能及时提供证明会导致货物被扣押。
自2021年7月16日，全新的商品安全条例正式在欧盟国家生效，具体条例要求如下：
1 所有向法国境内出售的带有CE标志的商品，除了要持有CE认证标志外，还需要带有CE标志的产品具有法国境内负责人作为商品合规性的联系人；
2 在 7 月 16 日之后，向法国销售带有 CE 标志的商品，但没有位于法国境内的负责人属于违法行为；
3 您需要确保自己带有 CE 标志的商品贴有联系人的信息，此类标签可以贴在商品本身、商品包装、快递包裹或者随附文件上均可。
若不符合以上安全条例，将有可能出现被海关查验、扣关、销毁的情况，由此带来的费用及损失由客户自行承担，海关查验的费用以账单为准。
严禁发仿牌，如有违反，引致的损失、罚款、清关费用等及法律责任由客户承担。</t>
  </si>
  <si>
    <t>自2021年6月24日起，本产品发往欧盟27国的货物，每日发给同一收件人包裹的合计申报价值小于150欧元，均为DDP服务。暂不接受150欧元以上货物。 
对于2021年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
货物因低报被法国海关查扣，要求按照实际价值缴纳税金，产生的费用由客户承担，费用以实际账单为准。</t>
  </si>
  <si>
    <t>根据欧盟海关新政要求，从2021年7月1日起，欧盟27国取消22欧以下免税政策，0欧起征。新政实施的时间节点是以货物抵达清关口岸为准。</t>
  </si>
  <si>
    <t xml:space="preserve">0-2KG:最长边≤60cm，长+宽+高≤90cm，    
2.001-30KG：单边≤60cm，长+宽+高≤120cm    
不接受圆柱体和异型件，有特殊需求请咨询销售  
</t>
  </si>
  <si>
    <t>1.不接受PO.BOX地址的包裹
2.邮编限制：必须为5位纯数字（海外省以及军事基地不可），邮编不能为00100、00200、97开头偏远区域不通达
3.含ARMEE/CEDEX不可以发</t>
  </si>
  <si>
    <t>无退回中国服务，0-30kg：有重派服务，能否重派以实际收到重派通知为准，重派费50元/件</t>
  </si>
  <si>
    <t>1. 海关查验货物包裹的销售链接请务必在48小时内提供，超时和未提供的将会产生150欧罚金且无法豁免；
2. 海关近期严查仿牌和假货，查出即罚没</t>
  </si>
  <si>
    <t>自2021年6月24日起，本产品发往欧盟27国的货物，每日发给同一收件人包裹的合计申报价值小于150欧元，均为DDP服务。暂不接受150欧元以上货物。 
对于2021年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t>
  </si>
  <si>
    <t>0-30KG：最长边≤60cm，长+宽+高≤150cm；最小尺寸：15*11*1。
不接受圆柱体和异型件，有特殊需求请咨询销售  
异形件说明：    
     1.库内判定是否为异形件，若确认为异形件，客服会联系客户确认处理方式：退回、换产品、继续发送。若确认继续通过原产品发送，需预付150元异形件费用；    
     2.异形件说明文档，请咨询相关客服。</t>
  </si>
  <si>
    <t>自6月24日起，本产品发往欧盟27国的货物，每日发给同一收件人包裹的合计申报价值小于150欧元，均为DDP服务。暂不接受150欧元以上货物。 
对于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t>
  </si>
  <si>
    <t>根据欧盟海关新政要求，从2021年7月1日起，欧盟27国取消22欧以下免税政策，0欧起征。新政实施的时间节点是以货物抵达清关口岸为准。
对于2021年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t>
  </si>
  <si>
    <t>最大尺寸（实重）：
0-5kg：L≤60cm，W≤50cm，L+W+H≤130cm
5kg以上：120cm*50cm*40cm
不接受圆柱体和异型件</t>
  </si>
  <si>
    <t>无退回中国服务，可提供重派服务，重派费50元/件</t>
  </si>
  <si>
    <t>一、禁寄品：
1.母婴用品：如奶嘴、奶瓶等婴儿用品；
2.药品及医疗器械：麻醉药、药膏、足贴、水银温度计等产品以及注射器、纹身针等对人体皮肤有强烈侵入性产品；听诊器、血氧仪、血压计、血压仪、血糖仪、体温计、温度计、心电仪、针灸仪、口罩、绷带，止血带，创口贴等医疗用品；
3. 手机、平板电脑、相机等高货值产品；
4. 山寨、仿牌、盗版及其他侵犯知识产权的产品；
5. 无人机
6.成人用品
二、其他品类：
1. 电子产品、电器、灯具、玩具类、机械类、带电产品、眼镜（太阳镜、光学眼镜、镜片等）等需要欧盟CE认证或产品上有CE标志，其中玩具类因涉及儿童健康，还需要EN71标准测试报告，主要涉及无毒无害证明，玩具上还要有具体吊牌、商标、适合年龄段等详细说明；
2. 塑料制品（塑料袋，塑料餐具，搅拌棒和吸管，气球棒，气球等），因涉及欧盟禁塑令，该类产品进口清关时海关查验扣货风险较高。
三、申报品名：申报品名应详细准确，和实物保持一致，不要填写笼统的泛指品名，如sample、gift、accessories、others等。 （清关敏感品名：clothes, gift, paint, tool,phone accessaries,phone case,medical, electronic,请谨慎申报）</t>
  </si>
  <si>
    <t>自6月24日起，本产品发往欧盟27国的货物，每日发给同一收件人包裹的合计申报价值小于150欧元，均为DDP服务。暂不接受150欧元以上货物。 
对于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
国外海关查验新要求：
货值小于150欧元的，需提供交易水单截图，交易截图、商业发票
注：
1、请在截止日期前提供所需文件资料或收件人联系方式（电话+email），逾期未提供文件资料的海关会直接联系收件人要交易证明
2、逾期提供或者默认销毁的可能会有150欧的罚款，销毁会产生20欧左右额外销毁费用，具体金额后续以海关账单为准
以下是对这几种文件的具体要求：
1、交易水单截图（Proof of Payment）,交易证明必需显示卖家或者买家的交易流水金额（例如信用卡和Paypal等证明）
2、交易截图，也就是订单截图（proof of order）
3、商业发票（货值大于等于150欧元，发票内必须注明收件人税号、 联系电话、有效的电子邮箱）</t>
  </si>
  <si>
    <t>单边≤60cm，长+宽+高≤150cm    
不接受圆柱体和异型件，有特殊需求请咨询销售</t>
  </si>
  <si>
    <t>7-16天</t>
  </si>
  <si>
    <t>①收件人手机/电话必填其一
②300g以上收件人邮箱必填</t>
  </si>
  <si>
    <t>自2021年6月24日起，本产品发往欧盟27国的货物，每日发给同一收件人包裹的合计申报价值小于150欧元，均为DDP服务。暂不接受150欧元以上货物。 
对于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t>
  </si>
  <si>
    <t xml:space="preserve">0-300g：单边长＜60cm，长+宽+高＜90cm
300g以上：单边长＜60cm，长+宽+高＜120cm（如未填写收件人邮箱，限制长+宽+高＜90cm）
不接受圆柱体和异型件，有特殊需求请咨询销售  </t>
  </si>
  <si>
    <t>不接受PO.BOX地址的包裹
门牌号必填
荷兰瓦登群岛不通达
不通达邮编：
1791AA to 1797ZZ
8880AA to 8899ZZ
9160AA to 9166ZZ</t>
  </si>
  <si>
    <t>1. 海关查验货物包裹的销售链接请务必在48小时内提供，超时和未提供的将会产生150欧罚金且无法豁免；
2. 海关近期严查仿牌和假货，查出即罚没
3. 需填门牌号，规则如下：
门牌号最多 5 位，规则为：
数字短横杠数字如 2-5；数字杠数字如 11/20；
数字+字母如 123a；纯数字如 123</t>
  </si>
  <si>
    <t xml:space="preserve">0-30KG：单边≤60cm，长+宽+高≤150cm  
最小包裹尺寸为 14.8*21*2（CM）  
不接受圆柱体和异型件，有特殊需求请咨询销售  </t>
  </si>
  <si>
    <t>1）仅接受英文和德文
2）PLZ AT-6991 Riezlern, AT-6992 Hirschegg, AT-6993 Mittelberg, AT-6691 Jungholz，不通达
3）不接受PO.BOX地址的包裹
4）奥地利通达邮编见附件</t>
  </si>
  <si>
    <t xml:space="preserve">0-2KG:最长边≤60cm，长+宽+高≤90cm，    
2.001-30KG：单边≤60cm，长+宽+高≤120cm    
不接受圆柱体和异型件，有特殊需求请咨询销售  
</t>
  </si>
  <si>
    <t>1）只接受邮编表格邮编（详见附录），具体请咨询客服。
2）地址需填门牌号，门牌号最多5位，格式如下：
   a）数字短横杠数字2-5
   b）数字杠数字11/20
   c）数字+字母123a</t>
  </si>
  <si>
    <t>无退回中国服务，0-2kg：无重派服务，派送不成功默认销毁；2-30kg：可提供重派服务，重派费：50元/件</t>
  </si>
  <si>
    <t xml:space="preserve">
自2021年6月24日起，本产品发往欧盟27国的货物，每日发给同一收件人包裹的合计申报价值小于150欧元，均为DDP服务。暂不接受150欧元以上货物。
</t>
  </si>
  <si>
    <t xml:space="preserve">"根据欧盟海关新政要求，从2021年7月1日起，欧盟27国取消22欧以下免税政策，0欧起征。新政实施的时间节点是以货物抵达清关口岸为准。
对于2021年6月24日上午8时后到仓货物，客户已经填写IOSS号的，按正常运费结算。对于没有填写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
</t>
  </si>
  <si>
    <t>最长边≤60cm，长+宽+高≤90cm
不接受圆柱体和异型件，有特殊需求请咨询销售</t>
  </si>
  <si>
    <t>电话号码的格式：
(1)  +国家区号 +9位纯数字
(2)  00+国家区号 +9位纯数字
(3)  0+9位纯数字</t>
  </si>
  <si>
    <t>请填写正确城市、街道地址、邮编信息；
收件人电话/手机号必填，格式为+41加9位纯数字   或者9位纯数字
例：+41987654321   或987654321</t>
  </si>
  <si>
    <t>0-2kg，最长边≤60cm，长+宽+高   ≤90cm；
2-30kg，最长边≤60cm，次长边≤50cm，长+宽+高   ≤180cm；
不接受圆柱体和异型件，有特殊需求请咨询销售</t>
  </si>
  <si>
    <t>无退回中国服务
部分重量段可提供重派服务，具体以客服通知单号为准，重派费48元/件</t>
  </si>
  <si>
    <t xml:space="preserve">
自2021年6月24日起，本产品发往欧盟27国的货物，每日发给同一收件人包裹的合计申报价值小于150欧元，均为DDP服务。暂不接受150欧元以上货物。
</t>
  </si>
  <si>
    <t xml:space="preserve">最长边≤60cm，长+宽+高≤90cm
不接受圆柱体和异型件，有特殊需求请咨询销售
</t>
  </si>
  <si>
    <t>1）邮编格式：5位纯数字
2）地址需填门牌号，门牌号最多5位，格式如下：
a）数字短横杠数字2-5
b）数字杠数字11/20
c）数字+字母123a 
电话限制：
电话必填：9位数，前可加区号：+00420、00420、00420-、+420、420-、420、</t>
  </si>
  <si>
    <t xml:space="preserve">无退回中国服务。2KG以上可提供重派服务，重派费：40元/件
</t>
  </si>
  <si>
    <t>2KG以上为自提服务，请务必填写正确电话及邮箱避免影响收件</t>
  </si>
  <si>
    <t xml:space="preserve">0-2KG:最长边≤60cm，长+宽+高≤90cm，    
2.001-30KG：单边≤60cm，长+宽+高≤120cm    
不接受圆柱体和异型件，有特殊需求请咨询销售  </t>
  </si>
  <si>
    <t>无退回中国服务，0-2KG无重派服务，2KG以上可提供重派服务，具体以客服通知为准。重派费：20元/公斤+60元/件</t>
  </si>
  <si>
    <t xml:space="preserve">自2021年6月24日起，本产品发往欧盟27国的货物，每日发给同一收件人包裹的合计申报价值小于150欧元，均为DDP服务。暂不接受150欧元以上货物。
</t>
  </si>
  <si>
    <t xml:space="preserve">最长边≤60cm，长+宽+高≤120cm
不接受圆柱体和异型件，有特殊需求请咨询销售
</t>
  </si>
  <si>
    <t xml:space="preserve">电话必填，电话号码格式：+3725xxxxxxx或者+3725xxxxxx
</t>
  </si>
  <si>
    <t>1.  无退回中国服务；
2.  0-5kg可提供重派服务，重派期限为12天，即自通知客户包裹退回起，12天内，客户可选择重派，若超过12天后未回复，包裹默认销毁。重派费：40元/件。5-30kg无重派服务。具体重派服务以国外通知反馈为准。</t>
  </si>
  <si>
    <t>尾程为自提服务（自提保存期限为14天），请务必提供正确有效的电话或邮箱（必填其中一项），以及时获取取件码。
电话限制规则如下：不能低于7位数字；不能连续7位或以上相同的数字（例：0000000）；不能连续7位或以上递增/递减的数字（例：12345678,987654321）。
禁发驱虫、驱蚊相关产品。</t>
  </si>
  <si>
    <t xml:space="preserve">0-20KG:最长边≤60cm，长+宽+高≤120cm。
不接受圆柱体和异型件，有特殊需求请咨询销售  </t>
  </si>
  <si>
    <t xml:space="preserve">22000-22999的邮编不通达 </t>
  </si>
  <si>
    <t xml:space="preserve">0-30KG:最长边≤60cm，长+宽+高≤90cm，    
不接受圆柱体和异型件，有特殊需求请咨询销售  
</t>
  </si>
  <si>
    <t>邮编必须为5位纯数字，无偏远限制
不接受PO.BOX地址</t>
  </si>
  <si>
    <t>无退回中国服务，0-3kg：不可重派，3-30KG：可提供重派服务，重派费：50元/件</t>
  </si>
  <si>
    <t xml:space="preserve">最长边≤60cm，长+宽+高≤90cm
不接受圆柱体和异型件，有特殊需求请咨询销售
</t>
  </si>
  <si>
    <t>地址需填门牌号，门牌号最多5位，格式如下：
a）数字短横杠数字2-5
b）数字杠数字11/20
c）数字+字母123a</t>
  </si>
  <si>
    <t>无重派；没有退回国内服务，销毁免费</t>
  </si>
  <si>
    <t xml:space="preserve">
根据欧盟海关新政要求，从2021年7月1日起，欧盟27国取消22欧以下免税政策，0欧起征。新政实施的时间节点是以货物抵达清关口岸为准。
对于2021年6月24日上午8时后到仓货物，客户已经填写IOSS号的，按正常运费结算。对于没有填写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t>
  </si>
  <si>
    <t>自6月24日起，本产品发往欧盟27国的货物，每日发给同一收件人包裹的合计申报价值小于150欧元，均为DDP服务。暂不接受150欧元以上货物。 且申报价值不能低于1欧元。
对于6月24日上午8时后到仓货物，客户已经填写IOSS号的，按正常运费结算。对于没有填写或填写错误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t>
  </si>
  <si>
    <t xml:space="preserve">最长边≤60cm，长+宽+高≤120cm，不能超60*50*40cm  
不接受圆柱体和异型件，有特殊需求请咨询销售  </t>
  </si>
  <si>
    <t>无退回中国服务，20-30KG可提供重派服务，重派费：50元/件</t>
  </si>
  <si>
    <t xml:space="preserve">
"根据欧盟海关新政要求，从2021年7月1日起，欧盟27国取消22欧以下免税政策，0欧起征。新政实施的时间节点是以货物抵达清关口岸为准。
对于2021年6月24日上午8时后到仓货物，客户已经填写IOSS号的，按正常运费结算。对于没有填写IOSS号的订单，默认由燕文预收增值税，收费税率标准为按各国应缴VAT标准税率统一增加2%收取，例如，荷兰VAT为21%，实收则为23%，且该部分税金无法用作未来的VAT进项抵扣。
凡是预缴税金的货物，收件人无需再支付税款。请如实申报，切勿低报，否则相关查验延误，扣留和罚款等风险均由发件人自行承担，同时，对低报货物，我司有权拒收。"
</t>
  </si>
  <si>
    <t>最长边≤60cm，长+宽+高≤120cm
不接受圆柱体和异型件，有特殊需求请咨询销售</t>
  </si>
  <si>
    <t xml:space="preserve">1）州必填
2）电话号码格式：+3706xxxxxxx
</t>
  </si>
  <si>
    <t xml:space="preserve">1.  无退回中国服务；
2.  0-5kg可提供重派服务，重派期限为12天，即自通知客户包裹退回起，12天内，客户可选择重派，若超过12天后未回复，包裹默认销毁。重派费：40元/件。5-30kg无重派服务。具体重派服务以国外通知反馈为准。
</t>
  </si>
  <si>
    <t xml:space="preserve">0-2kg：最长边≤60cm，长+宽+高≤90cm；2-30kg：最长边≤60cm，长+宽+高≤120cm
不接受圆柱体和异型件，有特殊需求请咨询销售  
</t>
  </si>
  <si>
    <t>无退回中国服务，2-30kg：可提供重派服务，重派费：50元/件</t>
  </si>
  <si>
    <t xml:space="preserve">电话号码格式：  +3712xxxxxxx
</t>
  </si>
  <si>
    <t>需填写邮箱，邮箱规则如下：（0-9/A-Z）@（0-9/A-Z）.（0-9/A-Z）
例：sjahdvks@gmai.com</t>
  </si>
  <si>
    <t xml:space="preserve">0-2KG:最长边≤60cm，长+宽+高≤90cm
不接受圆柱体和异型件，有特殊需求请咨询销售  
</t>
  </si>
  <si>
    <t>1）2023年11月19日起挪威路向VOEC税号必填，且需填写在“寄件人税号“框中；税号的填写格式为7位纯数字。需发货前3个工作日提供VOEC号给到销售人员，交由产品部门做信息备案。为了避免货物报关异常，请等待备案处理完后，再安排发货。
2）邮编必须4位数字
3）手机号/电话号码必填其一，格式要求如下
a）如首位00、47、0047、4700开头，后面手机位数长度要求大于等于6，小于等于50
b）不可以出现5个以及以上的相同数字或者连号
4）城市不能含数字</t>
  </si>
  <si>
    <t>2024年1月17日起，挪威路向追踪产品尺寸调整：
1.标准尺寸：最长边≤45cm，三边和≤90cm，无附加费；
2.最大尺寸：45cm＜最长边≤65cm，90cm＜三边和≤120cm，此部分超尺订单将逐票发至客户处确认，并加收30元超尺附加费
3.不接受最长边&gt;65cm或三边和＞120cm的包裹
4.不接受圆柱体和异型件，有特殊需求请咨询销售</t>
  </si>
  <si>
    <t xml:space="preserve">0.2kg内最长边≤60cm，长+宽+高≤90cm；0.2kg以上最大尺寸60*50*40cm
不接受圆柱体和异型件，有特殊需求请咨询销售
异形件说明：若确认为异形件，需收取32元/件的费用
</t>
  </si>
  <si>
    <t>1）波兰的地址，若有门牌号的，需要填写门牌号。若未填写，可能会导致退件。
2）电话格式要求：9位纯数字
3）邮编格式：2位数字+横杠+3位数字</t>
  </si>
  <si>
    <t xml:space="preserve">单边≤60cm，长+宽+高≤150cm    
不接受圆柱体和异型件，有特殊需求请咨询销售 
</t>
  </si>
  <si>
    <t xml:space="preserve">1）电话号码的格式：7XXXXXXXX, 07XXXXXXXX, 407XXXXXXXX, +407XXXXXXXX
</t>
  </si>
  <si>
    <t xml:space="preserve">无退回中国服务，不提供重派
</t>
  </si>
  <si>
    <t>1. 2024年3月11日更新：海关目前严查太阳眼镜相关产品，请避免发送相关产品。海关查验货物包裹的销售链接请务必在48小时内提供，超时和未提供的部分会产生150欧罚金且无法豁免，需客户自行承担；
2. 海关近期严查仿牌和假货，查出即罚没，并会产生罚金由客户自行承担；
3. 2KG以上为自提服务，请提供准确电话号码接收提货通知。</t>
  </si>
  <si>
    <t>0-5KG:最长边≤60cm，长+宽+高≤90cm，    
5.001-20KG：单边≤60cm，长+宽+高≤120cm    
不接受圆柱体和异型件，有特殊需求请咨询销售</t>
  </si>
  <si>
    <t xml:space="preserve">长+宽+高,(0,90],最长边,(0,60]
不接受圆柱体和异型件，有特殊需求请咨询销售
</t>
  </si>
  <si>
    <t>1）邮编格式：5位纯数字
2）地址需填门牌号，门牌号最多5位，格式如下：
a）数字短横杠数字2-5
b）数字杠数字11/20
c）数字+字母123a 
电话限制：
电话必填：9位数，前可加区号：+00421、00421、00421-、+421、421-、421、</t>
  </si>
  <si>
    <t>对于同一个收货人，同一天的申报总价值不能超过100欧元</t>
  </si>
  <si>
    <t>对于同一个收货人，同一天的申报价值100欧元以内免税。</t>
  </si>
  <si>
    <t xml:space="preserve">1. 不接受圆柱形和异型包裹
2. 长宽高＜100×50×40cm，最长边＜100cm
</t>
  </si>
  <si>
    <t>1. 税号必填 ：格式为去除符号后仅11位数字。示例：自然人税号称为CPF码，如000.000.000-00；
2. 英文品名字符长度不超过200个字符（字符过多会影响面单信息展示）。
3. 可发化妆品类液体（不含易燃液体，不超过300ml）、化妆品类膏体（防水眼线笔，眼线膏等）、化妆品类粉末（粉底等），均需提供MSDS确认
4. 需要规范申报，具体包含：品名/材质/类型/规格/用途等信息，若申报品名较为笼统可能会因申报信息不全而被扣件。
（1）避免申报大类模糊品名，过于宽泛的品名较易引起海关扣件。反面申报案例：“玩具”，“装饰品”，“摆件”，“电子产品”等，均易引起海关质疑。
（2）避免简单申报单一品名（如只申报“奖牌”，“手表”，“手机壳”等），影响海关辨别实际商品。请尽量详细申报，包括但不限于商品详细名称+规格+型号+数量+颜色等，便于海关根据申报品名判断包裹内实际商品。
（3）避免出现“加密”“保密”等敏感词汇，此类申报会引起海关担忧包裹有信息入侵风险。反面案例：“加密硬件钱包”。
（4）避免发运疑似商用产品如“白色黏土”、“机箱盖子”、“手机液晶屏”等，另同批次同一收件人收货数量过多，也容易让海关怀疑包裹有商用嫌疑。
5. 确保收件人税号与本人信息一致。
6. 从8月下旬开始，海关严格审查申报海关编码（海关H.S编码）与实物的对应关系； 申报时要求填写商品真实的前8位海关编码，海关编码的查询网址：https://portalunico.siscomex.gov.br/classif/#/sumario?perfil=publico  ，填报虚假海关编码的行为会被视为虚假申报而停止下一步的操作与清关。</t>
  </si>
  <si>
    <t>1. 请如实申报，5USD ≤ 申报价值＜50USD
2. 建议同个批次同个收件人包裹最多不要超过2个，申报价值总计不能超过50USD；单个包裹建议1-2个内件，超过可能有被海关定义模式改变产生罚款的风险。</t>
  </si>
  <si>
    <t xml:space="preserve">巴西海关严查低申报，要求如实申报。实际税费情况需以海关判定为准，清关过程中若产生增值税或关税，海关会向收件人收取。
</t>
  </si>
  <si>
    <t>尺寸要求：1CM≤最短边≤100CM，10CM≤第二长边≤100CM，15CM≤最长边≤100CM，长+宽+高≤200CM,不接受异形件。
包装要求：1、不要使用黄色胶带包装/缠绕；2、不要使用透明气泡膜包装/缠绕；3、不要使用透明胶粘多个小包在一起。</t>
  </si>
  <si>
    <t>1.州，城市，邮编必填（邮编需要具体到收件人地址中的街道）
2.地址1或地址2字段必须包含数字（数字代表巴西境内的门牌号）
3.收件人手机/电话必填其一，格式为不含国家代码（+55）的10或者11位数字
4. 收件人邮箱必填</t>
  </si>
  <si>
    <t xml:space="preserve">无退回中国服务，支持当地重派服务：0-2kg 50元/票,2-3kg 60元/票；自通知客户包裹退回日起，15天内客户可选择重派，超期默认销毁
</t>
  </si>
  <si>
    <t>1. 收件人税号必填，税号参考格式：xxxxxxx-y或 xxxxxxxx-y，‘’x‘’代表数字，‘’y‘’代表数字或大写字母”K”，如 18121446-5，22272244-K
2. 禁发任何纯电、液体、粉末物品，支撑杆不可发</t>
  </si>
  <si>
    <t>1.请如实申报，2023年5月10日起申报价值不能超过41美元
2.同个批次同个收件人包裹申报价值总计不能超过41美元</t>
  </si>
  <si>
    <t xml:space="preserve">尺寸要求：10CM≤最长边≤105CM，长+宽+高≤200CM,不接受异形件。
</t>
  </si>
  <si>
    <t>1）无退回中国服务
2）无重派服务，派送不成功默认销毁。</t>
  </si>
  <si>
    <t>1. 手机不可发
2. 申报品名不要包含“无线”、“蓝牙”等字眼，否则容易被海关查验扣关。</t>
  </si>
  <si>
    <t>货物申报价值≤200USD免征关税，最低申报价值不能低于5USD，最高不能超过200USD。
针对以下两种情况 从2023年3月6日起需要额外收取费用：
1. 如果包裹被海关重新调整价值，客户提交文件申诉，则需要交15美金的申诉费用，无论申诉成功与否。但是如果客户决定弃件或者直接缴税，则不收取此费用。
2. 如果包裹被哥伦比亚海关定义为“模式改变”，则须向发件人收取40美金，无论客户决定弃件、还是找清关代理清关（清关费用500美元，需收件人支付）都需缴纳此费用。 
A. 据服务商解释，收取该费用的原因是尾程服务商为了履行海关的新流程，须将货物运送到海关履行相关规范而产生的额外费用，这个费用需要发货人承担，因为发货人未按要求发运产品。 
B. 被海关定义为“模式改变” 的产品类型主要有： 
a）包裹数量超限，涉嫌商业用途（普通用品同一类别不超过6个项目，3C电子类高价值产品1-2件 如平板电脑、数码相机，手机不可发）； 
b）违禁产品和危险用品；
c）虚假申报，产品名和实际申报不符；
d）受限制品，缺乏相关证书。</t>
  </si>
  <si>
    <t xml:space="preserve">尺寸要求：10CM≤最长边≤90CM，长+宽+高≤150CM
</t>
  </si>
  <si>
    <t>无退回中国服务，无重派服务。
收件人地址/电话有误联系不上收件人的，或是郊外偏远地区派件时效较久的情况，收件人可通过以下联系方式自行联系当地邮政：
1）哥伦比亚邮政官网：https://www.4-72.com.co/
2）哥伦比亚邮政联系方式：
Diagonal 25 G # 95 A 55, Bogotá - Colombia - ZIP Code: 11091
Administrative Headquarters: (+57) (601) 472 2005
Physical and electronic channels for customer service
You can report on the Anti-Corruption Line:?(+57) (601) 4722005 Options 6 and then *
Free line: 01 8000 111 210
Contact Center: (+57) (601) 472 2000
Customer service:??servicioalcliente@4-72.com.co
Judicial notifications:??notificaciones.judiciales@4-72.com.co</t>
  </si>
  <si>
    <t>8-17天</t>
  </si>
  <si>
    <t>禁寄品主要类别：请避免植物、花卉、藤编、竹编制品、木制品、危险品、不明液体、禁止进口等物品的派发，以避免销毁；如发送禁寄品会造成海关查验费及销毁处理等费用由客户承担。
文件：资料（发票、图片）的提供，请确保图片清晰，资料相互统一。文件资料模糊或者不匹配将会影响AQIS部门海关审核，增大销毁几率。</t>
  </si>
  <si>
    <t>最长边&lt;100cm，体积≤0.25m3</t>
  </si>
  <si>
    <t xml:space="preserve">1.收件人电话需必填，只允许数字与“+-（）”及空格除此之外不能包含其他特殊符号。
2.收件人地址需准确且完整有街道号门牌号，邮编和城市洲省一致。
3.通达澳大利亚全境，支持P.O.Box、自提柜地址。
4.商业快递+邮政快递派送。
5.澳大利亚邮编请查看附录VIII“国家分组-澳洲邮编”或咨询销售和客服索取。
6.若地址信息潦草或不详、不适宜派送（个别街区，邮政车辆开不进去）、发件人要求返回签收记录, 不适用safe drop 的包裹或者收件人被邮政黑名单，包裹都不会派送需自提。
</t>
  </si>
  <si>
    <t>---禁止发送任何动植物、植物/木材相关物品。例：干花或活花、种子或松果、蜂蜡或蜂蜜、动物产品或器官藤条、藤条或任何与木材相关的物品。武器、枪支弹药、轮胎、烟草、石棉、农产品、食品、生鲜食品、易燃易爆物品、儿童蜡笔、指画和水彩画、仿牌/侵权产品、无线电干扰设备、有毒有害物质；肥料、药物/片剂/化学溶液等；违反要求发货产生的后果及相关费用由发件人承担!
新西兰海关要求收件人必须完整的姓名，必须有“名字”和“姓”，写于收件人姓名一栏！！！</t>
  </si>
  <si>
    <t>4-9天</t>
  </si>
  <si>
    <t>1、禁寄品主要类别：仿牌及侵权商品、二手物品、带度数的眼镜及镜片、化妆品、美容工具、纹身工具、6岁以下儿童玩具、成人用品、针织类商品、皮革材质类商品、添加石棉的商品、含有活性炭的商品、银行卡、学生证、在留卡、纹身针、货值超过1万日元或商品数量超过属于合理自用范围的包裹（非医用口罩每个收件人少于100枚、按摩工具、温度计、接触食物和口腔的物品等每个收件人仅限1件）。
2、如发送禁寄品会造成海关查验费、销毁处理费、清关手续费及关税等费用由发件人自行承担。
3、本渠道为目的国个人清关渠道，不接受任何B类（公司）性质的收件人和亚马逊仓收件地址的包裹，内件商品数量符合个人自用范围（每批次同一个收件人只能一个包裹）否则会产生清关关税、内点费、仓储费等费用由发件人自行承担。
4、发货前请与你的专属销售确认，如发送禁寄品会造成海关查验费、销毁处理费、清关手续费及关税等费用由发件人自行承担。
5、08099761533 此电话号码已进入海关黑名单，建议不要使用此号码发货，请填写收件人真实的电话号码
大阪府	門真市	深田町 20-2 株式トライワーク内 （株）つなぐ	此地址为仓库地址，已进入海关黑名单，建议不要使用此地址发货，请填写收件人真实的个人地址
6、清关时因仿牌、侵权及资料不完整，申报收件人及品名信息不实等原因，无法清关滞留在海关仓库的包裹，产生的所有费用由发件人承担。</t>
  </si>
  <si>
    <t>请如实申报，申报价值不能超过10000日元，同一天同一收件人多票的申报价值也不能超过限制，请注意低申报会影响清关时效</t>
  </si>
  <si>
    <t>1.收件人名称必须是真实的个人姓名，也支持用英文字母填写的姓名，填写时确保姓氏和名字完整，不可出现只有姓氏或只有名字或者姓氏加尊称的情况，英文名字需要用空格隔开姓和名。日本人的姓名常见的是3-5位的日文汉字，例如正常填写的日本人姓名：“ 藤田泰彦、清川 覚、戸田 慶三郎 ”。基本不会出现名字中含有片/平假名这类非正式的姓名，例如：“ くどう しんいち、工藤 しんいち ”。
2.收件人电话需必填，格式为0开头的10位数座机号或者11位数手机号，不需要填写国际区号如“+81-”不能包含特殊字符。
3.收件人地址需准确且完整有街道号门牌号，邮编和城市洲省一致。
4.冲绳县为偏远地区另收取偏远费每票100元，偏远邮编请咨询客服（详见附录）。
如果因为收件人信息填写不准确或者申报信息有误等原因导致清关扣件产生的额外税费等，需要发件人承担。</t>
  </si>
  <si>
    <t>无退回中国服务，派送不成功会退回日本当地中转仓，免费保存14天，超期自动销毁。可提供重派服务，重派费：55元/件，在清关当中发现的问题件产生相关费用需要客户承担，若因客户原因产生相应的仓储费需要客户承担，费用以账单为准，清关阶段问题件超14天未确认的默认销毁；退件逾期未处理默认销毁，销毁免费；</t>
  </si>
  <si>
    <t>最长边不超过100厘米，长+宽+高不超过150厘米</t>
  </si>
  <si>
    <t>以下离岛地区不提供派送服务：大屿山，即）：大澳、梅窝、愉景湾、马湾 (Tai O / Mui Wo / Ma Wan / Discovery Bay)，长洲 Cheung Chau，坪洲 Peng Chau，南丫岛 Lamma Island，蒲台岛，索科群岛，塔门，东平洲</t>
  </si>
  <si>
    <t>1、不接收成人用品、毒品、危险品、化学品、液态物品、粉末、生化制品、生鲜物品、食品、药品、仿冒及侵权物品等以及各种侵权、仿牌物品，纯电、手机、通讯用品、平板电脑、笔记本电脑、无人机、无人机配件、摄像机、平衡车、充电宝、手机/笔记本电脑电池、对讲机、U盘、电子钱包等。冲货发违禁品造成一切罚款与损失由发件人承担，我司有权追究发件人责任。
2、必须提供电话号码，且电话号码格式为：区号91+10位数字
3、电商包裹仅支持一票一件，单边尺寸最长90CM，三边和最长120CM
4、制氧机免税，但需要额外支付12%GST费用+20RMB/票处理费
5、商业清关DDP服务，申报价值不超过50美元，免征税费；请如实申报，严禁低报，在目的国清关因低报造成的费用以及处理后果均由发件人承担。</t>
  </si>
  <si>
    <t xml:space="preserve">请如实申报，申报价值&lt;=50美元
</t>
  </si>
  <si>
    <t>商业清关DDP服务。</t>
  </si>
  <si>
    <t>最长边不超过150厘米，长+宽+高不超过150厘米</t>
  </si>
  <si>
    <t>重派费用说明：
0.001-0.5KG：70RMB/件
0.501-1KG：120RMB/件
1.001-1.5KG：170RMB/件
1.501-2KG：220RMB/件
此国家无退回国内服务</t>
  </si>
  <si>
    <t>（1）收件人电话需必填，格式为010+8位数字，支持符号- + 空格， 共11位纯数字；
（2）收件人税号需必填，格式为P开头+12位数字；
（3）请一定正确填写收件人姓名、电话、个人通关码和详细地址信息。品名、规格、数量、价格、收件人信息等不正确的情况，清关会加收清关手续费1000韩币。收件人地址信息不详细不正确清关查验会产生高额罚款，罚款由发件人/收件人承担。
3C类产品清关会加收清关手续费1000韩币，收件人不给的情况下会找发件人收取；
（4）禁发侵权商品、成人用品、未加工的水果蔬菜肉类、瞄准器、纹身相关产品、针头等；
（5）请如实申报包裹内的品名，在单个包裹内有多种品名的情况下，请务必在“中文品名”、“英文品名”栏或“具体品名”栏内如实写清楚所有品名，且商品总件量需与实际情况相符，如出现瞒报、漏报等情况会产生清关费用及5万至10万韩币罚款（费用由发件人承担）；
（6）每个收件人每个包裹内的用电类产品限发一件，超过限制件数韩国海关会要求提供韩国KC认证，即使提供了KC认证且商品价值在免税额以下也需要缴纳相关税费；
  (7)禁止出口尿素类化肥产品，禁止以简化申报形式报关出口。
  (8)以下不适用目录清关的商品种类，会产生关税、手续费、罚款等由发件人承担；
1. 药品、医疗用品及器材（如体温计）
2. 中药材
3. 野生动物相关产品
4. 农产品和畜产品等检验检疫对象商品
5. 保健品
6. 侵权商品
7. 食品类、酒类、烟类
8. 化妆品（限功能性化妆品、含胎盘化妆品、含类固醇化妆品、无法确认成分的有害化妆品）、洗涤用品
9. 修改申报内容，报关产品有新增的情况
10. 单上的品名、规格、数量、价格、收件人地址、收件人联系方式等不准确的商品
11. 此外，《关税法》第226条规定的需要海关总署确认对象商品及海关总署不认可目录清关的商品
  (9)无线耳机、无线音响、手机、笔记本电脑、蓝牙。wifi等无线设备及电子仪器(含零部件)（HS CODE85类产品）需申报简易清关，费用1000韩币，此费用默认为发件人支付。
(10)、个人通关码可先在此网址进行校验：http://inspection.e-kc.vip/ 
(11)、同一入港日期，抵达的包裹物品超过2件的多到件认为不属于个人使用范围，需要额外的清关操作及收取相关费用。同一包裹申报数量建议不超过20个。
(12)、近期韩国海关提高了吸尘器、烘干机、扬声器等产品的检查率，申报时请注意填写准确的申报金额；还有知名品牌的仿牌，有可能被海关认定为侵权产品。
(13)、戴森产品的吹风机、吸尘器等仿牌货物，以及其他侵犯知识产权的物品，寄过去后，假货会全部销毁；所以请不要寄不是正品的货物，即使寄过去，也需要两周时间拿到鉴定结果。
(14)、清关时因仿牌、侵权及资料不完整，申报不实等原因，无法清关滞留在海关仓库的包裹，产生的所有费用由发件人承担。(15)、不收异形件和超尺寸件，异形件和超尺寸件会转交其他服务进行派送，因此产生的附加费实报实销</t>
  </si>
  <si>
    <t>长+宽+高≤160cm；单边最长100cm，宽和高不能同时＞90cm
拒收圆柱体包装</t>
  </si>
  <si>
    <t>2023.9.13日开始济州偏远地区（63000-63644）另收取偏远费每票17元，偏远邮编请咨询客服（详见附录）</t>
  </si>
  <si>
    <t>无退回中国服务，可提供重派服务，重派费：30元/件，退件会在库内保存2周，逾期默认销毁，销毁免费。</t>
  </si>
  <si>
    <t>收件人电话不能含有特殊字符，菲律宾电话格式：+63 917 xxx xxxx或者9+9位数开头</t>
  </si>
  <si>
    <t xml:space="preserve">申报价值＜200美金
</t>
  </si>
  <si>
    <t>申报价值200美金内免征关税</t>
  </si>
  <si>
    <t xml:space="preserve">不超过30kg
</t>
  </si>
  <si>
    <t xml:space="preserve">长+宽+高≤150cm;
</t>
  </si>
  <si>
    <t xml:space="preserve">无退回中国服务，可提供重派服务，重派费：50元/件，退件会在库内保存7天，逾期默认销毁，销毁免费。
</t>
  </si>
  <si>
    <t>申报价值不超过400新加坡元</t>
  </si>
  <si>
    <t>尺寸限制：
长+宽+高小于150cm，最长边不超过100cm</t>
  </si>
  <si>
    <t xml:space="preserve">无退回中国服务，提供重派服务，重派金额：30元/件，妥投失败会退回国外中转仓，免费保存7天，逾期默认销毁，销毁免费。
</t>
  </si>
  <si>
    <t>5-11天</t>
  </si>
  <si>
    <t xml:space="preserve">
禁寄品的主要类别：保健品/成人用品/佛教用品/电子烟/电视盒/对讲机/无人机/印刷影音产品/</t>
  </si>
  <si>
    <t>请如实申报，申报价值不能超过1350泰铢。</t>
  </si>
  <si>
    <t>以下偏远地区 94160   94170  94180  94190  94220  94230  95000 95110 95120  95130  95140 95150 95160  95170  96110  96120  96130  96140  96150  96160  96170  96180  96190  96210  96220
涉及偏远收取偏远附加费28元/票
泰国电话9-10位</t>
  </si>
  <si>
    <t xml:space="preserve">需要在CPF/CNPJ/EORI栏提供收件人身份证号码，格式是共10位，第1位是英文字母；
禁止邮寄医疗器材及用品、美容器材、动植物、生鲜品、含肉食品、食品、化妆品；
现在台湾海关对ezway实名认证要求更加严格，所有货物必须提供正确的中文收件人名及电话，相关信息需与海关系统上保持一致
</t>
  </si>
  <si>
    <t xml:space="preserve">申报价值＜2000新台币
</t>
  </si>
  <si>
    <t xml:space="preserve">不超过20kg
</t>
  </si>
  <si>
    <t xml:space="preserve">尺寸限制：长+宽+高≤150cm
</t>
  </si>
  <si>
    <t xml:space="preserve">-
</t>
  </si>
  <si>
    <t xml:space="preserve">无退回中国服务，可提供重派服务，重派费：35元/件，退件会在库内保存1个月，逾期默认销毁，销毁免费。
</t>
  </si>
  <si>
    <t>亚洲（中东）</t>
  </si>
  <si>
    <t>8-16天</t>
  </si>
  <si>
    <t>禁寄品主要类别：古兰经、成人用品、对讲机、激光笔、无人机、摄（照）像相关商品、警（军）用类商品、面具，如发送禁寄品会造成罚款(300-2000USD/件不等）或销毁处理等费用由客户承担。</t>
  </si>
  <si>
    <t>请如实申报，申报价值不能超过260美元，申报260美元以内会收取5%VAT，此费用为发件人支付。</t>
  </si>
  <si>
    <t>申报价值不能超过260美元，（目前为活动促销期间免VAT，如活动结束会提前2个工作日通知）。</t>
  </si>
  <si>
    <t>1.收件人名称必须是真实的个人姓名，也支持用英文字母填写的姓名，填写时确保姓氏和名字完整。
2.收件人电话需必填，格式为9开头的9位数号码，需要填写国际区号“+971-”不能包含其他特殊字符。
3.收件人地址需准确且完整有街道号门牌号，邮编和城市洲省一致。</t>
  </si>
  <si>
    <t>1.禁运品：赌博用品，无线电发射器/通信设备，含GPS产品，粉末、成人用品、宗教信仰类、隐私类用品、无人机、电子烟、带摄像头的设备、医疗器械、纯电池等（不确定的产品请单询）。如发送禁寄品会造成罚款或销毁处理等费用由客户承担。
2.单个包裹内件不超过5件（同个SKU不超过3件），否则可能会被海关判断为商业件导致清关异常并要求做海外退件，产生高额退件费。若超过限定数量造成的相关费用和损失由客户承担。</t>
  </si>
  <si>
    <t xml:space="preserve">1.收件人名称必须是真实的个人姓名，填写时确保姓氏和名字完整。
2.收件人电话需必填。
3.收件人地址需准确且完整有街道号门牌号，收件人城市必填。
4.无法派送Po.Box地址
</t>
  </si>
  <si>
    <t xml:space="preserve">不超过2kg
</t>
  </si>
  <si>
    <t>无退回中国服务，无重派服务</t>
  </si>
  <si>
    <t>①禁寄品主要类别：博弈游戏和赌博用设备；无线电话/通讯设备（频率从900MHz至2.4GHz；比如收音机、对讲机、路由器等）；广播用设备；监控摄像类器材；车用零配件，例如汽车、自行车和摩托车配套的车灯、头盔、把手、加热、减震设备等；含激光产品；智能出行和智能家居类用品；无人机（包括遥控电动玩具）小家电；开关插座；导航仪/定位器；脱毛器；成人情趣玩具/用品；园艺产品，电子烟；望远镜；瞄准器；战术导轨；
温馨提示：下单时中英文品名填写尽可能详细，否则易被目的国海关查验（举例：电脑配件---是鼠标还是键盘，需要写具体的配件名称-“鼠标/键盘”；五金工具---是大头锤还是凿子，需要写具体的工具名称-“大头锤/凿子“。建议细化到物品的颜色、材质、使用人群等）
②邮编限制：五位数字或七位数字，或五位数字+短横线+四位数字；其余格式不能制单，报错提示为：以色列邮编为五位数字，或七位数字，或五位数字+短横线+四位数字。
③联系方式要求：收件人电话或者邮箱地址必须填一项，收件人电话不可为0-9连号或者全是0或1-9的数字，收件人电话不少于9位数字。
④如遇到清关查验，客户可以选择【按要求提交资料清关】或【销毁】。需要注意的是，一旦确认提交资料继续清关则不可再销毁，清关产生的费用需由发件人支付，具体费用清关后提供；若客户选择销毁则不收费。</t>
  </si>
  <si>
    <t>1、请如实申报，申报价值大于等于3美元，小于等于75美元。
2、同个批次同个收件人包裹建议不超过2件，且申报价值总计不能超过75美元，原因为同一收件人的货同时到达目的港会被海关合并计税，并要求提供相关资料清关，如因此种情况产生税费需发件人支付。</t>
  </si>
  <si>
    <t>申报价值75美元内免征关税</t>
  </si>
  <si>
    <t>1. 末端当地派送到自提点，不送货上门。包裹在以色列境内转运前，末端会短信/邮件通知收件人运输信息，收件人可在通知中免费更改一次自提点位置，若收件人无选择，则以末端系统自动分配的自提点为准。包裹到达自提点以后会短信/邮件通知收件人自提，所以收件人的联系方式非常重要，需要提供格式正确且能接收短信通知的收件人电话，同时建议提供收件人邮箱。
2. 以色列手机号码规则： +972-00-0000000
1）972是以色列国家代码；中间2位数为区号，其中56、59是属于巴勒斯坦的手机区号，不被允许制单（056、059、0056、0059也不允许制单），其他可以支持制单，最后7位数字是具体号码。
2）除972国家代码后，前缀为（0）5041/ 5271/ 5276/ 5484/ 5485/ 5331/ 5341/ 5832/ 5567/ 5532为无法接收短信的号码，若提供此类联系号码，请务必同时提供邮箱，否则收件人无法凭通知信息前往自提点取件</t>
  </si>
  <si>
    <t xml:space="preserve">   无退回中国服务，有重派服务，包裹放入自提点14天/自提柜5-7天收件人还未取件，则退回海外仓存放2周,期间可以选择重派，最多可重派两次，重派费用每次收取60rmb/件 （重派费由发件人支付）,如果不选择重派将直接销毁，销毁费为0.5USD/件</t>
  </si>
  <si>
    <t>无退回中国服务，可提供重派服务，重派费0-5kg 40RMB/件，续重15RMB/kg。</t>
  </si>
  <si>
    <t>1.禁寄品主要类别：古兰经、成人用品、对讲机、激光笔、无人机、手电筒、摄（照）像相关商品、警（军）用类商品、面具，圣诞及其周边产品、含GPS功能产品，涉赌产品等，若涉及WIFI扩张器，WIFI路由等产品需要收件人提前申请CITC文件，如发送禁寄品会造成罚款(300-2000USD/件不等）或销毁处理等费用由客户承担。
2.单个包裹内件不超过5件（同个SKU不超过3件），否则可能会被海关判断为商业件导致清关异常并要求做海外退件，产生高额退件费。若超过限定数量造成的相关费用和损失由客户承担。</t>
  </si>
  <si>
    <t xml:space="preserve">申报价值不能超过265美元；请如实申报，以免影响清关。
</t>
  </si>
  <si>
    <t>1.向发件人预征收15%增值税（按申报价值），申报价值不能超过265美元；请如实申报，以免影响清关。
2.2024年9月25日起，新增向发件人收取33元/票的海关文件处理费。</t>
  </si>
  <si>
    <t>1.收件人名称必须是真实的个人姓名，也支持用英文字母填写的姓名，填写时确保姓氏和名字完整。
2.收件人电话需必填，格式为9位数，可填写国际区号“+966-”不能包含其他特殊字符。
3.收件人地址需准确且完整有街道号门牌号，邮编和城市洲省一致。</t>
  </si>
  <si>
    <t>1、自2024年10月10日起，我司土耳其产品税率统一调整为65%。
2、根据土耳其海关相关条例规定，每人每月只能从海外收到5件包裹。收件单位必须是个人，不能用作商业用途，建议包裹内物品不要超过7件（最终按照海关认定的合理物品数量为准）。每个包裹内件数量过多若被海关判定为商业用途，需收货人自行清关，配合提供海关所需资料清关，会造成额外的杂费及补罚税费；如在海关销毁会产生销毁费用，销毁费100元/件，该费用由发件人承担。
3、土耳其海关要求身份证ID必填，自2022年2月10日起，请务必在CPF/CNPJ/EORI字段栏填写收件人身份证ID或居住证ID，正确格式为11位纯数字（举例：01234567890）最后一位必须是偶数0/2/4/6/8，且收件人姓名需和身份证ID一一对应，以便海关核查并快速清关。
4、收件人姓名要求：
1）如果同时有公司名和收件人姓名请不要颠倒位置，要确保字段对应。
2）收件人姓名字词数量限制，字词数最少2个，最多4个。举例：Steven Yuan (2个字词)，Steven Yuan Addy Rao (4个字词)；
3）不要写公司或机构名称，必须是完整的名+姓，只能包含土耳其和英文。除了公司外，诸如医院，学校、商店等公共、商业机构等也不可作为姓名。一般有Ltd、STi、TAS.、Tic 、AS、SAN VE字样的是公司名称。
4）收件人不能包含以下关键词：Ltd，ŞTİ，TAŞ.，TİC ，AŞ，SAN VE，adresi，adres，adresim，ev1，grup，co，store，depo，mobile，sti，teknoloji，limited，ltd，group，technology，ev，iş adresi，Ev adresim，İş Yeri，iş。
5、申报要求
1）请如实申报商品价值、商品件数、HSCODE、申报品名、用途；
2）建议按销售链接中的SKU描述来申报，不接受笼统的申报品名。不接受如tools、toy、sample、kit、accessories等笼统品名
6、禁运
1）禁止发手机、平板电脑、仿牌等侵权产品、仿外形产品、对讲机、无人机（如是飞行玩具，申报品名注意不要写无人机/drone相关字样。）等含通讯功能的电子产品、化妆品和个人护理用品、食品、药品、鲜活、羽毛禽兽、动植物及其种子类、电子烟、身份证、护照等证件、琥珀化石、树脂化石类、黄金、珠宝、光碟、成人用品、涉及宗教类物品、野营工具(各类打火石，如镁棒)。
2）内置电池：每个小包最多能装4个锂电池芯或者2个锂电池，燃料电池，充电宝/移动电源/湿电池等纯电产品不可发；
3）刀具：刀刃不超过15cm,刀具上无弹簧装置，包装适合运输可走货；
4）武器(如弩，可伸长的接力棒，电动眩晕枪，电击装置/武器，玩具枪，空气枪，狼牙棒）/电子烟（雪茄，香烟，打火机）/夹背电池手机壳/压缩气体（如香水，头发喷雾剂，气体钢瓶）/各种含液体的产品（如指甲油，身体乳液）不可运输,尖锐的武器形状的危险品（如鱼叉）不可走。
5）不可发GPS产品（GPS产品进口土耳其会加收18欧元附加费，外加征收50%关税）。
6）不可发智能/数字手表（智能/数字手表产品进口土耳其需征收14%印花税）。</t>
  </si>
  <si>
    <t xml:space="preserve">3欧元≤申报价值 ≤ 30欧元
</t>
  </si>
  <si>
    <t>单边&lt; 150cm，长+宽+高&lt; 220cm</t>
  </si>
  <si>
    <t>不支持北塞浦路斯，其不属于土耳其境内范围。</t>
  </si>
  <si>
    <t>非洲</t>
  </si>
  <si>
    <t>禁运品主要类别：
1.仿牌，纯电，烟草（含电子烟）刀具，打火机，液体，粉末，膏状体，食品，医疗器械，毒品，军火（如武器、枪支、弹药） 动物、植物以及植物种子;货币，有价证券, 药品及各类化学制品，不雅物品，宗教及政治宣传品；
2.隐私类用品：录音笔,GPS定位器,无人机等；
3.配套电池：包括独立锂电池、纽扣锂电池、充电宝 
4.高价值货品：例如 手机,笔记本电脑,平板电脑,照相机；
5.假发
提示：
1. 如果发现实际发运货物包含上述品类，需发件人支付额外附加费，具体以尾程产生费用为准。
2. 正常签收的包裹若存在异常，需在签收后10个自然日内反馈情况，逾期则视为自动放弃。</t>
  </si>
  <si>
    <t>(1)方形货物：
最小限制：最小表面积&gt;10*10cm；
最大限制：长+宽+高≤150cm，单边长度≤60cm；
(2)卷轴状货物：
最小限制：直径的两倍长度之和≥17cm，单边长度≥10cm；
最大限制：直径的两倍加上长度之和≤104cm，单边长度≤90cm；</t>
  </si>
  <si>
    <t>禁运品主要类别：
1.仿牌，纯电，烟草（含电子烟） 刀具，打火机，液体，粉末，膏状体，食品，医疗器械，毒品，军火（如武器、枪支、弹药）动物、植物以及植物种子,货币, 药品及各类化学制品，贵金属和宝石,动物制品（骨头,龟壳,角,鹿角,珊瑚,珍珠母等） 旧轮胎或者翻新轮胎；
2.隐私类用品：录音笔,GPS定位器,无人机等；
3.配套电池：包括独立锂电池、纽扣锂电池、充电宝；
4.高价值货品：例如 手机,笔记本电脑,平板电脑,照相机；
5.假发
提示：
1. 如果发现实际发运货物包含上述品类，需发件人支付额外附加费，具体以尾程产生费用为准。
2. 正常签收的包裹若存在异常，需在签收后10个自然日内反馈情况，逾期则视为自动放弃。</t>
  </si>
  <si>
    <t>禁运品主要类别：
①仿牌，纯电，烟草（含电子烟）刀具，打火机，液体，粉末，膏状体，食品，医疗器械，毒品，军火（如武器、枪支、弹药） 动物、植物以及植物种子;货币，有价证券, 药品,各类化学制品；不雅物品，成人用品、宗教及政治宣传品，望远镜，电视频道解码器，测量仪器，书籍和期刊，抛物面天线，映像制品（用于唱片或影片或录音制品工业生产的设备，唱片和影片碟片和所有其他唱片，商业用途的录像带）
② 隐私类用品：录音笔,GPS定位器,无人机等；
③ 配套电池：包括独立锂电池、纽扣锂电池、充电宝；
④ 高价值货品：例如 手机,笔记本电脑,平板电脑,照相机（若发现实际货物属高价值货品，需支付附加费35元/kg，由发件人承担）
⑤ 假发（若发现实际货物为假发，需支付附加费15元/kg，由发件人承担）
2.单个包裹限制：
每个包裹内单个sku不超过5件且申报价值在50美金内，整个包裹申报价值200美金以内，若品类是电子产品，数量不建议超过2个。
3.正常签收的包裹若存在异常，需在签收后10个自然日内反馈情况，逾期则视为自动放弃。</t>
  </si>
  <si>
    <t xml:space="preserve">因摩洛哥海关规定，每个包裹需按照CIF（货值+运费+保险）价格申报，故为避免因申报过低被海关查验，自2023年8月9日起，我司专线追踪产品摩洛哥路向货物最小申报价值由原“申报价值&gt;0元”调整为“申报价值≥5美金”
</t>
  </si>
  <si>
    <t>收件人姓名、城市、州、电话必填。
无法派送Po.Box地址</t>
  </si>
  <si>
    <t>禁运品主要类别：
1.仿牌，纯电，烟草（含电子烟） 刀具，打火机，液体，粉末，膏状体，食品，医疗器械，毒品，军火（如武器、枪支、弹药），动物、植物以及植物种子,艺术品,有价证券,药品及各类化学制品，汽车配件,象牙制品,不雅物品,宗教及政治宣传品；
2.隐私类用品：录音笔,GPS定位器,无人机等；
3.配套电池：包括独立锂电池、纽扣锂电池、充电宝；
4.高价值货品：例如 手机,笔记本电脑,平板电脑,照相机；
5.假发
提示：
1. 如果发现实际发运货物包含上述品类，需发件人支付额外附加费，具体以尾程产生费用为准。
2. 正常签收的包裹若存在异常，需在签收后10个自然日内反馈情况，逾期则视为自动放弃。</t>
  </si>
  <si>
    <t>禁运品主要类别：
1.仿牌，纯电，烟草（含电子烟）刀具，打火机，液体，粉末，膏状体，食品，医疗器械，毒品，军火（如武器、枪支、弹药） 动物、植物以及植物种子;货币，有价证券, 药品及各类化学制品，不雅物品，宗教及政治宣传品；
2.隐私类用品：录音笔,GPS定位器,无人机等；
3.配套电池：包括独立锂电池、纽扣锂电池、充电宝；
4.高价值货品：例如 手机,笔记本电脑,平板电脑,照相机；
5.假发
提示：
1. 如果发现实际发运货物包含上述品类，需发件人支付额外附加费，具体以尾程产生费用为准。
2. 正常签收的包裹若存在异常，需在签收后10个自然日内反馈情况，逾期则视为自动放弃。</t>
  </si>
  <si>
    <t>禁运品主要类别：
1.仿牌，纯电，烟草（含电子烟） 刀具,打火机,液体,粉末,膏状体,食品,医疗器械,毒品, 军火（如武器、枪支、弹药等）动物、植物以及植物种子,艺术品,有价证券,药品及各类化学制品，象牙制品,不雅物品,宗教及政治宣传品；
2.隐私类用品：录音笔、GPS定位器、记忆卡、无人机等；
3.配套电池：包括独立锂电池、纽扣锂电池、充电宝；
4.高价值货品：例如 手机,笔记本电脑,平板电脑,照相机；
5.假发
提示：
1. 如果发现实际发运货物包含上述品类，需发件人支付额外附加费，具体以尾程产生费用为准。
2. 正常签收的包裹若存在异常，需在签收后10个自然日内反馈情况，逾期则视为自动放弃。</t>
  </si>
  <si>
    <t xml:space="preserve">制单填写要求
1. 收件人地址：不能全是数字;不能只有一个单词
2. 收件人电话：9 位数字，9位数字不包含区号 27,027,0027,0等前缀，正确格式如：760496720或27760496720； 076892421和27 076892421则格式错误
3. 英文品名：不能包含中文;不能为纯数字;不能只填写单词“Other
4. 申报价值：单品申报价值不低于0.05美元
5. 接南非海关通知，要求发往南非的货物在清关环节须提供收件人ID（可理解为南非身份证号码或护照号码），南非身份证ID是13位纯数字，护照ID是7-12位纯数字/纯字母/数字和字母组合；以便于货物顺利清关；自2022.6.16起制单的订单将要求收件人ID必填，若未填写或填写错误，将不能成功制单；
温馨提示：
南非收件人ID为13位纯数字，格式为:YYMMDDSSSSCAZ。
YYMMDD：前六位数字表示出生日期，如1992年06月14日显示为920614。
SSSS：第七位到第十位用表示性别，（其中女性的分配号码是从 0000 到 4999，男性的分配号码是从 5000 到 9999）。
C：第十一位表示否是南非公民，0表示出生在南非，1表示是永久居民。
A：第十二位被用来表示一个人的种族。
Z：最后一位是一个‘校验和’数字，用来检查数字序列是否准确。
禁运品主要类别：
仿牌, 纯电, 烟草（包括电子烟） 刀具 ,打火机, 液体, 粉末 ,香精, 香料, 膏状体, 食品, 医疗器械 ,药品 ,毒品, 军火 ,植物, 动物以及植物种子 ,茶, 焚香器, 香, 木质材料（商品含有木头的） 营养补品, 钱币, 纪念币, 美甲工具 ,药品
（1）液体类---例：护肤品，香水，香油，精油, 洗涤剂, 洗发剂, 除臭剂, 沐浴露, 护发素,牙齿美白剂, 擦亮剂, 胶水 ,粘合剂
（2）膏状类---例：牙膏,蜡烛, 肥皂
提示：以上品类属于南非海关必查货物，发现实际包裹为以上品类的，需要多缴纳150兰特/票的查验费用，此费用由发件人承担。
</t>
  </si>
  <si>
    <t xml:space="preserve">    每公斤申报价值≤40美金 免征关税
    请如实填写申报价值，以免影响清关。疑似低报被扣关的包裹，需收件人配合提供海关所需资料清关，确认低报货物会造成额外的杂费及税费，费用由发件人承担：①选择继续清关需缴纳罚金500-1000兰特，若申报价值超出40USD/kg，除罚金外还需按照实际交易价值补缴税费；②如在海关销毁会产生销毁费用，销毁费1500兰特/件。</t>
  </si>
  <si>
    <t>无法派送Po.Box ；farm  ；plot；plaas；posbus；private bag；private sak 地址</t>
  </si>
  <si>
    <t xml:space="preserve">无退回中国服务，可提供重派服务，重派费向收件人收取，具体费用可咨询当地派送商，南非客服电话：+27105934710/+270870953451 </t>
  </si>
  <si>
    <r>
      <rPr>
        <b/>
        <sz val="11"/>
        <color rgb="FFFFFFFF"/>
        <rFont val="微软雅黑"/>
        <charset val="134"/>
      </rPr>
      <t>包裹处理费</t>
    </r>
    <r>
      <rPr>
        <b/>
        <sz val="11"/>
        <color rgb="FFFFFFFF"/>
        <rFont val="微软雅黑"/>
        <charset val="134"/>
      </rPr>
      <t xml:space="preserve">
</t>
    </r>
    <r>
      <rPr>
        <b/>
        <sz val="11"/>
        <color rgb="FFFFFFFF"/>
        <rFont val="微软雅黑"/>
        <charset val="134"/>
      </rPr>
      <t>（RMB/票）</t>
    </r>
  </si>
  <si>
    <r>
      <rPr>
        <b/>
        <sz val="11"/>
        <color rgb="FFFFFFFF"/>
        <rFont val="微软雅黑"/>
        <charset val="134"/>
      </rPr>
      <t>包裹运费</t>
    </r>
    <r>
      <rPr>
        <b/>
        <sz val="11"/>
        <color rgb="FFFFFFFF"/>
        <rFont val="微软雅黑"/>
        <charset val="134"/>
      </rPr>
      <t xml:space="preserve">
</t>
    </r>
    <r>
      <rPr>
        <b/>
        <sz val="11"/>
        <color rgb="FFFFFFFF"/>
        <rFont val="微软雅黑"/>
        <charset val="134"/>
      </rPr>
      <t>（RMB/KG）</t>
    </r>
  </si>
  <si>
    <r>
      <rPr>
        <b/>
        <sz val="11"/>
        <color rgb="FFFFFFFF"/>
        <rFont val="微软雅黑"/>
        <charset val="134"/>
      </rPr>
      <t>重量段</t>
    </r>
    <r>
      <rPr>
        <b/>
        <sz val="11"/>
        <color rgb="FFFFFFFF"/>
        <rFont val="微软雅黑"/>
        <charset val="134"/>
      </rPr>
      <t xml:space="preserve">
</t>
    </r>
    <r>
      <rPr>
        <b/>
        <sz val="11"/>
        <color rgb="FFFFFFFF"/>
        <rFont val="微软雅黑"/>
        <charset val="134"/>
      </rPr>
      <t>（KG）</t>
    </r>
  </si>
  <si>
    <r>
      <rPr>
        <b/>
        <sz val="11"/>
        <color rgb="FFFFFFFF"/>
        <rFont val="微软雅黑"/>
        <charset val="134"/>
      </rPr>
      <t>参考时效</t>
    </r>
    <r>
      <rPr>
        <b/>
        <sz val="11"/>
        <color rgb="FFFFFFFF"/>
        <rFont val="微软雅黑"/>
        <charset val="134"/>
      </rPr>
      <t xml:space="preserve">
</t>
    </r>
    <r>
      <rPr>
        <b/>
        <sz val="11"/>
        <color rgb="FFFFFFFF"/>
        <rFont val="微软雅黑"/>
        <charset val="134"/>
      </rPr>
      <t>（工作日）</t>
    </r>
  </si>
  <si>
    <r>
      <rPr>
        <b/>
        <sz val="11"/>
        <color rgb="FFFFFFFF"/>
        <rFont val="微软雅黑"/>
        <charset val="134"/>
      </rPr>
      <t>旺季参考时效</t>
    </r>
    <r>
      <rPr>
        <b/>
        <sz val="11"/>
        <color rgb="FFFFFFFF"/>
        <rFont val="微软雅黑"/>
        <charset val="134"/>
      </rPr>
      <t xml:space="preserve">
</t>
    </r>
    <r>
      <rPr>
        <b/>
        <sz val="11"/>
        <color rgb="FFFFFFFF"/>
        <rFont val="微软雅黑"/>
        <charset val="134"/>
      </rPr>
      <t>（工作日）</t>
    </r>
  </si>
  <si>
    <r>
      <rPr>
        <b/>
        <sz val="11"/>
        <color rgb="FFFFFFFF"/>
        <rFont val="微软雅黑"/>
        <charset val="134"/>
      </rPr>
      <t>尺寸限制</t>
    </r>
    <r>
      <rPr>
        <b/>
        <sz val="11"/>
        <color rgb="FFFFFFFF"/>
        <rFont val="微软雅黑"/>
        <charset val="134"/>
      </rPr>
      <t xml:space="preserve">
</t>
    </r>
    <r>
      <rPr>
        <b/>
        <sz val="11"/>
        <color rgb="FFFFFFFF"/>
        <rFont val="微软雅黑"/>
        <charset val="134"/>
      </rPr>
      <t>（CM）</t>
    </r>
  </si>
  <si>
    <t>渠道状态</t>
  </si>
  <si>
    <t>14-20</t>
  </si>
  <si>
    <r>
      <rPr>
        <sz val="10"/>
        <color rgb="FF000000"/>
        <rFont val="微软雅黑"/>
        <charset val="134"/>
      </rPr>
      <t>15＜L≤55，10≤W≤40,</t>
    </r>
    <r>
      <rPr>
        <sz val="10"/>
        <color rgb="FF000000"/>
        <rFont val="微软雅黑"/>
        <charset val="134"/>
      </rPr>
      <t xml:space="preserve">  </t>
    </r>
    <r>
      <rPr>
        <sz val="10"/>
        <color rgb="FF000000"/>
        <rFont val="微软雅黑"/>
        <charset val="134"/>
      </rPr>
      <t>H≤25</t>
    </r>
  </si>
  <si>
    <r>
      <rPr>
        <sz val="10"/>
        <color rgb="FF000000"/>
        <rFont val="微软雅黑"/>
        <charset val="134"/>
      </rPr>
      <t>1）起步50g,</t>
    </r>
    <r>
      <rPr>
        <sz val="10"/>
        <color rgb="FF000000"/>
        <rFont val="微软雅黑"/>
        <charset val="134"/>
      </rPr>
      <t xml:space="preserve">
</t>
    </r>
    <r>
      <rPr>
        <sz val="10"/>
        <color rgb="FF000000"/>
        <rFont val="微软雅黑"/>
        <charset val="134"/>
      </rPr>
      <t>2）圆柱体、不规则件，需加收34元/票附加费</t>
    </r>
    <r>
      <rPr>
        <sz val="10"/>
        <color rgb="FF000000"/>
        <rFont val="微软雅黑"/>
        <charset val="134"/>
      </rPr>
      <t xml:space="preserve">
</t>
    </r>
    <r>
      <rPr>
        <sz val="10"/>
        <color rgb="FF000000"/>
        <rFont val="微软雅黑"/>
        <charset val="134"/>
      </rPr>
      <t>3）L≤66且L+2（W+H）≤213cm的超尺寸包裹，需加收34元/票附加费</t>
    </r>
    <r>
      <rPr>
        <sz val="10"/>
        <color rgb="FF000000"/>
        <rFont val="微软雅黑"/>
        <charset val="134"/>
      </rPr>
      <t xml:space="preserve">
</t>
    </r>
    <r>
      <rPr>
        <sz val="10"/>
        <color rgb="FF000000"/>
        <rFont val="微软雅黑"/>
        <charset val="134"/>
      </rPr>
      <t>4）L＞66cm或L+2（W+H）&gt;213cm不可发</t>
    </r>
  </si>
  <si>
    <t>正常</t>
  </si>
  <si>
    <t>1.815-10</t>
  </si>
  <si>
    <r>
      <rPr>
        <sz val="10"/>
        <color rgb="FF000000"/>
        <rFont val="微软雅黑"/>
        <charset val="134"/>
      </rPr>
      <t>①50G起步</t>
    </r>
    <r>
      <rPr>
        <sz val="10"/>
        <color rgb="FF000000"/>
        <rFont val="微软雅黑"/>
        <charset val="134"/>
      </rPr>
      <t xml:space="preserve">
</t>
    </r>
    <r>
      <rPr>
        <sz val="10"/>
        <color rgb="FF000000"/>
        <rFont val="微软雅黑"/>
        <charset val="134"/>
      </rPr>
      <t>②禁发异形件</t>
    </r>
    <r>
      <rPr>
        <sz val="10"/>
        <color rgb="FF000000"/>
        <rFont val="微软雅黑"/>
        <charset val="134"/>
      </rPr>
      <t xml:space="preserve">
</t>
    </r>
    <r>
      <rPr>
        <sz val="10"/>
        <color rgb="FF000000"/>
        <rFont val="微软雅黑"/>
        <charset val="134"/>
      </rPr>
      <t>③禁发液体</t>
    </r>
  </si>
  <si>
    <t>0.201-0.6</t>
  </si>
  <si>
    <t>0.601-10</t>
  </si>
  <si>
    <t>12-16</t>
  </si>
  <si>
    <r>
      <rPr>
        <sz val="10"/>
        <color rgb="FF000000"/>
        <rFont val="微软雅黑"/>
        <charset val="134"/>
      </rPr>
      <t>15≤L≤60,10≤W≤40</t>
    </r>
    <r>
      <rPr>
        <sz val="10"/>
        <color rgb="FF000000"/>
        <rFont val="微软雅黑"/>
        <charset val="134"/>
      </rPr>
      <t xml:space="preserve">
</t>
    </r>
    <r>
      <rPr>
        <sz val="10"/>
        <color rgb="FF000000"/>
        <rFont val="微软雅黑"/>
        <charset val="134"/>
      </rPr>
      <t>H≤40</t>
    </r>
  </si>
  <si>
    <r>
      <rPr>
        <sz val="10"/>
        <color rgb="FF000000"/>
        <rFont val="微软雅黑"/>
        <charset val="134"/>
      </rPr>
      <t>（1）2区禁用,若单独申请开通发货需加收17元/票;</t>
    </r>
    <r>
      <rPr>
        <sz val="10"/>
        <color rgb="FF000000"/>
        <rFont val="微软雅黑"/>
        <charset val="134"/>
      </rPr>
      <t xml:space="preserve">
</t>
    </r>
    <r>
      <rPr>
        <sz val="10"/>
        <color rgb="FF000000"/>
        <rFont val="微软雅黑"/>
        <charset val="134"/>
      </rPr>
      <t>2区邮编:IV、HS、KA27-28、KW、PA20-49、PA60-78、PH17-26、PH30-44、 PH49-50、ZE、GY、IM</t>
    </r>
    <r>
      <rPr>
        <sz val="10"/>
        <color rgb="FF000000"/>
        <rFont val="微软雅黑"/>
        <charset val="134"/>
      </rPr>
      <t xml:space="preserve">
</t>
    </r>
    <r>
      <rPr>
        <sz val="10"/>
        <color rgb="FF000000"/>
        <rFont val="微软雅黑"/>
        <charset val="134"/>
      </rPr>
      <t>（2）3区禁用,若单独申请开通发货需加收9元/票；</t>
    </r>
    <r>
      <rPr>
        <sz val="10"/>
        <color rgb="FF000000"/>
        <rFont val="微软雅黑"/>
        <charset val="134"/>
      </rPr>
      <t xml:space="preserve">
</t>
    </r>
    <r>
      <rPr>
        <sz val="10"/>
        <color rgb="FF000000"/>
        <rFont val="微软雅黑"/>
        <charset val="134"/>
      </rPr>
      <t>3区邮编:BT，TR21-25</t>
    </r>
    <r>
      <rPr>
        <sz val="10"/>
        <color rgb="FF000000"/>
        <rFont val="微软雅黑"/>
        <charset val="134"/>
      </rPr>
      <t xml:space="preserve">
</t>
    </r>
    <r>
      <rPr>
        <sz val="10"/>
        <color rgb="FF000000"/>
        <rFont val="微软雅黑"/>
        <charset val="134"/>
      </rPr>
      <t>若有需求开通偏远邮编发货,请联系销售经理</t>
    </r>
  </si>
  <si>
    <t>0.301-5</t>
  </si>
  <si>
    <t>5-10</t>
  </si>
  <si>
    <t>11-16</t>
  </si>
  <si>
    <t>禁止发圆柱体，异形件加收48元/票</t>
  </si>
  <si>
    <t>0.301-3</t>
  </si>
  <si>
    <t>3.001-5</t>
  </si>
  <si>
    <t>11-18</t>
  </si>
  <si>
    <t>15＜L≤60，L+W+H≤130</t>
  </si>
  <si>
    <t>6-12</t>
  </si>
  <si>
    <t>禁发液体粉末膏体、化妆品类的产品，只可以发电货产品</t>
  </si>
  <si>
    <t>L＞60收超长费145元，限长80cm</t>
  </si>
  <si>
    <t>4-12</t>
  </si>
  <si>
    <t>15≤L≤60,10≤W≤50，H≤40</t>
  </si>
  <si>
    <t>0.501-5</t>
  </si>
  <si>
    <r>
      <rPr>
        <sz val="10"/>
        <color rgb="FF000000"/>
        <rFont val="微软雅黑"/>
        <charset val="134"/>
      </rPr>
      <t>1) 圆柱体、不规则件，且尺寸小于50cm*20cm(直径*高)，需加收55元/票附加费</t>
    </r>
    <r>
      <rPr>
        <sz val="10"/>
        <color rgb="FF000000"/>
        <rFont val="微软雅黑"/>
        <charset val="134"/>
      </rPr>
      <t xml:space="preserve">
</t>
    </r>
    <r>
      <rPr>
        <sz val="10"/>
        <color rgb="FF000000"/>
        <rFont val="微软雅黑"/>
        <charset val="134"/>
      </rPr>
      <t>2) L≤105cm且H≤55cm的超尺寸包裹，附加费55元/票</t>
    </r>
    <r>
      <rPr>
        <sz val="10"/>
        <color rgb="FF000000"/>
        <rFont val="微软雅黑"/>
        <charset val="134"/>
      </rPr>
      <t xml:space="preserve">
</t>
    </r>
    <r>
      <rPr>
        <sz val="10"/>
        <color rgb="FF000000"/>
        <rFont val="微软雅黑"/>
        <charset val="134"/>
      </rPr>
      <t>3) L&gt;105cm或H&gt;55cm不可发</t>
    </r>
  </si>
  <si>
    <t>0.201-5</t>
  </si>
  <si>
    <r>
      <rPr>
        <sz val="10"/>
        <color rgb="FF000000"/>
        <rFont val="微软雅黑"/>
        <charset val="134"/>
      </rPr>
      <t>15≤L≤80,10≤W≤75</t>
    </r>
    <r>
      <rPr>
        <sz val="10"/>
        <color rgb="FF000000"/>
        <rFont val="微软雅黑"/>
        <charset val="134"/>
      </rPr>
      <t xml:space="preserve">
</t>
    </r>
    <r>
      <rPr>
        <sz val="10"/>
        <color rgb="FF000000"/>
        <rFont val="微软雅黑"/>
        <charset val="134"/>
      </rPr>
      <t>L+W+H≤150</t>
    </r>
  </si>
  <si>
    <r>
      <rPr>
        <sz val="10"/>
        <color rgb="FF000000"/>
        <rFont val="微软雅黑"/>
        <charset val="134"/>
      </rPr>
      <t>①50G起步</t>
    </r>
    <r>
      <rPr>
        <sz val="10"/>
        <color rgb="FF000000"/>
        <rFont val="微软雅黑"/>
        <charset val="134"/>
      </rPr>
      <t xml:space="preserve">
</t>
    </r>
    <r>
      <rPr>
        <sz val="10"/>
        <color rgb="FF000000"/>
        <rFont val="微软雅黑"/>
        <charset val="134"/>
      </rPr>
      <t>②禁发圆柱体，木制品，包括狗项圈在内的动物背带牵引绳，轮胎</t>
    </r>
    <r>
      <rPr>
        <sz val="10"/>
        <color rgb="FF000000"/>
        <rFont val="微软雅黑"/>
        <charset val="134"/>
      </rPr>
      <t xml:space="preserve">
</t>
    </r>
    <r>
      <rPr>
        <sz val="10"/>
        <color rgb="FF000000"/>
        <rFont val="微软雅黑"/>
        <charset val="134"/>
      </rPr>
      <t>③禁发液体粉末膏体、化妆品类的产品，只可以发电货产品</t>
    </r>
  </si>
  <si>
    <t>恢复收寄</t>
  </si>
  <si>
    <t>15≤L＜45,L+W+H＜90</t>
  </si>
  <si>
    <t>禁发三角形、圆柱形、圆锥和球形包裹以及无法用机器扫描的包裹</t>
  </si>
  <si>
    <t>注意：疫情期间时效变动较大，详情请咨询业务代表或客服人员。</t>
  </si>
  <si>
    <t/>
  </si>
  <si>
    <r>
      <rPr>
        <sz val="10"/>
        <color rgb="FF1878D8"/>
        <rFont val="微软雅黑"/>
        <charset val="134"/>
      </rPr>
      <t>重要提示：</t>
    </r>
    <r>
      <rPr>
        <sz val="10"/>
        <color rgb="FF1878D8"/>
        <rFont val="微软雅黑"/>
        <charset val="134"/>
      </rPr>
      <t xml:space="preserve">
</t>
    </r>
    <r>
      <rPr>
        <sz val="10"/>
        <color rgb="FF1878D8"/>
        <rFont val="微软雅黑"/>
        <charset val="134"/>
      </rPr>
      <t>随着步入旺季，为了尽量保证货物正常转运，请您避免出现以下几种因货物无法上分拣设备需人工操作导致转运延迟的情况：</t>
    </r>
    <r>
      <rPr>
        <sz val="10"/>
        <color rgb="FF1878D8"/>
        <rFont val="微软雅黑"/>
        <charset val="134"/>
      </rPr>
      <t xml:space="preserve">
</t>
    </r>
    <r>
      <rPr>
        <sz val="10"/>
        <color rgb="FF1878D8"/>
        <rFont val="微软雅黑"/>
        <charset val="134"/>
      </rPr>
      <t>1、超大规格或小于10x15CM尺寸的货物；</t>
    </r>
    <r>
      <rPr>
        <sz val="10"/>
        <color rgb="FF1878D8"/>
        <rFont val="微软雅黑"/>
        <charset val="134"/>
      </rPr>
      <t xml:space="preserve">
</t>
    </r>
    <r>
      <rPr>
        <sz val="10"/>
        <color rgb="FF1878D8"/>
        <rFont val="微软雅黑"/>
        <charset val="134"/>
      </rPr>
      <t>2、不规则货物（例如：球形、三角形、圆柱形等）；</t>
    </r>
    <r>
      <rPr>
        <sz val="10"/>
        <color rgb="FF1878D8"/>
        <rFont val="微软雅黑"/>
        <charset val="134"/>
      </rPr>
      <t xml:space="preserve">
</t>
    </r>
    <r>
      <rPr>
        <sz val="10"/>
        <color rgb="FF1878D8"/>
        <rFont val="微软雅黑"/>
        <charset val="134"/>
      </rPr>
      <t>3、面单不合规或模糊褶皱；</t>
    </r>
    <r>
      <rPr>
        <sz val="10"/>
        <color rgb="FF1878D8"/>
        <rFont val="微软雅黑"/>
        <charset val="134"/>
      </rPr>
      <t xml:space="preserve">
</t>
    </r>
    <r>
      <rPr>
        <sz val="10"/>
        <color rgb="FF1878D8"/>
        <rFont val="微软雅黑"/>
        <charset val="134"/>
      </rPr>
      <t>4、账户欠费。</t>
    </r>
    <r>
      <rPr>
        <sz val="10"/>
        <color rgb="FF1878D8"/>
        <rFont val="微软雅黑"/>
        <charset val="134"/>
      </rPr>
      <t xml:space="preserve">
</t>
    </r>
    <r>
      <rPr>
        <sz val="10"/>
        <color rgb="FF1878D8"/>
        <rFont val="微软雅黑"/>
        <charset val="134"/>
      </rPr>
      <t>5、所有国家不接受亚马逊仓库地址及其他海外仓库地址。</t>
    </r>
    <r>
      <rPr>
        <sz val="10"/>
        <color rgb="FF1878D8"/>
        <rFont val="微软雅黑"/>
        <charset val="134"/>
      </rPr>
      <t xml:space="preserve">
</t>
    </r>
  </si>
  <si>
    <t>一、特货电货承接范围</t>
  </si>
  <si>
    <t>1、发货须知：</t>
  </si>
  <si>
    <t>特货电货承接范围!</t>
  </si>
  <si>
    <t>二、计泡说明</t>
  </si>
  <si>
    <t>1、计泡标准：货物单边&gt;5CM且L+W+H＞50CM需计泡</t>
  </si>
  <si>
    <t>2、计泡系数</t>
  </si>
  <si>
    <t>三、在线追踪</t>
  </si>
  <si>
    <t>四、关税相关</t>
  </si>
  <si>
    <r>
      <rPr>
        <sz val="10"/>
        <color rgb="FF000000"/>
        <rFont val="微软雅黑"/>
        <charset val="134"/>
      </rPr>
      <t>3、日本：（1）不接受申报价值超过JPY10000（约等同USD95）的产品，不收所有真皮类包裹，包括但不仅限于，真皮外套，真皮皮鞋、真皮腰带等。如产生税金，由发件人支付，税金实报实销，不收取手续费。</t>
    </r>
    <r>
      <rPr>
        <sz val="10"/>
        <color rgb="FF000000"/>
        <rFont val="微软雅黑"/>
        <charset val="134"/>
      </rPr>
      <t xml:space="preserve">
</t>
    </r>
    <r>
      <rPr>
        <sz val="10"/>
        <color rgb="FF000000"/>
        <rFont val="微软雅黑"/>
        <charset val="134"/>
      </rPr>
      <t xml:space="preserve">              </t>
    </r>
    <r>
      <rPr>
        <sz val="10"/>
        <color rgb="FF000000"/>
        <rFont val="微软雅黑"/>
        <charset val="134"/>
      </rPr>
      <t>（2）不接受公司性质的收件人地址，包裹内商品数量需符合正常个人自用范围，且每批次同一个收件人只能一个包裹，否则因此导致的查验和相关费用等风险由发件方自行承担。</t>
    </r>
  </si>
  <si>
    <t>4、欧盟国家：下单时若未提供IOSS：（1）与CNE签署代缴协议，由CNE进行VAT的预收和代缴，VAT计费规则是每日发给同一收件人包裹的合计申报价值≤150EUR 时，按照订单申报价值的20%收取；（2）下单时已提供IOSS，申报价值≤150EUR 时，CNE将不再征收VAT；（3）包裹申报价值＞EUR150 时，有无IOSS都要要征收VAT，另还会产生关税，产生关税以及产生的关税额度视所寄物品与当地海关的政策法规而定，CNE将会在海关账单下来的当月补扣该费用。</t>
  </si>
  <si>
    <t>5、英国：自2021年1月1日起，所有发往英国的货物取消15GBP以下免征VAT的豁免政策，至此之后申报价值≤135 英镑的 B2C 进口货物需交纳VAT，申报价值＞135 英镑的进口货物需交纳VAT和关税（Duty）。</t>
  </si>
  <si>
    <t>6、加拿大：申报价值超过CAD20（约等同15USD），则会产生关税，我司将依据客户申报价值收取20%关税。</t>
  </si>
  <si>
    <t>7、挪威：不接受申报价值超过NOK3000（约等同EUR280）的产品，客户下单需提供VOEC号码。</t>
  </si>
  <si>
    <t>8、瑞士：不接受申报价值超过CHF62（约等同EUR60）的产品，且不接受同一个收件人名且同一地址，当天累计包裹申报价值超过CHF 62。</t>
  </si>
  <si>
    <t>五、查询标准</t>
  </si>
  <si>
    <t>2、发货起30-60天：只提供查询，若30天内国外确认丢件，则赔偿；没有确认，不赔偿。</t>
  </si>
  <si>
    <t>4、不接受查询：易碎品；送达后破损或者少货；</t>
  </si>
  <si>
    <t>六、赔偿标准</t>
  </si>
  <si>
    <r>
      <rPr>
        <sz val="10"/>
        <color rgb="FF000000"/>
        <rFont val="微软雅黑"/>
        <charset val="134"/>
      </rPr>
      <t>2、未上网赔偿标准：服务商未上网货件，经过调查确认丢件赔偿双倍运费，最高不超200元。 索赔资料：平台退款截图或补发单号。</t>
    </r>
    <r>
      <rPr>
        <sz val="10"/>
        <color rgb="FF000000"/>
        <rFont val="微软雅黑"/>
        <charset val="134"/>
      </rPr>
      <t xml:space="preserve">
</t>
    </r>
    <r>
      <rPr>
        <sz val="10"/>
        <color rgb="FF000000"/>
        <rFont val="微软雅黑"/>
        <charset val="134"/>
      </rPr>
      <t xml:space="preserve">               </t>
    </r>
  </si>
  <si>
    <t>3、已上网赔偿标准：货件在服务商官网上网后提起的调查，经服务商确认的丢件，赔偿申报价值不退运费，最高不超200元。索赔资料：按照渠道服务商索赔所需资料提供，具体以客服通知为准。（加拿大、挪威路向包裹国外上网后不提供索赔服务）。</t>
  </si>
  <si>
    <t>七、走货属性</t>
  </si>
  <si>
    <t>1、可接受带电货物,包括内置电池，配套电池；不接受纯电。</t>
  </si>
  <si>
    <t>2、禁发任何带品牌产品；</t>
  </si>
  <si>
    <t>八、退到国外仓库（比利时、荷兰、立陶宛、斯洛伐克、波兰、斯洛文尼亚、爱沙尼亚、芬兰、希腊、捷克、保加利亚、罗马尼亚、瑞典、爱尔兰、奥地利、瑞士、加拿大除外）</t>
  </si>
  <si>
    <t>1、提供退到国外仓库服务，但是不能保证每票退件都能退到，无索赔。</t>
  </si>
  <si>
    <t>3、退件重派有费用，重派原国家收取原运费，详情请咨询客服人员。（日本只重派原地址）</t>
  </si>
  <si>
    <t>15≤L≤55，10≤W≤45，L+W+H≤115cm</t>
  </si>
  <si>
    <r>
      <rPr>
        <sz val="10"/>
        <color rgb="FF000000"/>
        <rFont val="微软雅黑"/>
        <charset val="134"/>
      </rPr>
      <t>①起步50g,</t>
    </r>
    <r>
      <rPr>
        <sz val="10"/>
        <color rgb="FF000000"/>
        <rFont val="微软雅黑"/>
        <charset val="134"/>
      </rPr>
      <t xml:space="preserve">
</t>
    </r>
    <r>
      <rPr>
        <sz val="10"/>
        <color rgb="FF000000"/>
        <rFont val="微软雅黑"/>
        <charset val="134"/>
      </rPr>
      <t>②圆柱体、不规则件、需加收28元/票附加费</t>
    </r>
    <r>
      <rPr>
        <sz val="10"/>
        <color rgb="FF000000"/>
        <rFont val="微软雅黑"/>
        <charset val="134"/>
      </rPr>
      <t xml:space="preserve">
</t>
    </r>
    <r>
      <rPr>
        <sz val="10"/>
        <color rgb="FF000000"/>
        <rFont val="微软雅黑"/>
        <charset val="134"/>
      </rPr>
      <t>③L&lt;76cm且L+W+H≤115cm的超尺寸包裹， 附加费28元/票</t>
    </r>
    <r>
      <rPr>
        <sz val="10"/>
        <color rgb="FF000000"/>
        <rFont val="微软雅黑"/>
        <charset val="134"/>
      </rPr>
      <t xml:space="preserve">
</t>
    </r>
    <r>
      <rPr>
        <sz val="10"/>
        <color rgb="FF000000"/>
        <rFont val="微软雅黑"/>
        <charset val="134"/>
      </rPr>
      <t>④L≥ 76 CM或L+W+H&gt; 115cm不可发</t>
    </r>
  </si>
  <si>
    <t>1-0.2</t>
  </si>
  <si>
    <t>0.201-0.3</t>
  </si>
  <si>
    <t>1-0.3</t>
  </si>
  <si>
    <t>0.454-0.8</t>
  </si>
  <si>
    <t>4-0.8</t>
  </si>
  <si>
    <t>0.801-10</t>
  </si>
  <si>
    <t>3-5</t>
  </si>
  <si>
    <t>4-6</t>
  </si>
  <si>
    <r>
      <rPr>
        <sz val="10"/>
        <color rgb="FF000000"/>
        <rFont val="微软雅黑"/>
        <charset val="134"/>
      </rPr>
      <t>15≤L≤50</t>
    </r>
    <r>
      <rPr>
        <sz val="10"/>
        <color rgb="FF000000"/>
        <rFont val="微软雅黑"/>
        <charset val="134"/>
      </rPr>
      <t xml:space="preserve">
</t>
    </r>
    <r>
      <rPr>
        <sz val="10"/>
        <color rgb="FF000000"/>
        <rFont val="微软雅黑"/>
        <charset val="134"/>
      </rPr>
      <t>L+W≤80</t>
    </r>
  </si>
  <si>
    <r>
      <rPr>
        <sz val="10"/>
        <color rgb="FF000000"/>
        <rFont val="微软雅黑"/>
        <charset val="134"/>
      </rPr>
      <t>①不规则加收45元/票，</t>
    </r>
    <r>
      <rPr>
        <sz val="10"/>
        <color rgb="FF000000"/>
        <rFont val="微软雅黑"/>
        <charset val="134"/>
      </rPr>
      <t xml:space="preserve">                                                                                     </t>
    </r>
    <r>
      <rPr>
        <sz val="10"/>
        <color rgb="FF000000"/>
        <rFont val="微软雅黑"/>
        <charset val="134"/>
      </rPr>
      <t xml:space="preserve">
</t>
    </r>
    <r>
      <rPr>
        <sz val="10"/>
        <color rgb="FF000000"/>
        <rFont val="微软雅黑"/>
        <charset val="134"/>
      </rPr>
      <t>②（1）2区禁用,若单独申请开通发货需加收17元/票;</t>
    </r>
    <r>
      <rPr>
        <sz val="10"/>
        <color rgb="FF000000"/>
        <rFont val="微软雅黑"/>
        <charset val="134"/>
      </rPr>
      <t xml:space="preserve">
</t>
    </r>
    <r>
      <rPr>
        <sz val="10"/>
        <color rgb="FF000000"/>
        <rFont val="微软雅黑"/>
        <charset val="134"/>
      </rPr>
      <t>2区邮编:IV、HS、KA27-28、KW、PA20-49、PA60-78、PH17-26、PH30-44、 PH49-50、ZE、GY、IM</t>
    </r>
    <r>
      <rPr>
        <sz val="10"/>
        <color rgb="FF000000"/>
        <rFont val="微软雅黑"/>
        <charset val="134"/>
      </rPr>
      <t xml:space="preserve">
</t>
    </r>
    <r>
      <rPr>
        <sz val="10"/>
        <color rgb="FF000000"/>
        <rFont val="微软雅黑"/>
        <charset val="134"/>
      </rPr>
      <t>（2）3区禁用,若单独申请开通发货需加收9元/票；</t>
    </r>
    <r>
      <rPr>
        <sz val="10"/>
        <color rgb="FF000000"/>
        <rFont val="微软雅黑"/>
        <charset val="134"/>
      </rPr>
      <t xml:space="preserve">
</t>
    </r>
    <r>
      <rPr>
        <sz val="10"/>
        <color rgb="FF000000"/>
        <rFont val="微软雅黑"/>
        <charset val="134"/>
      </rPr>
      <t>3区邮编:BT，TR21-25</t>
    </r>
    <r>
      <rPr>
        <sz val="10"/>
        <color rgb="FF000000"/>
        <rFont val="微软雅黑"/>
        <charset val="134"/>
      </rPr>
      <t xml:space="preserve">
</t>
    </r>
    <r>
      <rPr>
        <sz val="10"/>
        <color rgb="FF000000"/>
        <rFont val="微软雅黑"/>
        <charset val="134"/>
      </rPr>
      <t>若有需求开通偏远邮编发货,请联系销售经理</t>
    </r>
  </si>
  <si>
    <t>201-3</t>
  </si>
  <si>
    <r>
      <rPr>
        <sz val="10"/>
        <color rgb="FF000000"/>
        <rFont val="微软雅黑"/>
        <charset val="134"/>
      </rPr>
      <t>15≤L≤60,10≤W≤60</t>
    </r>
    <r>
      <rPr>
        <sz val="10"/>
        <color rgb="FF000000"/>
        <rFont val="微软雅黑"/>
        <charset val="134"/>
      </rPr>
      <t xml:space="preserve">
</t>
    </r>
    <r>
      <rPr>
        <sz val="10"/>
        <color rgb="FF000000"/>
        <rFont val="微软雅黑"/>
        <charset val="134"/>
      </rPr>
      <t>L+W+H≤90</t>
    </r>
  </si>
  <si>
    <t>0.251-0.75</t>
  </si>
  <si>
    <t>0.751-5</t>
  </si>
  <si>
    <t>751-5</t>
  </si>
  <si>
    <t>5-7</t>
  </si>
  <si>
    <t>1-0.5</t>
  </si>
  <si>
    <t>501-5</t>
  </si>
  <si>
    <r>
      <rPr>
        <sz val="10"/>
        <color rgb="FF1878D8"/>
        <rFont val="微软雅黑"/>
        <charset val="134"/>
      </rPr>
      <t>重要提示：</t>
    </r>
    <r>
      <rPr>
        <sz val="10"/>
        <color rgb="FF1878D8"/>
        <rFont val="微软雅黑"/>
        <charset val="134"/>
      </rPr>
      <t xml:space="preserve">
</t>
    </r>
    <r>
      <rPr>
        <sz val="10"/>
        <color rgb="FF1878D8"/>
        <rFont val="微软雅黑"/>
        <charset val="134"/>
      </rPr>
      <t>随着步入旺季，为了尽量保证货物正常转运，请您避免出现以下几种因货物无法上分拣设备需人工操作导致转运延迟的情况：</t>
    </r>
    <r>
      <rPr>
        <sz val="10"/>
        <color rgb="FF1878D8"/>
        <rFont val="微软雅黑"/>
        <charset val="134"/>
      </rPr>
      <t xml:space="preserve">
</t>
    </r>
    <r>
      <rPr>
        <sz val="10"/>
        <color rgb="FF1878D8"/>
        <rFont val="微软雅黑"/>
        <charset val="134"/>
      </rPr>
      <t>1、超大规格或小于10x15CM尺寸的货物；</t>
    </r>
    <r>
      <rPr>
        <sz val="10"/>
        <color rgb="FF1878D8"/>
        <rFont val="微软雅黑"/>
        <charset val="134"/>
      </rPr>
      <t xml:space="preserve">
</t>
    </r>
    <r>
      <rPr>
        <sz val="10"/>
        <color rgb="FF1878D8"/>
        <rFont val="微软雅黑"/>
        <charset val="134"/>
      </rPr>
      <t>2、不规则货物（例如：球形、三角形、圆柱形等）；</t>
    </r>
    <r>
      <rPr>
        <sz val="10"/>
        <color rgb="FF1878D8"/>
        <rFont val="微软雅黑"/>
        <charset val="134"/>
      </rPr>
      <t xml:space="preserve">
</t>
    </r>
    <r>
      <rPr>
        <sz val="10"/>
        <color rgb="FF1878D8"/>
        <rFont val="微软雅黑"/>
        <charset val="134"/>
      </rPr>
      <t>3、面单不合规或模糊褶皱；</t>
    </r>
    <r>
      <rPr>
        <sz val="10"/>
        <color rgb="FF1878D8"/>
        <rFont val="微软雅黑"/>
        <charset val="134"/>
      </rPr>
      <t xml:space="preserve">
</t>
    </r>
    <r>
      <rPr>
        <sz val="10"/>
        <color rgb="FF1878D8"/>
        <rFont val="微软雅黑"/>
        <charset val="134"/>
      </rPr>
      <t>4、账户欠费。</t>
    </r>
    <r>
      <rPr>
        <sz val="10"/>
        <color rgb="FF1878D8"/>
        <rFont val="微软雅黑"/>
        <charset val="134"/>
      </rPr>
      <t xml:space="preserve">
</t>
    </r>
    <r>
      <rPr>
        <sz val="10"/>
        <color rgb="FF1878D8"/>
        <rFont val="微软雅黑"/>
        <charset val="134"/>
      </rPr>
      <t>5、所有国家不接受亚马逊仓库地址及其他海外仓库地址。</t>
    </r>
  </si>
  <si>
    <t>3、英国：自2021年1月1日起，所有发往英国的货物取消GBP15以下免征VAT的豁免政策，至此之后申报价值≤GBP135的 B2C 进口货物需交纳VAT，申报价值＞135 英镑的进口货物需交纳VAT和关税（Duty）。</t>
  </si>
  <si>
    <t>4、美国：不接受申报价值超过USD800的产品，且不接受同一个收件人名且同一地址，当天累计包裹申报价值超过USD800</t>
  </si>
  <si>
    <r>
      <rPr>
        <sz val="10"/>
        <color rgb="FF000000"/>
        <rFont val="微软雅黑"/>
        <charset val="134"/>
      </rPr>
      <t>2、未上网赔偿标准：服务商未上网货件，经过调查确认丢件赔偿双倍运费，最高不超200元。索赔资料：平台退款截图或补发单号。</t>
    </r>
    <r>
      <rPr>
        <sz val="10"/>
        <color rgb="FF000000"/>
        <rFont val="微软雅黑"/>
        <charset val="134"/>
      </rPr>
      <t xml:space="preserve">
</t>
    </r>
    <r>
      <rPr>
        <sz val="10"/>
        <color rgb="FF000000"/>
        <rFont val="微软雅黑"/>
        <charset val="134"/>
      </rPr>
      <t xml:space="preserve">               </t>
    </r>
  </si>
  <si>
    <r>
      <rPr>
        <sz val="10"/>
        <color rgb="FF000000"/>
        <rFont val="微软雅黑"/>
        <charset val="134"/>
      </rPr>
      <t>3、已上网赔偿标准：货件在服务商官网上网后提起的调查，经服务商确认的丢件，赔偿申报价值不退运费，最高不超200元。索赔资料：按照渠道服务商索赔所需资料提供，具体以客服通知为准。</t>
    </r>
    <r>
      <rPr>
        <sz val="10"/>
        <color rgb="FF000000"/>
        <rFont val="微软雅黑"/>
        <charset val="134"/>
      </rPr>
      <t xml:space="preserve">
</t>
    </r>
    <r>
      <rPr>
        <sz val="10"/>
        <color rgb="FF000000"/>
        <rFont val="微软雅黑"/>
        <charset val="134"/>
      </rPr>
      <t xml:space="preserve">               </t>
    </r>
  </si>
  <si>
    <t>六、退到国外仓库（美国除外）</t>
  </si>
  <si>
    <t>智惠选专线-纯电</t>
  </si>
  <si>
    <t>生效日期：2025.02.22 9:00</t>
  </si>
  <si>
    <t>运费RMB/KG</t>
  </si>
  <si>
    <t>挂号费RMB/票</t>
  </si>
  <si>
    <t>0.05≤W≤0.1</t>
  </si>
  <si>
    <r>
      <rPr>
        <sz val="11"/>
        <color rgb="FFFF0000"/>
        <rFont val="微软雅黑"/>
        <charset val="134"/>
      </rPr>
      <t xml:space="preserve">最大尺寸≤50x40x25cm </t>
    </r>
    <r>
      <rPr>
        <sz val="11"/>
        <color rgb="FFFF0000"/>
        <rFont val="微软雅黑"/>
        <charset val="134"/>
      </rPr>
      <t xml:space="preserve">
</t>
    </r>
    <r>
      <rPr>
        <sz val="11"/>
        <color rgb="FFFF0000"/>
        <rFont val="微软雅黑"/>
        <charset val="134"/>
      </rPr>
      <t>长+2(宽+高)≤120cm</t>
    </r>
    <r>
      <rPr>
        <sz val="11"/>
        <color rgb="FFFF0000"/>
        <rFont val="微软雅黑"/>
        <charset val="134"/>
      </rPr>
      <t xml:space="preserve">
</t>
    </r>
    <r>
      <rPr>
        <sz val="11"/>
        <color rgb="FFFF0000"/>
        <rFont val="微软雅黑"/>
        <charset val="134"/>
      </rPr>
      <t>最小尺寸≥15x10x1cm</t>
    </r>
    <r>
      <rPr>
        <sz val="11"/>
        <color rgb="FFFF0000"/>
        <rFont val="微软雅黑"/>
        <charset val="134"/>
      </rPr>
      <t xml:space="preserve">
</t>
    </r>
    <r>
      <rPr>
        <sz val="11"/>
        <color rgb="FFFF0000"/>
        <rFont val="微软雅黑"/>
        <charset val="134"/>
      </rPr>
      <t>超过以上尺寸将收取超长附加费</t>
    </r>
    <r>
      <rPr>
        <sz val="11"/>
        <color rgb="FFFF0000"/>
        <rFont val="微软雅黑"/>
        <charset val="134"/>
      </rPr>
      <t xml:space="preserve">
</t>
    </r>
    <r>
      <rPr>
        <sz val="11"/>
        <color rgb="FFFF0000"/>
        <rFont val="微软雅黑"/>
        <charset val="134"/>
      </rPr>
      <t>超长附加费：加收 150元/票</t>
    </r>
  </si>
  <si>
    <t>7-11</t>
  </si>
  <si>
    <t>0.1&lt;W≤0.2</t>
  </si>
  <si>
    <t>0.2&lt;W≤0.3</t>
  </si>
  <si>
    <t>0.3&lt;W≤0.453</t>
  </si>
  <si>
    <t>0.453&lt;W≤0.7</t>
  </si>
  <si>
    <t>0.7&lt;W≤1</t>
  </si>
  <si>
    <t>0.05≤W≤0.5</t>
  </si>
  <si>
    <r>
      <rPr>
        <sz val="11"/>
        <color rgb="FFAEAAAA"/>
        <rFont val="微软雅黑"/>
        <charset val="134"/>
      </rPr>
      <t>最大尺寸≤45x40x40cm</t>
    </r>
    <r>
      <rPr>
        <sz val="11"/>
        <color rgb="FFAEAAAA"/>
        <rFont val="微软雅黑"/>
        <charset val="134"/>
      </rPr>
      <t xml:space="preserve">
</t>
    </r>
    <r>
      <rPr>
        <sz val="11"/>
        <color rgb="FFAEAAAA"/>
        <rFont val="微软雅黑"/>
        <charset val="134"/>
      </rPr>
      <t>最小尺寸≥15x10x1cm</t>
    </r>
  </si>
  <si>
    <t>0.5&lt;W≤1</t>
  </si>
  <si>
    <t>1&lt;W≤5</t>
  </si>
  <si>
    <t>英国-EVRI偏远邮编</t>
  </si>
  <si>
    <t>0.01&lt;W≤1</t>
  </si>
  <si>
    <t>Specialpak甄选专线</t>
  </si>
  <si>
    <r>
      <rPr>
        <sz val="11"/>
        <color rgb="FF000000"/>
        <rFont val="微软雅黑"/>
        <charset val="134"/>
      </rPr>
      <t xml:space="preserve">最大尺寸≤55x40x25cm </t>
    </r>
    <r>
      <rPr>
        <sz val="11"/>
        <color rgb="FF000000"/>
        <rFont val="微软雅黑"/>
        <charset val="134"/>
      </rPr>
      <t xml:space="preserve">
</t>
    </r>
    <r>
      <rPr>
        <sz val="11"/>
        <color rgb="FF000000"/>
        <rFont val="微软雅黑"/>
        <charset val="134"/>
      </rPr>
      <t>长+宽+高≤90cm</t>
    </r>
    <r>
      <rPr>
        <sz val="11"/>
        <color rgb="FF000000"/>
        <rFont val="微软雅黑"/>
        <charset val="134"/>
      </rPr>
      <t xml:space="preserve">
</t>
    </r>
    <r>
      <rPr>
        <sz val="11"/>
        <color rgb="FF000000"/>
        <rFont val="微软雅黑"/>
        <charset val="134"/>
      </rPr>
      <t>最小尺寸≥15x10x1cm</t>
    </r>
  </si>
  <si>
    <t>0.05≤W≤1</t>
  </si>
  <si>
    <t>8-16</t>
  </si>
  <si>
    <r>
      <rPr>
        <sz val="11"/>
        <color rgb="FF000000"/>
        <rFont val="微软雅黑"/>
        <charset val="134"/>
      </rPr>
      <t>最大尺寸≤45x40x40cm</t>
    </r>
    <r>
      <rPr>
        <sz val="11"/>
        <color rgb="FF000000"/>
        <rFont val="微软雅黑"/>
        <charset val="134"/>
      </rPr>
      <t xml:space="preserve">
</t>
    </r>
    <r>
      <rPr>
        <sz val="11"/>
        <color rgb="FF000000"/>
        <rFont val="微软雅黑"/>
        <charset val="134"/>
      </rPr>
      <t>最小尺寸≥15x10x1cm</t>
    </r>
  </si>
  <si>
    <t>智惠选专线-特货</t>
  </si>
  <si>
    <r>
      <rPr>
        <sz val="11"/>
        <color rgb="FF000000"/>
        <rFont val="微软雅黑"/>
        <charset val="134"/>
      </rPr>
      <t>最大尺寸≤55x45x38cm</t>
    </r>
    <r>
      <rPr>
        <sz val="11"/>
        <color rgb="FF000000"/>
        <rFont val="微软雅黑"/>
        <charset val="134"/>
      </rPr>
      <t xml:space="preserve">  </t>
    </r>
    <r>
      <rPr>
        <sz val="11"/>
        <color rgb="FF000000"/>
        <rFont val="微软雅黑"/>
        <charset val="134"/>
      </rPr>
      <t xml:space="preserve">
</t>
    </r>
    <r>
      <rPr>
        <sz val="11"/>
        <color rgb="FFFF0000"/>
        <rFont val="微软雅黑"/>
        <charset val="134"/>
      </rPr>
      <t>长+2(宽+高)≤127cm</t>
    </r>
    <r>
      <rPr>
        <sz val="11"/>
        <color rgb="FF000000"/>
        <rFont val="微软雅黑"/>
        <charset val="134"/>
      </rPr>
      <t xml:space="preserve">
</t>
    </r>
    <r>
      <rPr>
        <sz val="11"/>
        <color rgb="FF000000"/>
        <rFont val="微软雅黑"/>
        <charset val="134"/>
      </rPr>
      <t>最小尺寸≥15x10x1cm</t>
    </r>
    <r>
      <rPr>
        <sz val="11"/>
        <color rgb="FF000000"/>
        <rFont val="微软雅黑"/>
        <charset val="134"/>
      </rPr>
      <t xml:space="preserve">
</t>
    </r>
    <r>
      <rPr>
        <sz val="11"/>
        <color rgb="FFFF0000"/>
        <rFont val="微软雅黑"/>
        <charset val="134"/>
      </rPr>
      <t>超过以上尺寸将收取超长附加费</t>
    </r>
    <r>
      <rPr>
        <sz val="11"/>
        <color rgb="FFFF0000"/>
        <rFont val="微软雅黑"/>
        <charset val="134"/>
      </rPr>
      <t xml:space="preserve">
</t>
    </r>
    <r>
      <rPr>
        <sz val="11"/>
        <color rgb="FFFF0000"/>
        <rFont val="微软雅黑"/>
        <charset val="134"/>
      </rPr>
      <t>超长附加费：加收 4.5 USD/包裹</t>
    </r>
  </si>
  <si>
    <t>2&lt;W≤4.5</t>
  </si>
  <si>
    <t>0.05≤W≤1.5</t>
  </si>
  <si>
    <t>CNE全球特惠</t>
  </si>
  <si>
    <t>0-1KG</t>
  </si>
  <si>
    <t>1.001-15KG</t>
  </si>
  <si>
    <t>L＞100收超长费145元，限长120cm</t>
  </si>
  <si>
    <t>0.201-0.5KG</t>
  </si>
  <si>
    <t>0.501-30KG</t>
  </si>
  <si>
    <t>0-30KG</t>
  </si>
  <si>
    <t>15≤L≤100,10≤W≤80</t>
  </si>
  <si>
    <t>0.201-0.6KG</t>
  </si>
  <si>
    <t>0.601-30KG</t>
  </si>
  <si>
    <t>0-0.3KG</t>
  </si>
  <si>
    <t>15≤L≤60,10≤W≤50，L+2*W+2*H≤200</t>
  </si>
  <si>
    <t>L＞60收超长费50元，限长80cm，异形包裹需加收180元/票附加费</t>
  </si>
  <si>
    <t>0.301-0.5KG</t>
  </si>
  <si>
    <t>0.501-1KG</t>
  </si>
  <si>
    <t>1.001-30KG</t>
  </si>
  <si>
    <t>0-0.5KG</t>
  </si>
  <si>
    <t>0.301-1KG</t>
  </si>
  <si>
    <t>0-0.4KG</t>
  </si>
  <si>
    <r>
      <rPr>
        <sz val="10"/>
        <color rgb="FF000000"/>
        <rFont val="微软雅黑"/>
        <charset val="134"/>
      </rPr>
      <t>15≤L≤100,10≤W≤60</t>
    </r>
    <r>
      <rPr>
        <sz val="10"/>
        <color rgb="FF000000"/>
        <rFont val="微软雅黑"/>
        <charset val="134"/>
      </rPr>
      <t xml:space="preserve">
</t>
    </r>
    <r>
      <rPr>
        <sz val="10"/>
        <color rgb="FF000000"/>
        <rFont val="微软雅黑"/>
        <charset val="134"/>
      </rPr>
      <t>L+H+W&lt;150</t>
    </r>
  </si>
  <si>
    <t>0.401-30KG</t>
  </si>
  <si>
    <t>4-10</t>
  </si>
  <si>
    <t>15≤L≤105，10≤W≤70，H≤70</t>
  </si>
  <si>
    <t>0.401-20KG</t>
  </si>
  <si>
    <r>
      <rPr>
        <sz val="10"/>
        <color rgb="FF000000"/>
        <rFont val="微软雅黑"/>
        <charset val="134"/>
      </rPr>
      <t>①50G起步</t>
    </r>
    <r>
      <rPr>
        <sz val="10"/>
        <color rgb="FF000000"/>
        <rFont val="微软雅黑"/>
        <charset val="134"/>
      </rPr>
      <t xml:space="preserve">
</t>
    </r>
    <r>
      <rPr>
        <sz val="10"/>
        <color rgb="FF000000"/>
        <rFont val="微软雅黑"/>
        <charset val="134"/>
      </rPr>
      <t>②禁发圆柱体，木制品，包括狗项圈在内的动物背带牵引绳，轮胎</t>
    </r>
  </si>
  <si>
    <t>15≤L≤100，体积≤0.125m3</t>
  </si>
  <si>
    <t>偏远费加收20元/票</t>
  </si>
  <si>
    <t>0.301-20KG</t>
  </si>
  <si>
    <t>0-0.1KG</t>
  </si>
  <si>
    <t>0.101-0.4KG</t>
  </si>
  <si>
    <t>0.401-5KG</t>
  </si>
  <si>
    <t>1、计泡标准：货物单边&gt;5CM且L+W+H＞50CM需计泡（除日本），日本是L+W+H＞78CM需计泡。</t>
  </si>
  <si>
    <t>①.78CM&lt;L+W+H≤90CM,记泡系数8000</t>
  </si>
  <si>
    <t>②.L+W+H&gt;90CM,记泡系数6000</t>
  </si>
  <si>
    <t>4、澳大利亚：不接受申报价格＞AUD1000（约等同USD750）的产品；若申报价值达到AUD1000（包含AUD1000），则会产生VAT，产生的VAT将按申报价值的10%收取。</t>
  </si>
  <si>
    <t>5、加拿大：申报价值超过CAD20（约等同15USD），则会产生关税，我司将依据客户申报价值收取20%关税。</t>
  </si>
  <si>
    <r>
      <rPr>
        <sz val="10"/>
        <color rgb="FF000000"/>
        <rFont val="微软雅黑"/>
        <charset val="134"/>
      </rPr>
      <t>6、日本：（1）不接受申报价值超过JPY10000（约等同USD95）的产品，不收所有真皮类包裹，包括但不仅限于，真皮外套，真皮皮鞋、真皮腰带等。如产生税金，由发件人支付，税金实报实销，不收取手续费。</t>
    </r>
    <r>
      <rPr>
        <sz val="10"/>
        <color rgb="FF000000"/>
        <rFont val="微软雅黑"/>
        <charset val="134"/>
      </rPr>
      <t xml:space="preserve">
</t>
    </r>
    <r>
      <rPr>
        <sz val="10"/>
        <color rgb="FF000000"/>
        <rFont val="微软雅黑"/>
        <charset val="134"/>
      </rPr>
      <t xml:space="preserve">              </t>
    </r>
    <r>
      <rPr>
        <sz val="10"/>
        <color rgb="FF000000"/>
        <rFont val="微软雅黑"/>
        <charset val="134"/>
      </rPr>
      <t>（2）不接受公司性质的收件人地址，包裹内商品数量需符合正常个人自用范围，且每批次同一个收件人只能一个包裹，否则因此导致的查验和相关费用等风险由发件方自行承担。</t>
    </r>
  </si>
  <si>
    <t>7、新西兰：不接受申报价值超过NZD1000（约等同USD690）的产品。</t>
  </si>
  <si>
    <t>9、挪威：不接受申报价值超过NOK3000（约等同EUR280）的产品，客户下单需提供VOEC号码。</t>
  </si>
  <si>
    <t>10、美国：不接受申报价值超过USD800的产品，且不接受同一个收件人名且同一地址，当天累计包裹申报价值超过USD800</t>
  </si>
  <si>
    <r>
      <rPr>
        <sz val="10"/>
        <color rgb="FF000000"/>
        <rFont val="微软雅黑"/>
        <charset val="134"/>
      </rPr>
      <t>3、已上网赔偿标准：货件在服务商官网上网后提起的调查，经服务商确认的丢件，赔偿申报价值不退运费，最高不超200元。索赔资料：按照渠道服务商索赔所需资料提供，具体以客服通知为准。</t>
    </r>
    <r>
      <rPr>
        <sz val="10"/>
        <color rgb="FF000000"/>
        <rFont val="微软雅黑"/>
        <charset val="134"/>
      </rPr>
      <t xml:space="preserve"> </t>
    </r>
    <r>
      <rPr>
        <b/>
        <sz val="10"/>
        <color rgb="FF000000"/>
        <rFont val="微软雅黑"/>
        <charset val="134"/>
      </rPr>
      <t>挪威路向包裹国外上网后不提供索赔服务。</t>
    </r>
  </si>
  <si>
    <r>
      <rPr>
        <sz val="10"/>
        <color rgb="FF000000"/>
        <rFont val="微软雅黑"/>
        <charset val="134"/>
      </rPr>
      <t>4、送达后破损或者少货、退件、查验、易碎品、延误及其他不可抗力因素无赔偿服务。</t>
    </r>
    <r>
      <rPr>
        <b/>
        <sz val="10"/>
        <color rgb="FF000000"/>
        <rFont val="微软雅黑"/>
        <charset val="134"/>
      </rPr>
      <t xml:space="preserve"> </t>
    </r>
  </si>
  <si>
    <t>六、退到国外仓库（比利时、荷兰、立陶宛、斯洛伐克、斯洛文尼亚、波兰、爱尔兰、爱沙尼亚、芬兰、罗马尼亚、奥地利、匈牙利、美国、葡萄牙、捷克、加拿大除外）</t>
  </si>
  <si>
    <t>2、退件退到国外仓库后客服会工单通知，需在处理期限内回复是否需要重派，超期未回复服务商自动销毁，无索赔服务。（挪威无重派服务）</t>
  </si>
  <si>
    <r>
      <rPr>
        <b/>
        <sz val="26"/>
        <color rgb="FF009F9E"/>
        <rFont val="微软雅黑"/>
        <charset val="134"/>
      </rPr>
      <t xml:space="preserve">         </t>
    </r>
    <r>
      <rPr>
        <b/>
        <sz val="26"/>
        <color rgb="FF009F9E"/>
        <rFont val="微软雅黑"/>
        <charset val="134"/>
      </rPr>
      <t>智惠选专线-特惠</t>
    </r>
  </si>
  <si>
    <t>生效日期：2025.05.26 9:00</t>
  </si>
  <si>
    <t>≤0.75</t>
  </si>
  <si>
    <t>≤1.5</t>
  </si>
  <si>
    <t>8-15</t>
  </si>
  <si>
    <t>0.1≤W≤1</t>
  </si>
  <si>
    <t>2&lt;W≤5</t>
  </si>
  <si>
    <t>0&lt;W≤1</t>
  </si>
  <si>
    <t>顺速宝Plus价目表</t>
  </si>
  <si>
    <t>澳大利亚(一区)</t>
  </si>
  <si>
    <t>澳大利亚(二区)</t>
  </si>
  <si>
    <t>澳大利亚(三区)</t>
  </si>
  <si>
    <t>澳大利亚(四区)</t>
  </si>
  <si>
    <t>蜂鸟国际物流 - 欧洲经济普货线                    渠道编码：欧洲经济P-HF        
    材积/6000</t>
  </si>
  <si>
    <t>广州</t>
  </si>
  <si>
    <t>重量限制（KG）</t>
  </si>
  <si>
    <t>运费（元/KG）</t>
  </si>
  <si>
    <t>处理费（元/件）</t>
  </si>
  <si>
    <t>尾程派送商</t>
  </si>
  <si>
    <t>尺寸限制（cm）</t>
  </si>
  <si>
    <t>面单尺寸</t>
  </si>
  <si>
    <t>时效</t>
  </si>
  <si>
    <t>DHL Paket</t>
  </si>
  <si>
    <t>L＜35.3，W＜25，H＜10</t>
  </si>
  <si>
    <t>10*10cm</t>
  </si>
  <si>
    <t>10-15
工作日</t>
  </si>
  <si>
    <t>0.401-1</t>
  </si>
  <si>
    <t>L＜100，W＜60，H＜60</t>
  </si>
  <si>
    <t>10*15cm</t>
  </si>
  <si>
    <t>Colis Prive</t>
  </si>
  <si>
    <t>L＜100，L + W + H≤150</t>
  </si>
  <si>
    <t>Poland Post</t>
  </si>
  <si>
    <t>L + W + H ≤70，L≤50，H≤6</t>
  </si>
  <si>
    <t>IN POST</t>
  </si>
  <si>
    <t>L＜100，L + W + H≤220</t>
  </si>
  <si>
    <t>CTT</t>
  </si>
  <si>
    <t>L≤80，L + W + H＜180</t>
  </si>
  <si>
    <t>1.001-15</t>
  </si>
  <si>
    <t>DHL Packet 
International</t>
  </si>
  <si>
    <t>L＜100
W＜60
H＜60</t>
  </si>
  <si>
    <r>
      <rPr>
        <b/>
        <sz val="26"/>
        <color rgb="FF009F9E"/>
        <rFont val="微软雅黑"/>
        <charset val="134"/>
      </rPr>
      <t xml:space="preserve">            </t>
    </r>
    <r>
      <rPr>
        <b/>
        <sz val="26"/>
        <color rgb="FF009F9E"/>
        <rFont val="微软雅黑"/>
        <charset val="134"/>
      </rPr>
      <t>Specialpak电子烟专线</t>
    </r>
  </si>
  <si>
    <t>蜂鸟国际物流 - 欧美TK敏感（虚拟仓）</t>
  </si>
  <si>
    <t>产品名称</t>
  </si>
  <si>
    <t>时效(工作日)</t>
  </si>
  <si>
    <t>重量限制（kg）</t>
  </si>
  <si>
    <t>运费（元/kg）</t>
  </si>
  <si>
    <t>体积重计算系数</t>
  </si>
  <si>
    <t>欧洲敏感TK专线</t>
  </si>
  <si>
    <t>UK</t>
  </si>
  <si>
    <t>6--9</t>
  </si>
  <si>
    <t>0.05-0.3</t>
  </si>
  <si>
    <t>YODEL</t>
  </si>
  <si>
    <t>L＜60，W＜40，H＜40
L+2*(W+H)≤210</t>
  </si>
  <si>
    <t>英国不足50g
按50g计费</t>
  </si>
  <si>
    <t>0-10</t>
  </si>
  <si>
    <t>德国DHL Paket：下单预报要求如实申报重量，预报重量与实际重量差异100g将会产生附加费：2.2欧/票</t>
  </si>
  <si>
    <t>德国TK专线Hermes</t>
  </si>
  <si>
    <t>Hermes</t>
  </si>
  <si>
    <t>美国TK-HF</t>
  </si>
  <si>
    <t>8--10</t>
  </si>
  <si>
    <t>0.05-0.2</t>
  </si>
  <si>
    <t>USPS</t>
  </si>
  <si>
    <t>1）最大尺寸为 55*45*38cm
2）长+周长小于274cm，最长边小于55cm
3）超尺寸附加费，超出以下尺寸限制，加收 11.5 RMB/包裹
①0.453kg以内最大尺寸55*45*38 cm
②0.453kg以上长+周长小于274cm，最长边小于55cm
4)不合规和订单，加收 2 RMB/包裹(超过66厘米的卷管和包装不符等，形状不规则的包裹，例如卷形、管状和三角形等畸形包裹。)
5)长度超过 55 厘米但不超过 76 厘米的包裹，加收 30 RMB/包裹
6）长度超过 76 里面的包裹，加收 111 RMB/包裹
7）超过56633.6立方厘米（长*宽*高)的包裹，加收 111 RMB/包裹</t>
  </si>
  <si>
    <t>美国不足50g
按50g计费</t>
  </si>
  <si>
    <t>0.201-0.453</t>
  </si>
  <si>
    <t>0.454-1</t>
  </si>
</sst>
</file>

<file path=xl/styles.xml><?xml version="1.0" encoding="utf-8"?>
<styleSheet xmlns="http://schemas.openxmlformats.org/spreadsheetml/2006/main" xmlns:mc="http://schemas.openxmlformats.org/markup-compatibility/2006" xmlns:xr9="http://schemas.microsoft.com/office/spreadsheetml/2016/revision9" mc:Ignorable="xr9">
  <numFmts count="23">
    <numFmt numFmtId="7" formatCode="&quot;￥&quot;#,##0.00;&quot;￥&quot;\-#,##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409]mmmm\ d\,\ yyyy;@"/>
    <numFmt numFmtId="177" formatCode="[$£-809]#,##0.00"/>
    <numFmt numFmtId="178" formatCode="0_ "/>
    <numFmt numFmtId="179" formatCode="0.00_);[Red]\(0.00\)"/>
    <numFmt numFmtId="180" formatCode="0.00_ "/>
    <numFmt numFmtId="181" formatCode="0.0_ "/>
    <numFmt numFmtId="182" formatCode="0.00000_ "/>
    <numFmt numFmtId="183" formatCode="0_);[Red]\(0\)"/>
    <numFmt numFmtId="184" formatCode="0.0_);[Red]\(0.0\)"/>
    <numFmt numFmtId="185" formatCode="[$XDR]\ #,##0.000"/>
    <numFmt numFmtId="186" formatCode="0.00_ ;[Red]\-0.00\ "/>
    <numFmt numFmtId="187" formatCode="0.000_);[Red]\(0.000\)"/>
    <numFmt numFmtId="188" formatCode="0.000_ ;[Red]\-0.000\ "/>
    <numFmt numFmtId="189" formatCode="yyyy/m/d;@"/>
    <numFmt numFmtId="190" formatCode="0.0000_ "/>
    <numFmt numFmtId="191" formatCode="#,##0_ "/>
    <numFmt numFmtId="192" formatCode="[$$-C04]#,##0.00;[$$-C04]\-#,##0.00"/>
    <numFmt numFmtId="193" formatCode="\$#,##0.00;\-\$#,##0.00"/>
  </numFmts>
  <fonts count="134">
    <font>
      <sz val="11"/>
      <color theme="1"/>
      <name val="宋体"/>
      <charset val="134"/>
      <scheme val="minor"/>
    </font>
    <font>
      <sz val="11"/>
      <color rgb="FF000000"/>
      <name val="宋体"/>
      <charset val="134"/>
    </font>
    <font>
      <b/>
      <sz val="26"/>
      <color rgb="FF009F9E"/>
      <name val="微软雅黑"/>
      <charset val="134"/>
    </font>
    <font>
      <b/>
      <sz val="11"/>
      <color rgb="FFFFFFFF"/>
      <name val="微软雅黑"/>
      <charset val="134"/>
    </font>
    <font>
      <sz val="11"/>
      <color rgb="FF000000"/>
      <name val="微软雅黑"/>
      <charset val="134"/>
    </font>
    <font>
      <b/>
      <sz val="10"/>
      <color rgb="FFFF0000"/>
      <name val="微软雅黑"/>
      <charset val="134"/>
    </font>
    <font>
      <u/>
      <sz val="11"/>
      <color rgb="FF0000FF"/>
      <name val="微软雅黑"/>
      <charset val="0"/>
    </font>
    <font>
      <sz val="11"/>
      <color rgb="FFFF0000"/>
      <name val="微软雅黑"/>
      <charset val="134"/>
    </font>
    <font>
      <sz val="11"/>
      <color rgb="FF000000"/>
      <name val="宋体"/>
      <charset val="134"/>
      <scheme val="minor"/>
    </font>
    <font>
      <b/>
      <sz val="24"/>
      <color rgb="FF0070C0"/>
      <name val="微软雅黑"/>
      <charset val="134"/>
    </font>
    <font>
      <sz val="10"/>
      <color rgb="FF000000"/>
      <name val="微软雅黑"/>
      <charset val="134"/>
    </font>
    <font>
      <u/>
      <sz val="11"/>
      <color rgb="FFFF0000"/>
      <name val="微软雅黑"/>
      <charset val="0"/>
    </font>
    <font>
      <sz val="12"/>
      <color rgb="FF000000"/>
      <name val="微软雅黑"/>
      <charset val="134"/>
    </font>
    <font>
      <b/>
      <sz val="20"/>
      <color rgb="FF000000"/>
      <name val="微软雅黑"/>
      <charset val="134"/>
    </font>
    <font>
      <b/>
      <sz val="22"/>
      <color rgb="FF000000"/>
      <name val="微软雅黑"/>
      <charset val="134"/>
    </font>
    <font>
      <sz val="12"/>
      <color rgb="FFFFFFFF"/>
      <name val="微软雅黑"/>
      <charset val="134"/>
    </font>
    <font>
      <sz val="10"/>
      <color rgb="FFD0CECE"/>
      <name val="微软雅黑"/>
      <charset val="134"/>
    </font>
    <font>
      <sz val="10"/>
      <color rgb="FF1878D8"/>
      <name val="微软雅黑"/>
      <charset val="134"/>
    </font>
    <font>
      <sz val="11"/>
      <color rgb="FFFFFFFF"/>
      <name val="微软雅黑"/>
      <charset val="134"/>
    </font>
    <font>
      <b/>
      <sz val="10"/>
      <color rgb="FF000000"/>
      <name val="微软雅黑"/>
      <charset val="134"/>
    </font>
    <font>
      <b/>
      <u/>
      <sz val="11"/>
      <color rgb="FF0000FF"/>
      <name val="微软雅黑"/>
      <charset val="134"/>
    </font>
    <font>
      <b/>
      <sz val="10"/>
      <color rgb="FF1878D8"/>
      <name val="微软雅黑"/>
      <charset val="134"/>
    </font>
    <font>
      <sz val="11"/>
      <color rgb="FFAEAAAA"/>
      <name val="微软雅黑"/>
      <charset val="134"/>
    </font>
    <font>
      <b/>
      <sz val="11"/>
      <color theme="0"/>
      <name val="微软雅黑"/>
      <charset val="134"/>
    </font>
    <font>
      <sz val="10"/>
      <color rgb="FFFF0000"/>
      <name val="微软雅黑"/>
      <charset val="134"/>
    </font>
    <font>
      <sz val="10"/>
      <color rgb="FFFFFFFF"/>
      <name val="微软雅黑"/>
      <charset val="134"/>
    </font>
    <font>
      <sz val="9.8"/>
      <color rgb="FF000000"/>
      <name val="微软雅黑"/>
      <charset val="134"/>
    </font>
    <font>
      <u/>
      <sz val="10"/>
      <color rgb="FF0000FF"/>
      <name val="微软雅黑"/>
      <charset val="134"/>
    </font>
    <font>
      <u/>
      <sz val="10"/>
      <color rgb="FF0000FF"/>
      <name val="微软雅黑"/>
      <charset val="0"/>
    </font>
    <font>
      <sz val="11"/>
      <color indexed="8"/>
      <name val="宋体"/>
      <charset val="134"/>
      <scheme val="minor"/>
    </font>
    <font>
      <b/>
      <sz val="22"/>
      <name val="微软雅黑"/>
      <charset val="134"/>
    </font>
    <font>
      <b/>
      <sz val="11"/>
      <name val="微软雅黑"/>
      <charset val="134"/>
    </font>
    <font>
      <b/>
      <sz val="11"/>
      <color indexed="10"/>
      <name val="微软雅黑"/>
      <charset val="134"/>
    </font>
    <font>
      <sz val="11"/>
      <name val="微软雅黑"/>
      <charset val="134"/>
    </font>
    <font>
      <u/>
      <sz val="11"/>
      <color indexed="12"/>
      <name val="Calibri"/>
      <charset val="134"/>
    </font>
    <font>
      <sz val="11"/>
      <color indexed="10"/>
      <name val="微软雅黑"/>
      <charset val="134"/>
    </font>
    <font>
      <b/>
      <sz val="16"/>
      <name val="微软雅黑"/>
      <charset val="134"/>
    </font>
    <font>
      <b/>
      <sz val="10"/>
      <color rgb="FFFFFFFF"/>
      <name val="微软雅黑"/>
      <charset val="134"/>
    </font>
    <font>
      <b/>
      <sz val="10"/>
      <color rgb="FF0000FF"/>
      <name val="微软雅黑"/>
      <charset val="134"/>
    </font>
    <font>
      <b/>
      <sz val="10"/>
      <name val="微软雅黑"/>
      <charset val="134"/>
    </font>
    <font>
      <sz val="10"/>
      <name val="微软雅黑"/>
      <charset val="134"/>
    </font>
    <font>
      <b/>
      <sz val="10"/>
      <color rgb="FF0000CC"/>
      <name val="微软雅黑"/>
      <charset val="134"/>
    </font>
    <font>
      <b/>
      <sz val="10"/>
      <color rgb="FF800080"/>
      <name val="微软雅黑"/>
      <charset val="134"/>
    </font>
    <font>
      <sz val="9"/>
      <color theme="1"/>
      <name val="微软雅黑"/>
      <charset val="134"/>
    </font>
    <font>
      <b/>
      <sz val="10"/>
      <color theme="1"/>
      <name val="微软雅黑"/>
      <charset val="134"/>
    </font>
    <font>
      <sz val="10"/>
      <color theme="1"/>
      <name val="微软雅黑"/>
      <charset val="134"/>
    </font>
    <font>
      <sz val="8"/>
      <name val="微软雅黑"/>
      <charset val="134"/>
    </font>
    <font>
      <sz val="10"/>
      <color indexed="8"/>
      <name val="微软雅黑"/>
      <charset val="134"/>
    </font>
    <font>
      <b/>
      <sz val="10"/>
      <color rgb="FFFE0300"/>
      <name val="微软雅黑"/>
      <charset val="134"/>
    </font>
    <font>
      <b/>
      <sz val="10"/>
      <color indexed="8"/>
      <name val="微软雅黑"/>
      <charset val="134"/>
    </font>
    <font>
      <sz val="10"/>
      <color rgb="FF800080"/>
      <name val="微软雅黑"/>
      <charset val="134"/>
    </font>
    <font>
      <b/>
      <u/>
      <sz val="10"/>
      <color rgb="FF800080"/>
      <name val="微软雅黑"/>
      <charset val="134"/>
    </font>
    <font>
      <sz val="10"/>
      <color theme="10"/>
      <name val="微软雅黑"/>
      <charset val="134"/>
    </font>
    <font>
      <sz val="11"/>
      <color theme="0"/>
      <name val="微软雅黑"/>
      <charset val="134"/>
    </font>
    <font>
      <b/>
      <sz val="10"/>
      <color theme="0"/>
      <name val="微软雅黑"/>
      <charset val="134"/>
    </font>
    <font>
      <sz val="10"/>
      <color rgb="FF0070C0"/>
      <name val="微软雅黑"/>
      <charset val="134"/>
    </font>
    <font>
      <b/>
      <sz val="10"/>
      <color rgb="FF0070C0"/>
      <name val="微软雅黑"/>
      <charset val="134"/>
    </font>
    <font>
      <sz val="12"/>
      <color rgb="FF0070C0"/>
      <name val="微软雅黑"/>
      <charset val="134"/>
    </font>
    <font>
      <b/>
      <sz val="6"/>
      <color rgb="FF808080"/>
      <name val="微软雅黑"/>
      <charset val="134"/>
    </font>
    <font>
      <b/>
      <sz val="9"/>
      <color rgb="FFFFFFFF"/>
      <name val="微软雅黑"/>
      <charset val="134"/>
    </font>
    <font>
      <sz val="11"/>
      <color rgb="FF0070C0"/>
      <name val="微软雅黑"/>
      <charset val="134"/>
    </font>
    <font>
      <sz val="8"/>
      <color rgb="FF000000"/>
      <name val="微软雅黑"/>
      <charset val="134"/>
    </font>
    <font>
      <sz val="8"/>
      <color rgb="FF0070C0"/>
      <name val="微软雅黑"/>
      <charset val="134"/>
    </font>
    <font>
      <b/>
      <sz val="12"/>
      <color rgb="FFFFFFFF"/>
      <name val="微软雅黑"/>
      <charset val="134"/>
    </font>
    <font>
      <b/>
      <sz val="8"/>
      <color rgb="FFFFFFFF"/>
      <name val="微软雅黑"/>
      <charset val="134"/>
    </font>
    <font>
      <sz val="8"/>
      <color rgb="FFD9D9D9"/>
      <name val="微软雅黑"/>
      <charset val="134"/>
    </font>
    <font>
      <u/>
      <sz val="11"/>
      <color rgb="FF0000FF"/>
      <name val="Calibri"/>
      <charset val="134"/>
    </font>
    <font>
      <b/>
      <sz val="11"/>
      <color rgb="FFFF0000"/>
      <name val="微软雅黑"/>
      <charset val="134"/>
    </font>
    <font>
      <b/>
      <sz val="11"/>
      <color rgb="FF000000"/>
      <name val="微软雅黑"/>
      <charset val="134"/>
    </font>
    <font>
      <b/>
      <sz val="16"/>
      <color rgb="FF000000"/>
      <name val="微软雅黑"/>
      <charset val="134"/>
    </font>
    <font>
      <u/>
      <sz val="11"/>
      <color rgb="FF0000FF"/>
      <name val="宋体"/>
      <charset val="0"/>
      <scheme val="minor"/>
    </font>
    <font>
      <sz val="11"/>
      <color theme="1"/>
      <name val="Arial"/>
      <charset val="134"/>
    </font>
    <font>
      <sz val="10"/>
      <color theme="1"/>
      <name val="宋体"/>
      <charset val="134"/>
      <scheme val="minor"/>
    </font>
    <font>
      <sz val="11"/>
      <color rgb="FF000000"/>
      <name val="Arial"/>
      <charset val="134"/>
    </font>
    <font>
      <sz val="11"/>
      <color theme="1"/>
      <name val="宋体"/>
      <charset val="134"/>
    </font>
    <font>
      <b/>
      <sz val="10"/>
      <color rgb="FF252A32"/>
      <name val="微软雅黑"/>
      <charset val="134"/>
    </font>
    <font>
      <sz val="11"/>
      <color rgb="FFFF0000"/>
      <name val="Calibri"/>
      <charset val="134"/>
    </font>
    <font>
      <sz val="10"/>
      <color rgb="FF000000"/>
      <name val="宋体"/>
      <charset val="134"/>
    </font>
    <font>
      <sz val="11"/>
      <color rgb="FF000000"/>
      <name val="Calibri"/>
      <charset val="134"/>
    </font>
    <font>
      <sz val="10"/>
      <color rgb="FF00B0F0"/>
      <name val="Calibri"/>
      <charset val="134"/>
    </font>
    <font>
      <sz val="11"/>
      <color rgb="FFFFC000"/>
      <name val="宋体"/>
      <charset val="134"/>
    </font>
    <font>
      <sz val="10.5"/>
      <color rgb="FF333333"/>
      <name val="Arial Unicode MS"/>
      <charset val="134"/>
    </font>
    <font>
      <sz val="11"/>
      <color rgb="FFFFC000"/>
      <name val="宋体"/>
      <charset val="134"/>
      <scheme val="minor"/>
    </font>
    <font>
      <sz val="12"/>
      <color rgb="FF222222"/>
      <name val="ali-webfont"/>
      <charset val="134"/>
    </font>
    <font>
      <sz val="10"/>
      <color rgb="FFFF0000"/>
      <name val="宋体"/>
      <charset val="134"/>
    </font>
    <font>
      <sz val="11"/>
      <color rgb="FFFF0000"/>
      <name val="宋体"/>
      <charset val="134"/>
    </font>
    <font>
      <sz val="11"/>
      <color theme="1"/>
      <name val="Calibri"/>
      <charset val="134"/>
    </font>
    <font>
      <sz val="12"/>
      <color rgb="FF222222"/>
      <name val="Poppins"/>
      <charset val="134"/>
    </font>
    <font>
      <sz val="10"/>
      <color theme="1"/>
      <name val="宋体"/>
      <charset val="134"/>
    </font>
    <font>
      <b/>
      <sz val="10"/>
      <color rgb="FF000000"/>
      <name val="微软雅黑"/>
      <charset val="0"/>
    </font>
    <font>
      <u/>
      <sz val="10"/>
      <color rgb="FF0000FF"/>
      <name val="宋体"/>
      <charset val="0"/>
      <scheme val="minor"/>
    </font>
    <font>
      <u/>
      <sz val="10"/>
      <color rgb="FF0000FF"/>
      <name val="宋体"/>
      <charset val="134"/>
    </font>
    <font>
      <u/>
      <sz val="11"/>
      <color rgb="FF0000FF"/>
      <name val="宋体"/>
      <charset val="134"/>
    </font>
    <font>
      <u/>
      <sz val="10"/>
      <color rgb="FF0000FF"/>
      <name val="宋体"/>
      <charset val="134"/>
      <scheme val="minor"/>
    </font>
    <font>
      <u/>
      <sz val="11"/>
      <color rgb="FF0000FF"/>
      <name val="宋体"/>
      <charset val="134"/>
      <scheme val="minor"/>
    </font>
    <font>
      <u/>
      <sz val="10"/>
      <color rgb="FF1155CC"/>
      <name val="宋体"/>
      <charset val="134"/>
      <scheme val="minor"/>
    </font>
    <font>
      <b/>
      <sz val="11.25"/>
      <color rgb="FF1D1C1D"/>
      <name val="宋体"/>
      <charset val="134"/>
      <scheme val="minor"/>
    </font>
    <font>
      <sz val="9"/>
      <color rgb="FF333333"/>
      <name val="微软雅黑"/>
      <charset val="134"/>
    </font>
    <font>
      <sz val="11"/>
      <color theme="1"/>
      <name val="微软雅黑"/>
      <charset val="134"/>
    </font>
    <font>
      <sz val="12"/>
      <name val="微软雅黑"/>
      <charset val="134"/>
    </font>
    <font>
      <b/>
      <sz val="1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indexed="8"/>
      <name val="宋体"/>
      <charset val="134"/>
    </font>
    <font>
      <sz val="10"/>
      <color indexed="8"/>
      <name val="MS Sans Serif"/>
      <charset val="134"/>
    </font>
    <font>
      <sz val="11"/>
      <color indexed="54"/>
      <name val="新細明體"/>
      <charset val="134"/>
    </font>
    <font>
      <sz val="11"/>
      <color indexed="8"/>
      <name val="宋体"/>
      <charset val="134"/>
    </font>
    <font>
      <sz val="12"/>
      <name val="宋体"/>
      <charset val="134"/>
    </font>
    <font>
      <sz val="12"/>
      <color theme="1"/>
      <name val="宋体"/>
      <charset val="134"/>
      <scheme val="minor"/>
    </font>
    <font>
      <sz val="11"/>
      <name val=""/>
      <charset val="134"/>
    </font>
    <font>
      <sz val="10"/>
      <name val="Arial"/>
      <charset val="134"/>
    </font>
    <font>
      <sz val="10"/>
      <name val="Helv"/>
      <charset val="134"/>
    </font>
    <font>
      <sz val="10"/>
      <color rgb="FF00B0F0"/>
      <name val="宋体"/>
      <charset val="134"/>
    </font>
    <font>
      <b/>
      <sz val="10"/>
      <color indexed="10"/>
      <name val="微软雅黑"/>
      <charset val="134"/>
    </font>
    <font>
      <sz val="9"/>
      <color rgb="FF333333"/>
      <name val="宋体"/>
      <charset val="134"/>
    </font>
    <font>
      <sz val="10"/>
      <color theme="1"/>
      <name val="Times New Roman"/>
      <charset val="134"/>
    </font>
    <font>
      <b/>
      <sz val="9"/>
      <name val="宋体"/>
      <charset val="134"/>
    </font>
    <font>
      <sz val="9"/>
      <name val="宋体"/>
      <charset val="134"/>
    </font>
  </fonts>
  <fills count="62">
    <fill>
      <patternFill patternType="none"/>
    </fill>
    <fill>
      <patternFill patternType="gray125"/>
    </fill>
    <fill>
      <patternFill patternType="solid">
        <fgColor rgb="FF009F9E"/>
        <bgColor indexed="64"/>
      </patternFill>
    </fill>
    <fill>
      <patternFill patternType="solid">
        <fgColor rgb="FF1878D8"/>
        <bgColor indexed="64"/>
      </patternFill>
    </fill>
    <fill>
      <patternFill patternType="solid">
        <fgColor rgb="FFFFF3CA"/>
        <bgColor indexed="64"/>
      </patternFill>
    </fill>
    <fill>
      <patternFill patternType="solid">
        <fgColor rgb="FFD9E1F4"/>
        <bgColor indexed="64"/>
      </patternFill>
    </fill>
    <fill>
      <patternFill patternType="solid">
        <fgColor rgb="FFECECEC"/>
        <bgColor indexed="64"/>
      </patternFill>
    </fill>
    <fill>
      <patternFill patternType="solid">
        <fgColor rgb="FFDDEBF7"/>
        <bgColor indexed="64"/>
      </patternFill>
    </fill>
    <fill>
      <patternFill patternType="solid">
        <fgColor indexed="13"/>
        <bgColor indexed="64"/>
      </patternFill>
    </fill>
    <fill>
      <patternFill patternType="solid">
        <fgColor rgb="FF005ADC"/>
        <bgColor indexed="64"/>
      </patternFill>
    </fill>
    <fill>
      <patternFill patternType="solid">
        <fgColor rgb="FFFFFF00"/>
        <bgColor indexed="64"/>
      </patternFill>
    </fill>
    <fill>
      <patternFill patternType="solid">
        <fgColor rgb="FFFFFF00"/>
        <bgColor rgb="FF000000"/>
      </patternFill>
    </fill>
    <fill>
      <patternFill patternType="solid">
        <fgColor theme="6" tint="0.799676503799554"/>
        <bgColor indexed="64"/>
      </patternFill>
    </fill>
    <fill>
      <patternFill patternType="solid">
        <fgColor theme="6" tint="0.799645985290078"/>
        <bgColor indexed="64"/>
      </patternFill>
    </fill>
    <fill>
      <patternFill patternType="solid">
        <fgColor theme="4" tint="0.799981688894314"/>
        <bgColor indexed="64"/>
      </patternFill>
    </fill>
    <fill>
      <patternFill patternType="solid">
        <fgColor theme="4" tint="0.8"/>
        <bgColor indexed="64"/>
      </patternFill>
    </fill>
    <fill>
      <patternFill patternType="solid">
        <fgColor rgb="FFEDEDED"/>
        <bgColor indexed="64"/>
      </patternFill>
    </fill>
    <fill>
      <patternFill patternType="solid">
        <fgColor rgb="FF00B050"/>
        <bgColor indexed="64"/>
      </patternFill>
    </fill>
    <fill>
      <patternFill patternType="solid">
        <fgColor rgb="FF0070C0"/>
        <bgColor indexed="64"/>
      </patternFill>
    </fill>
    <fill>
      <patternFill patternType="solid">
        <fgColor rgb="FFDCE6F1"/>
        <bgColor indexed="64"/>
      </patternFill>
    </fill>
    <fill>
      <patternFill patternType="solid">
        <fgColor rgb="FFD0CECE"/>
        <bgColor indexed="64"/>
      </patternFill>
    </fill>
    <fill>
      <patternFill patternType="solid">
        <fgColor theme="0" tint="-0.35"/>
        <bgColor indexed="64"/>
      </patternFill>
    </fill>
    <fill>
      <patternFill patternType="solid">
        <fgColor rgb="FFFFFFFF"/>
        <bgColor indexed="64"/>
      </patternFill>
    </fill>
    <fill>
      <patternFill patternType="solid">
        <fgColor rgb="FFE2F0D9"/>
        <bgColor indexed="64"/>
      </patternFill>
    </fill>
    <fill>
      <patternFill patternType="solid">
        <fgColor rgb="FFE7E6E6"/>
        <bgColor indexed="64"/>
      </patternFill>
    </fill>
    <fill>
      <patternFill patternType="solid">
        <fgColor rgb="FF66B099"/>
        <bgColor indexed="64"/>
      </patternFill>
    </fill>
    <fill>
      <patternFill patternType="solid">
        <fgColor theme="4" tint="0.4"/>
        <bgColor indexed="64"/>
      </patternFill>
    </fill>
    <fill>
      <patternFill patternType="solid">
        <fgColor theme="6" tint="0.8"/>
        <bgColor indexed="64"/>
      </patternFill>
    </fill>
    <fill>
      <patternFill patternType="solid">
        <fgColor theme="9" tint="0.799890133365886"/>
        <bgColor indexed="64"/>
      </patternFill>
    </fill>
    <fill>
      <patternFill patternType="solid">
        <fgColor theme="9" tint="0.79989"/>
        <bgColor indexed="64"/>
      </patternFill>
    </fill>
    <fill>
      <patternFill patternType="solid">
        <fgColor theme="9" tint="0.7999206518753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indexed="47"/>
        <bgColor indexed="64"/>
      </patternFill>
    </fill>
  </fills>
  <borders count="161">
    <border>
      <left/>
      <right/>
      <top/>
      <bottom/>
      <diagonal/>
    </border>
    <border>
      <left style="thin">
        <color rgb="FF009F9E"/>
      </left>
      <right/>
      <top/>
      <bottom style="thin">
        <color rgb="FFD0CECE"/>
      </bottom>
      <diagonal/>
    </border>
    <border>
      <left style="thin">
        <color auto="1"/>
      </left>
      <right/>
      <top/>
      <bottom/>
      <diagonal/>
    </border>
    <border>
      <left style="thin">
        <color rgb="FFE7E6E6"/>
      </left>
      <right/>
      <top/>
      <bottom/>
      <diagonal/>
    </border>
    <border>
      <left style="thin">
        <color rgb="FF009F9E"/>
      </left>
      <right style="thin">
        <color rgb="FF009F9E"/>
      </right>
      <top style="thin">
        <color rgb="FF009F9E"/>
      </top>
      <bottom style="thin">
        <color rgb="FF009F9E"/>
      </bottom>
      <diagonal/>
    </border>
    <border>
      <left style="thin">
        <color rgb="FFE7E6E6"/>
      </left>
      <right style="thin">
        <color rgb="FFE7E6E6"/>
      </right>
      <top/>
      <bottom/>
      <diagonal/>
    </border>
    <border>
      <left style="thin">
        <color rgb="FFE7E6E6"/>
      </left>
      <right style="thin">
        <color rgb="FFE7E6E6"/>
      </right>
      <top/>
      <bottom style="thin">
        <color rgb="FFD0CECE"/>
      </bottom>
      <diagonal/>
    </border>
    <border>
      <left/>
      <right/>
      <top/>
      <bottom style="thin">
        <color rgb="FFD0CECE"/>
      </bottom>
      <diagonal/>
    </border>
    <border>
      <left style="thin">
        <color rgb="FF009F9E"/>
      </left>
      <right/>
      <top/>
      <bottom/>
      <diagonal/>
    </border>
    <border>
      <left style="thin">
        <color rgb="FF009F9E"/>
      </left>
      <right style="thin">
        <color rgb="FF009F9E"/>
      </right>
      <top style="thin">
        <color rgb="FF009F9E"/>
      </top>
      <bottom/>
      <diagonal/>
    </border>
    <border>
      <left style="thin">
        <color rgb="FF009F9E"/>
      </left>
      <right style="thin">
        <color rgb="FFE7E6E6"/>
      </right>
      <top style="thin">
        <color rgb="FF009F9E"/>
      </top>
      <bottom/>
      <diagonal/>
    </border>
    <border>
      <left style="thin">
        <color auto="1"/>
      </left>
      <right/>
      <top style="thin">
        <color rgb="FF009F9E"/>
      </top>
      <bottom/>
      <diagonal/>
    </border>
    <border>
      <left style="thin">
        <color rgb="FFE7E6E6"/>
      </left>
      <right/>
      <top style="thin">
        <color rgb="FF009F9E"/>
      </top>
      <bottom/>
      <diagonal/>
    </border>
    <border>
      <left style="thin">
        <color rgb="FFE7E6E6"/>
      </left>
      <right style="thin">
        <color rgb="FFE7E6E6"/>
      </right>
      <top style="thin">
        <color rgb="FF009F9E"/>
      </top>
      <bottom/>
      <diagonal/>
    </border>
    <border>
      <left style="thin">
        <color rgb="FFE7E6E6"/>
      </left>
      <right style="thin">
        <color rgb="FF009F9E"/>
      </right>
      <top style="thin">
        <color rgb="FF009F9E"/>
      </top>
      <bottom/>
      <diagonal/>
    </border>
    <border>
      <left style="thin">
        <color rgb="FF32CABA"/>
      </left>
      <right style="thin">
        <color rgb="FF32CABA"/>
      </right>
      <top style="thin">
        <color rgb="FF32CABA"/>
      </top>
      <bottom style="thin">
        <color rgb="FF32CABA"/>
      </bottom>
      <diagonal/>
    </border>
    <border>
      <left style="thin">
        <color rgb="FF009F9E"/>
      </left>
      <right/>
      <top style="thin">
        <color rgb="FF009F9E"/>
      </top>
      <bottom style="thin">
        <color rgb="FFD0CECE"/>
      </bottom>
      <diagonal/>
    </border>
    <border>
      <left/>
      <right/>
      <top style="thin">
        <color rgb="FF009F9E"/>
      </top>
      <bottom/>
      <diagonal/>
    </border>
    <border>
      <left style="thin">
        <color rgb="FFE7E6E6"/>
      </left>
      <right style="thin">
        <color rgb="FF009F9E"/>
      </right>
      <top style="thin">
        <color rgb="FF009F9E"/>
      </top>
      <bottom style="thin">
        <color rgb="FFD0CECE"/>
      </bottom>
      <diagonal/>
    </border>
    <border>
      <left/>
      <right style="thin">
        <color rgb="FF009F9E"/>
      </right>
      <top style="thin">
        <color rgb="FF009F9E"/>
      </top>
      <bottom style="thin">
        <color rgb="FF009F9E"/>
      </bottom>
      <diagonal/>
    </border>
    <border>
      <left style="thin">
        <color rgb="FF000000"/>
      </left>
      <right style="thin">
        <color rgb="FFFFFFFF"/>
      </right>
      <top style="thin">
        <color rgb="FF000000"/>
      </top>
      <bottom style="thin">
        <color rgb="FFFFFFFF"/>
      </bottom>
      <diagonal/>
    </border>
    <border>
      <left style="thin">
        <color auto="1"/>
      </left>
      <right style="thin">
        <color rgb="FFFFFFFF"/>
      </right>
      <top style="thin">
        <color rgb="FF000000"/>
      </top>
      <bottom style="thin">
        <color rgb="FFFFFFFF"/>
      </bottom>
      <diagonal/>
    </border>
    <border>
      <left style="thin">
        <color rgb="FFFFFFFF"/>
      </left>
      <right style="thin">
        <color rgb="FFFFFFFF"/>
      </right>
      <top style="thin">
        <color rgb="FF000000"/>
      </top>
      <bottom style="thin">
        <color rgb="FFFFFFFF"/>
      </bottom>
      <diagonal/>
    </border>
    <border>
      <left style="thin">
        <color rgb="FF000000"/>
      </left>
      <right style="thin">
        <color rgb="FFFFFFFF"/>
      </right>
      <top style="thin">
        <color rgb="FFFFFFFF"/>
      </top>
      <bottom style="thin">
        <color rgb="FFFFFFFF"/>
      </bottom>
      <diagonal/>
    </border>
    <border>
      <left style="thin">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000000"/>
      </left>
      <right style="thin">
        <color rgb="FFFFFFFF"/>
      </right>
      <top style="thin">
        <color rgb="FFFFFFFF"/>
      </top>
      <bottom/>
      <diagonal/>
    </border>
    <border>
      <left style="thin">
        <color auto="1"/>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thin">
        <color rgb="FFFFFFFF"/>
      </left>
      <right/>
      <top style="thin">
        <color rgb="FFFFFFFF"/>
      </top>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FFFFFF"/>
      </left>
      <right style="thin">
        <color rgb="FF000000"/>
      </right>
      <top style="thin">
        <color rgb="FF000000"/>
      </top>
      <bottom style="thin">
        <color rgb="FFFFFFFF"/>
      </bottom>
      <diagonal/>
    </border>
    <border>
      <left style="thin">
        <color rgb="FFFFFFFF"/>
      </left>
      <right style="thin">
        <color rgb="FF000000"/>
      </right>
      <top style="thin">
        <color rgb="FFFFFFFF"/>
      </top>
      <bottom style="thin">
        <color rgb="FFFFFFFF"/>
      </bottom>
      <diagonal/>
    </border>
    <border>
      <left style="thin">
        <color rgb="FFFFFFFF"/>
      </left>
      <right style="thin">
        <color rgb="FF000000"/>
      </right>
      <top style="thin">
        <color rgb="FFFFFFFF"/>
      </top>
      <bottom/>
      <diagonal/>
    </border>
    <border>
      <left/>
      <right style="thin">
        <color rgb="FF000000"/>
      </right>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9F9E"/>
      </left>
      <right/>
      <top style="thin">
        <color rgb="FF009F9E"/>
      </top>
      <bottom style="thin">
        <color rgb="FF009F9E"/>
      </bottom>
      <diagonal/>
    </border>
    <border>
      <left style="thin">
        <color auto="1"/>
      </left>
      <right/>
      <top style="thin">
        <color rgb="FF009F9E"/>
      </top>
      <bottom style="thin">
        <color rgb="FF009F9E"/>
      </bottom>
      <diagonal/>
    </border>
    <border>
      <left style="thin">
        <color rgb="FFE7E6E6"/>
      </left>
      <right/>
      <top style="thin">
        <color rgb="FF009F9E"/>
      </top>
      <bottom style="thin">
        <color rgb="FF009F9E"/>
      </bottom>
      <diagonal/>
    </border>
    <border>
      <left style="thin">
        <color rgb="FFE7E6E6"/>
      </left>
      <right style="thin">
        <color rgb="FFE7E6E6"/>
      </right>
      <top style="thin">
        <color rgb="FF009F9E"/>
      </top>
      <bottom style="thin">
        <color rgb="FF009F9E"/>
      </bottom>
      <diagonal/>
    </border>
    <border>
      <left/>
      <right style="thin">
        <color rgb="FFE7E6E6"/>
      </right>
      <top style="thin">
        <color rgb="FF009F9E"/>
      </top>
      <bottom style="thin">
        <color rgb="FF009F9E"/>
      </bottom>
      <diagonal/>
    </border>
    <border>
      <left/>
      <right/>
      <top style="thin">
        <color rgb="FF009F9E"/>
      </top>
      <bottom style="thin">
        <color rgb="FF009F9E"/>
      </bottom>
      <diagonal/>
    </border>
    <border>
      <left style="thin">
        <color rgb="FF009F9E"/>
      </left>
      <right style="thin">
        <color rgb="FF009F9E"/>
      </right>
      <top/>
      <bottom style="thin">
        <color rgb="FF009F9E"/>
      </bottom>
      <diagonal/>
    </border>
    <border>
      <left style="thin">
        <color theme="0"/>
      </left>
      <right style="thin">
        <color theme="0"/>
      </right>
      <top style="thin">
        <color auto="1"/>
      </top>
      <bottom style="thin">
        <color theme="0"/>
      </bottom>
      <diagonal/>
    </border>
    <border>
      <left style="thin">
        <color auto="1"/>
      </left>
      <right/>
      <top/>
      <bottom style="thin">
        <color rgb="FFFFFFFF"/>
      </bottom>
      <diagonal/>
    </border>
    <border>
      <left style="thin">
        <color rgb="FFFFFFFF"/>
      </left>
      <right/>
      <top/>
      <bottom style="thin">
        <color rgb="FFFFFFFF"/>
      </bottom>
      <diagonal/>
    </border>
    <border>
      <left style="thin">
        <color rgb="FF000000"/>
      </left>
      <right style="thin">
        <color rgb="FFFFFFFF"/>
      </right>
      <top/>
      <bottom/>
      <diagonal/>
    </border>
    <border>
      <left style="thin">
        <color rgb="FF000000"/>
      </left>
      <right/>
      <top style="thin">
        <color rgb="FFFFFFFF"/>
      </top>
      <bottom/>
      <diagonal/>
    </border>
    <border>
      <left/>
      <right/>
      <top/>
      <bottom style="thin">
        <color rgb="FFFFFFFF"/>
      </bottom>
      <diagonal/>
    </border>
    <border>
      <left style="thin">
        <color rgb="FFFFFFFF"/>
      </left>
      <right style="thin">
        <color rgb="FF000000"/>
      </right>
      <top/>
      <bottom/>
      <diagonal/>
    </border>
    <border>
      <left style="thin">
        <color rgb="FFFFFFFF"/>
      </left>
      <right/>
      <top/>
      <bottom/>
      <diagonal/>
    </border>
    <border>
      <left/>
      <right/>
      <top style="thin">
        <color rgb="FFFFFFFF"/>
      </top>
      <bottom/>
      <diagonal/>
    </border>
    <border>
      <left/>
      <right style="thin">
        <color rgb="FF000000"/>
      </right>
      <top style="thin">
        <color rgb="FFFFFFFF"/>
      </top>
      <bottom/>
      <diagonal/>
    </border>
    <border>
      <left style="thin">
        <color rgb="FF000000"/>
      </left>
      <right/>
      <top style="thin">
        <color rgb="FFFFFFFF"/>
      </top>
      <bottom style="thin">
        <color rgb="FFFFFFFF"/>
      </bottom>
      <diagonal/>
    </border>
    <border>
      <left style="thin">
        <color rgb="FF000000"/>
      </left>
      <right/>
      <top/>
      <bottom style="thin">
        <color rgb="FFFFFFFF"/>
      </bottom>
      <diagonal/>
    </border>
    <border>
      <left style="thin">
        <color rgb="FF000000"/>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style="thin">
        <color rgb="FFFFFFFF"/>
      </right>
      <top/>
      <bottom/>
      <diagonal/>
    </border>
    <border>
      <left/>
      <right style="thin">
        <color rgb="FF000000"/>
      </right>
      <top/>
      <bottom style="thin">
        <color rgb="FFFFFFFF"/>
      </bottom>
      <diagonal/>
    </border>
    <border>
      <left style="thin">
        <color rgb="FFFFFFFF"/>
      </left>
      <right style="thin">
        <color rgb="FF000000"/>
      </right>
      <top/>
      <bottom style="thin">
        <color rgb="FFFFFFFF"/>
      </bottom>
      <diagonal/>
    </border>
    <border>
      <left/>
      <right style="thin">
        <color rgb="FF000000"/>
      </right>
      <top style="thin">
        <color rgb="FFFFFFFF"/>
      </top>
      <bottom style="thin">
        <color rgb="FFFFFFFF"/>
      </bottom>
      <diagonal/>
    </border>
    <border>
      <left/>
      <right style="thin">
        <color rgb="FFFFFFFF"/>
      </right>
      <top style="thin">
        <color rgb="FFFFFFFF"/>
      </top>
      <bottom style="thin">
        <color rgb="FFFFFFFF"/>
      </bottom>
      <diagonal/>
    </border>
    <border>
      <left/>
      <right style="thin">
        <color rgb="FFFFFFFF"/>
      </right>
      <top style="thin">
        <color rgb="FFFFFFFF"/>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style="thin">
        <color auto="1"/>
      </left>
      <right style="thin">
        <color rgb="FF000000"/>
      </right>
      <top style="thin">
        <color auto="1"/>
      </top>
      <bottom/>
      <diagonal/>
    </border>
    <border>
      <left style="thin">
        <color rgb="FF000000"/>
      </left>
      <right style="thin">
        <color rgb="FF000000"/>
      </right>
      <top style="thin">
        <color auto="1"/>
      </top>
      <bottom/>
      <diagonal/>
    </border>
    <border>
      <left style="thin">
        <color rgb="FF000000"/>
      </left>
      <right/>
      <top style="thin">
        <color auto="1"/>
      </top>
      <bottom/>
      <diagonal/>
    </border>
    <border>
      <left style="thin">
        <color auto="1"/>
      </left>
      <right style="thin">
        <color rgb="FF000000"/>
      </right>
      <top/>
      <bottom style="thin">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595959"/>
      </top>
      <bottom/>
      <diagonal/>
    </border>
    <border>
      <left style="thin">
        <color rgb="FF000000"/>
      </left>
      <right style="thin">
        <color rgb="FF000000"/>
      </right>
      <top/>
      <bottom style="thin">
        <color auto="1"/>
      </bottom>
      <diagonal/>
    </border>
    <border>
      <left style="thin">
        <color rgb="FF000000"/>
      </left>
      <right/>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rgb="FF000000"/>
      </left>
      <right/>
      <top style="thin">
        <color auto="1"/>
      </top>
      <bottom style="thin">
        <color rgb="FF000000"/>
      </bottom>
      <diagonal/>
    </border>
    <border>
      <left/>
      <right style="thin">
        <color rgb="FF000000"/>
      </right>
      <top style="thin">
        <color auto="1"/>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rgb="FF000000"/>
      </top>
      <bottom/>
      <diagonal/>
    </border>
    <border>
      <left style="thin">
        <color rgb="FF000000"/>
      </left>
      <right style="thin">
        <color auto="1"/>
      </right>
      <top style="thin">
        <color rgb="FF595959"/>
      </top>
      <bottom/>
      <diagonal/>
    </border>
    <border>
      <left style="thin">
        <color rgb="FF000000"/>
      </left>
      <right style="thin">
        <color auto="1"/>
      </right>
      <top/>
      <bottom/>
      <diagonal/>
    </border>
    <border>
      <left/>
      <right style="thin">
        <color auto="1"/>
      </right>
      <top style="thin">
        <color rgb="FF000000"/>
      </top>
      <bottom style="thin">
        <color rgb="FF000000"/>
      </bottom>
      <diagonal/>
    </border>
    <border>
      <left style="thin">
        <color rgb="FF000000"/>
      </left>
      <right style="thin">
        <color rgb="FF000000"/>
      </right>
      <top style="thin">
        <color rgb="FF000000"/>
      </top>
      <bottom style="thin">
        <color auto="1"/>
      </bottom>
      <diagonal/>
    </border>
    <border>
      <left/>
      <right style="thin">
        <color auto="1"/>
      </right>
      <top style="thin">
        <color rgb="FF000000"/>
      </top>
      <bottom style="thin">
        <color auto="1"/>
      </bottom>
      <diagonal/>
    </border>
    <border>
      <left/>
      <right style="thin">
        <color auto="1"/>
      </right>
      <top style="thin">
        <color rgb="FF000000"/>
      </top>
      <bottom/>
      <diagonal/>
    </border>
    <border>
      <left style="thin">
        <color auto="1"/>
      </left>
      <right style="thin">
        <color rgb="FF000000"/>
      </right>
      <top/>
      <bottom style="thin">
        <color auto="1"/>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style="thin">
        <color auto="1"/>
      </left>
      <right style="thin">
        <color rgb="FF000000"/>
      </right>
      <top/>
      <bottom/>
      <diagonal/>
    </border>
    <border>
      <left style="thin">
        <color auto="1"/>
      </left>
      <right style="thin">
        <color auto="1"/>
      </right>
      <top style="thin">
        <color auto="1"/>
      </top>
      <bottom style="thin">
        <color rgb="FF000000"/>
      </bottom>
      <diagonal/>
    </border>
    <border>
      <left/>
      <right style="thin">
        <color auto="1"/>
      </right>
      <top style="thin">
        <color auto="1"/>
      </top>
      <bottom style="thin">
        <color auto="1"/>
      </bottom>
      <diagonal/>
    </border>
    <border>
      <left style="thin">
        <color rgb="FF000000"/>
      </left>
      <right style="thin">
        <color rgb="FF000000"/>
      </right>
      <top style="thin">
        <color auto="1"/>
      </top>
      <bottom style="thin">
        <color rgb="FF000000"/>
      </bottom>
      <diagonal/>
    </border>
    <border>
      <left style="thin">
        <color rgb="FF000000"/>
      </left>
      <right/>
      <top style="thin">
        <color rgb="FF000000"/>
      </top>
      <bottom style="thin">
        <color rgb="FF000000"/>
      </bottom>
      <diagonal/>
    </border>
    <border>
      <left style="thin">
        <color auto="1"/>
      </left>
      <right style="thin">
        <color theme="0"/>
      </right>
      <top style="thin">
        <color auto="1"/>
      </top>
      <bottom style="thin">
        <color theme="0"/>
      </bottom>
      <diagonal/>
    </border>
    <border>
      <left style="thin">
        <color auto="1"/>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auto="1"/>
      </left>
      <right style="thin">
        <color theme="0"/>
      </right>
      <top style="thin">
        <color theme="0"/>
      </top>
      <bottom/>
      <diagonal/>
    </border>
    <border>
      <left style="thin">
        <color theme="0"/>
      </left>
      <right style="thin">
        <color theme="0"/>
      </right>
      <top style="thin">
        <color theme="0"/>
      </top>
      <bottom style="thin">
        <color theme="0"/>
      </bottom>
      <diagonal/>
    </border>
    <border>
      <left style="thin">
        <color auto="1"/>
      </left>
      <right style="thin">
        <color theme="0"/>
      </right>
      <top/>
      <bottom/>
      <diagonal/>
    </border>
    <border>
      <left style="thin">
        <color auto="1"/>
      </left>
      <right style="thin">
        <color theme="0"/>
      </right>
      <top/>
      <bottom style="thin">
        <color theme="0"/>
      </bottom>
      <diagonal/>
    </border>
    <border>
      <left style="thin">
        <color theme="0"/>
      </left>
      <right/>
      <top style="thin">
        <color theme="0"/>
      </top>
      <bottom style="thin">
        <color theme="0"/>
      </bottom>
      <diagonal/>
    </border>
    <border>
      <left style="thin">
        <color theme="0"/>
      </left>
      <right style="thin">
        <color auto="1"/>
      </right>
      <top style="thin">
        <color auto="1"/>
      </top>
      <bottom style="thin">
        <color theme="0"/>
      </bottom>
      <diagonal/>
    </border>
    <border>
      <left style="thin">
        <color theme="0"/>
      </left>
      <right style="thin">
        <color auto="1"/>
      </right>
      <top style="thin">
        <color theme="0"/>
      </top>
      <bottom style="thin">
        <color theme="0"/>
      </bottom>
      <diagonal/>
    </border>
    <border>
      <left style="thin">
        <color theme="0"/>
      </left>
      <right style="thin">
        <color auto="1"/>
      </right>
      <top style="thin">
        <color theme="0"/>
      </top>
      <bottom/>
      <diagonal/>
    </border>
    <border>
      <left style="thin">
        <color theme="0"/>
      </left>
      <right style="thin">
        <color theme="0"/>
      </right>
      <top/>
      <bottom/>
      <diagonal/>
    </border>
    <border>
      <left style="thin">
        <color theme="0"/>
      </left>
      <right style="thin">
        <color auto="1"/>
      </right>
      <top/>
      <bottom/>
      <diagonal/>
    </border>
    <border>
      <left style="thin">
        <color theme="0"/>
      </left>
      <right style="thin">
        <color theme="0"/>
      </right>
      <top/>
      <bottom style="thin">
        <color theme="0"/>
      </bottom>
      <diagonal/>
    </border>
    <border>
      <left style="thin">
        <color theme="0"/>
      </left>
      <right style="thin">
        <color auto="1"/>
      </right>
      <top/>
      <bottom style="thin">
        <color theme="0"/>
      </bottom>
      <diagonal/>
    </border>
    <border>
      <left style="thin">
        <color theme="0"/>
      </left>
      <right/>
      <top/>
      <bottom style="thin">
        <color rgb="FFFFFFFF"/>
      </bottom>
      <diagonal/>
    </border>
    <border>
      <left/>
      <right style="thin">
        <color auto="1"/>
      </right>
      <top/>
      <bottom style="thin">
        <color theme="0"/>
      </bottom>
      <diagonal/>
    </border>
    <border>
      <left style="thin">
        <color theme="0"/>
      </left>
      <right/>
      <top style="thin">
        <color rgb="FFFFFFFF"/>
      </top>
      <bottom/>
      <diagonal/>
    </border>
    <border>
      <left/>
      <right style="thin">
        <color auto="1"/>
      </right>
      <top style="thin">
        <color theme="0"/>
      </top>
      <bottom/>
      <diagonal/>
    </border>
    <border>
      <left style="thin">
        <color theme="0"/>
      </left>
      <right/>
      <top/>
      <bottom/>
      <diagonal/>
    </border>
    <border>
      <left style="thin">
        <color theme="0"/>
      </left>
      <right/>
      <top style="thin">
        <color theme="0"/>
      </top>
      <bottom/>
      <diagonal/>
    </border>
    <border>
      <left/>
      <right style="thin">
        <color theme="0"/>
      </right>
      <top/>
      <bottom/>
      <diagonal/>
    </border>
    <border>
      <left/>
      <right style="thin">
        <color theme="0"/>
      </right>
      <top/>
      <bottom style="thin">
        <color theme="0"/>
      </bottom>
      <diagonal/>
    </border>
    <border>
      <left style="thin">
        <color theme="0"/>
      </left>
      <right style="thin">
        <color rgb="FFFFFFFF"/>
      </right>
      <top style="thin">
        <color rgb="FFFFFFFF"/>
      </top>
      <bottom style="thin">
        <color theme="0"/>
      </bottom>
      <diagonal/>
    </border>
    <border>
      <left style="thin">
        <color theme="0"/>
      </left>
      <right style="thin">
        <color theme="0"/>
      </right>
      <top style="thin">
        <color rgb="FFFFFFFF"/>
      </top>
      <bottom/>
      <diagonal/>
    </border>
    <border>
      <left style="thin">
        <color theme="0"/>
      </left>
      <right/>
      <top/>
      <bottom style="thin">
        <color theme="0"/>
      </bottom>
      <diagonal/>
    </border>
    <border>
      <left/>
      <right style="thin">
        <color theme="0"/>
      </right>
      <top style="thin">
        <color theme="0"/>
      </top>
      <bottom style="thin">
        <color theme="0"/>
      </bottom>
      <diagonal/>
    </border>
    <border>
      <left style="thin">
        <color auto="1"/>
      </left>
      <right/>
      <top style="thin">
        <color theme="0"/>
      </top>
      <bottom/>
      <diagonal/>
    </border>
    <border>
      <left style="thin">
        <color rgb="FFFFFFFF"/>
      </left>
      <right style="thin">
        <color rgb="FFFFFFFF"/>
      </right>
      <top style="thin">
        <color theme="0"/>
      </top>
      <bottom style="thin">
        <color rgb="FFFFFFFF"/>
      </bottom>
      <diagonal/>
    </border>
    <border>
      <left/>
      <right style="thin">
        <color rgb="FFFFFFFF"/>
      </right>
      <top/>
      <bottom style="thin">
        <color rgb="FFFFFFFF"/>
      </bottom>
      <diagonal/>
    </border>
    <border>
      <left/>
      <right style="thin">
        <color rgb="FFFFFFFF"/>
      </right>
      <top/>
      <bottom/>
      <diagonal/>
    </border>
    <border>
      <left style="medium">
        <color rgb="FFCCCCCC"/>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s>
  <cellStyleXfs count="61">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0" fillId="0" borderId="0" applyNumberFormat="0" applyFill="0" applyBorder="0" applyAlignment="0" applyProtection="0">
      <alignment vertical="center"/>
    </xf>
    <xf numFmtId="0" fontId="101" fillId="0" borderId="0" applyNumberFormat="0" applyFill="0" applyBorder="0" applyAlignment="0" applyProtection="0">
      <alignment vertical="center"/>
    </xf>
    <xf numFmtId="0" fontId="0" fillId="31" borderId="152" applyNumberFormat="0" applyFont="0" applyAlignment="0" applyProtection="0">
      <alignment vertical="center"/>
    </xf>
    <xf numFmtId="0" fontId="102" fillId="0" borderId="0" applyNumberFormat="0" applyFill="0" applyBorder="0" applyAlignment="0" applyProtection="0">
      <alignment vertical="center"/>
    </xf>
    <xf numFmtId="0" fontId="103" fillId="0" borderId="0" applyNumberFormat="0" applyFill="0" applyBorder="0" applyAlignment="0" applyProtection="0">
      <alignment vertical="center"/>
    </xf>
    <xf numFmtId="0" fontId="104" fillId="0" borderId="0" applyNumberFormat="0" applyFill="0" applyBorder="0" applyAlignment="0" applyProtection="0">
      <alignment vertical="center"/>
    </xf>
    <xf numFmtId="0" fontId="105" fillId="0" borderId="153" applyNumberFormat="0" applyFill="0" applyAlignment="0" applyProtection="0">
      <alignment vertical="center"/>
    </xf>
    <xf numFmtId="0" fontId="106" fillId="0" borderId="153" applyNumberFormat="0" applyFill="0" applyAlignment="0" applyProtection="0">
      <alignment vertical="center"/>
    </xf>
    <xf numFmtId="0" fontId="107" fillId="0" borderId="154" applyNumberFormat="0" applyFill="0" applyAlignment="0" applyProtection="0">
      <alignment vertical="center"/>
    </xf>
    <xf numFmtId="0" fontId="107" fillId="0" borderId="0" applyNumberFormat="0" applyFill="0" applyBorder="0" applyAlignment="0" applyProtection="0">
      <alignment vertical="center"/>
    </xf>
    <xf numFmtId="0" fontId="108" fillId="32" borderId="155" applyNumberFormat="0" applyAlignment="0" applyProtection="0">
      <alignment vertical="center"/>
    </xf>
    <xf numFmtId="0" fontId="109" fillId="33" borderId="156" applyNumberFormat="0" applyAlignment="0" applyProtection="0">
      <alignment vertical="center"/>
    </xf>
    <xf numFmtId="0" fontId="110" fillId="33" borderId="155" applyNumberFormat="0" applyAlignment="0" applyProtection="0">
      <alignment vertical="center"/>
    </xf>
    <xf numFmtId="0" fontId="111" fillId="34" borderId="157" applyNumberFormat="0" applyAlignment="0" applyProtection="0">
      <alignment vertical="center"/>
    </xf>
    <xf numFmtId="0" fontId="112" fillId="0" borderId="158" applyNumberFormat="0" applyFill="0" applyAlignment="0" applyProtection="0">
      <alignment vertical="center"/>
    </xf>
    <xf numFmtId="0" fontId="113" fillId="0" borderId="159" applyNumberFormat="0" applyFill="0" applyAlignment="0" applyProtection="0">
      <alignment vertical="center"/>
    </xf>
    <xf numFmtId="0" fontId="114" fillId="35" borderId="0" applyNumberFormat="0" applyBorder="0" applyAlignment="0" applyProtection="0">
      <alignment vertical="center"/>
    </xf>
    <xf numFmtId="0" fontId="115" fillId="36" borderId="0" applyNumberFormat="0" applyBorder="0" applyAlignment="0" applyProtection="0">
      <alignment vertical="center"/>
    </xf>
    <xf numFmtId="0" fontId="116" fillId="37" borderId="0" applyNumberFormat="0" applyBorder="0" applyAlignment="0" applyProtection="0">
      <alignment vertical="center"/>
    </xf>
    <xf numFmtId="0" fontId="117" fillId="38" borderId="0" applyNumberFormat="0" applyBorder="0" applyAlignment="0" applyProtection="0">
      <alignment vertical="center"/>
    </xf>
    <xf numFmtId="0" fontId="118" fillId="14" borderId="0" applyNumberFormat="0" applyBorder="0" applyAlignment="0" applyProtection="0">
      <alignment vertical="center"/>
    </xf>
    <xf numFmtId="0" fontId="118" fillId="39" borderId="0" applyNumberFormat="0" applyBorder="0" applyAlignment="0" applyProtection="0">
      <alignment vertical="center"/>
    </xf>
    <xf numFmtId="0" fontId="117" fillId="40" borderId="0" applyNumberFormat="0" applyBorder="0" applyAlignment="0" applyProtection="0">
      <alignment vertical="center"/>
    </xf>
    <xf numFmtId="0" fontId="117" fillId="41" borderId="0" applyNumberFormat="0" applyBorder="0" applyAlignment="0" applyProtection="0">
      <alignment vertical="center"/>
    </xf>
    <xf numFmtId="0" fontId="118" fillId="42" borderId="0" applyNumberFormat="0" applyBorder="0" applyAlignment="0" applyProtection="0">
      <alignment vertical="center"/>
    </xf>
    <xf numFmtId="0" fontId="118" fillId="43" borderId="0" applyNumberFormat="0" applyBorder="0" applyAlignment="0" applyProtection="0">
      <alignment vertical="center"/>
    </xf>
    <xf numFmtId="0" fontId="117" fillId="44" borderId="0" applyNumberFormat="0" applyBorder="0" applyAlignment="0" applyProtection="0">
      <alignment vertical="center"/>
    </xf>
    <xf numFmtId="0" fontId="117" fillId="45" borderId="0" applyNumberFormat="0" applyBorder="0" applyAlignment="0" applyProtection="0">
      <alignment vertical="center"/>
    </xf>
    <xf numFmtId="0" fontId="118" fillId="46" borderId="0" applyNumberFormat="0" applyBorder="0" applyAlignment="0" applyProtection="0">
      <alignment vertical="center"/>
    </xf>
    <xf numFmtId="0" fontId="118" fillId="47" borderId="0" applyNumberFormat="0" applyBorder="0" applyAlignment="0" applyProtection="0">
      <alignment vertical="center"/>
    </xf>
    <xf numFmtId="0" fontId="117" fillId="48" borderId="0" applyNumberFormat="0" applyBorder="0" applyAlignment="0" applyProtection="0">
      <alignment vertical="center"/>
    </xf>
    <xf numFmtId="0" fontId="117" fillId="49" borderId="0" applyNumberFormat="0" applyBorder="0" applyAlignment="0" applyProtection="0">
      <alignment vertical="center"/>
    </xf>
    <xf numFmtId="0" fontId="118" fillId="50" borderId="0" applyNumberFormat="0" applyBorder="0" applyAlignment="0" applyProtection="0">
      <alignment vertical="center"/>
    </xf>
    <xf numFmtId="0" fontId="118" fillId="51" borderId="0" applyNumberFormat="0" applyBorder="0" applyAlignment="0" applyProtection="0">
      <alignment vertical="center"/>
    </xf>
    <xf numFmtId="0" fontId="117" fillId="52" borderId="0" applyNumberFormat="0" applyBorder="0" applyAlignment="0" applyProtection="0">
      <alignment vertical="center"/>
    </xf>
    <xf numFmtId="0" fontId="117" fillId="53" borderId="0" applyNumberFormat="0" applyBorder="0" applyAlignment="0" applyProtection="0">
      <alignment vertical="center"/>
    </xf>
    <xf numFmtId="0" fontId="118" fillId="54" borderId="0" applyNumberFormat="0" applyBorder="0" applyAlignment="0" applyProtection="0">
      <alignment vertical="center"/>
    </xf>
    <xf numFmtId="0" fontId="118" fillId="55" borderId="0" applyNumberFormat="0" applyBorder="0" applyAlignment="0" applyProtection="0">
      <alignment vertical="center"/>
    </xf>
    <xf numFmtId="0" fontId="117" fillId="56" borderId="0" applyNumberFormat="0" applyBorder="0" applyAlignment="0" applyProtection="0">
      <alignment vertical="center"/>
    </xf>
    <xf numFmtId="0" fontId="117" fillId="57" borderId="0" applyNumberFormat="0" applyBorder="0" applyAlignment="0" applyProtection="0">
      <alignment vertical="center"/>
    </xf>
    <xf numFmtId="0" fontId="118" fillId="58" borderId="0" applyNumberFormat="0" applyBorder="0" applyAlignment="0" applyProtection="0">
      <alignment vertical="center"/>
    </xf>
    <xf numFmtId="0" fontId="118" fillId="59" borderId="0" applyNumberFormat="0" applyBorder="0" applyAlignment="0" applyProtection="0">
      <alignment vertical="center"/>
    </xf>
    <xf numFmtId="0" fontId="117" fillId="60" borderId="0" applyNumberFormat="0" applyBorder="0" applyAlignment="0" applyProtection="0">
      <alignment vertical="center"/>
    </xf>
    <xf numFmtId="0" fontId="119" fillId="0" borderId="0">
      <alignment vertical="center"/>
    </xf>
    <xf numFmtId="0" fontId="120" fillId="0" borderId="0">
      <alignment vertical="center"/>
    </xf>
    <xf numFmtId="0" fontId="121" fillId="61" borderId="160" applyNumberFormat="0" applyAlignment="0" applyProtection="0">
      <alignment vertical="center"/>
    </xf>
    <xf numFmtId="0" fontId="122" fillId="0" borderId="0">
      <alignment vertical="center"/>
    </xf>
    <xf numFmtId="0" fontId="123" fillId="0" borderId="0">
      <alignment vertical="center"/>
    </xf>
    <xf numFmtId="0" fontId="120" fillId="0" borderId="0" applyNumberFormat="0" applyFill="0" applyBorder="0" applyAlignment="0" applyProtection="0">
      <alignment vertical="center"/>
    </xf>
    <xf numFmtId="0" fontId="124" fillId="0" borderId="0">
      <alignment vertical="center"/>
    </xf>
    <xf numFmtId="0" fontId="124" fillId="0" borderId="0">
      <alignment vertical="center"/>
    </xf>
    <xf numFmtId="176" fontId="125" fillId="0" borderId="0">
      <alignment vertical="center"/>
    </xf>
    <xf numFmtId="0" fontId="126" fillId="0" borderId="0" applyBorder="0">
      <alignment vertical="center"/>
    </xf>
    <xf numFmtId="0" fontId="127" fillId="0" borderId="0">
      <alignment vertical="center"/>
    </xf>
    <xf numFmtId="0" fontId="0" fillId="0" borderId="0"/>
  </cellStyleXfs>
  <cellXfs count="980">
    <xf numFmtId="0" fontId="0" fillId="0" borderId="0" xfId="0">
      <alignment vertical="center"/>
    </xf>
    <xf numFmtId="0" fontId="1" fillId="0" borderId="0" xfId="0" applyFont="1">
      <alignment vertical="center"/>
    </xf>
    <xf numFmtId="0" fontId="0" fillId="0" borderId="0" xfId="0" applyNumberFormat="1">
      <alignment vertical="center"/>
    </xf>
    <xf numFmtId="58" fontId="0" fillId="0" borderId="0" xfId="0" applyNumberFormat="1">
      <alignment vertical="center"/>
    </xf>
    <xf numFmtId="0" fontId="0" fillId="0" borderId="0" xfId="0" applyAlignment="1">
      <alignment vertical="center" wrapText="1"/>
    </xf>
    <xf numFmtId="177" fontId="2" fillId="0" borderId="0" xfId="0" applyNumberFormat="1" applyFont="1" applyAlignment="1">
      <alignment vertical="center" wrapText="1"/>
    </xf>
    <xf numFmtId="177" fontId="2" fillId="0" borderId="0" xfId="0" applyNumberFormat="1" applyFont="1" applyAlignment="1">
      <alignment horizontal="center" vertical="center" wrapText="1"/>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4" fillId="0" borderId="4" xfId="0" applyFont="1" applyBorder="1" applyAlignment="1">
      <alignment horizontal="center" vertical="center"/>
    </xf>
    <xf numFmtId="0" fontId="4" fillId="0" borderId="4" xfId="0" applyNumberFormat="1" applyFont="1" applyBorder="1" applyAlignment="1">
      <alignment horizontal="center" vertical="center"/>
    </xf>
    <xf numFmtId="177" fontId="5" fillId="0" borderId="0" xfId="0" applyNumberFormat="1" applyFont="1" applyAlignment="1">
      <alignment horizontal="left" wrapText="1"/>
    </xf>
    <xf numFmtId="177" fontId="6" fillId="0" borderId="0" xfId="6" applyNumberFormat="1" applyFont="1" applyAlignment="1">
      <alignment horizontal="center" wrapText="1"/>
    </xf>
    <xf numFmtId="0" fontId="3" fillId="2" borderId="5" xfId="0" applyFont="1" applyFill="1" applyBorder="1" applyAlignment="1">
      <alignment horizontal="center" vertical="center"/>
    </xf>
    <xf numFmtId="0" fontId="3" fillId="2" borderId="0" xfId="0" applyFont="1" applyFill="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4" fillId="0" borderId="8" xfId="0" applyFont="1" applyBorder="1" applyAlignment="1">
      <alignment horizontal="center" vertical="center"/>
    </xf>
    <xf numFmtId="0" fontId="7" fillId="0" borderId="4" xfId="0" applyFont="1" applyBorder="1" applyAlignment="1">
      <alignment horizontal="center" vertical="center"/>
    </xf>
    <xf numFmtId="0" fontId="4" fillId="0" borderId="9" xfId="0" applyFont="1" applyBorder="1" applyAlignment="1">
      <alignment horizontal="center" vertical="center" wrapText="1"/>
    </xf>
    <xf numFmtId="49" fontId="4" fillId="0" borderId="4" xfId="0" applyNumberFormat="1" applyFont="1" applyBorder="1" applyAlignment="1">
      <alignment horizontal="center" vertical="center"/>
    </xf>
    <xf numFmtId="0" fontId="4" fillId="0" borderId="0" xfId="0" applyFont="1" applyAlignment="1">
      <alignment horizontal="center" vertical="center"/>
    </xf>
    <xf numFmtId="0" fontId="4" fillId="0" borderId="4" xfId="0" applyFont="1" applyBorder="1" applyAlignment="1">
      <alignment horizontal="center" vertical="center" wrapText="1"/>
    </xf>
    <xf numFmtId="0" fontId="8" fillId="0" borderId="0" xfId="0" applyFont="1">
      <alignment vertical="center"/>
    </xf>
    <xf numFmtId="0" fontId="3" fillId="2" borderId="10" xfId="0" applyFont="1" applyFill="1" applyBorder="1" applyAlignment="1">
      <alignment horizontal="center" vertical="center"/>
    </xf>
    <xf numFmtId="0" fontId="3" fillId="2" borderId="11" xfId="0" applyFont="1" applyFill="1" applyBorder="1" applyAlignment="1">
      <alignment horizontal="center" vertical="center"/>
    </xf>
    <xf numFmtId="0" fontId="3" fillId="2" borderId="12" xfId="0" applyFont="1" applyFill="1" applyBorder="1" applyAlignment="1">
      <alignment horizontal="center" vertical="center"/>
    </xf>
    <xf numFmtId="177" fontId="5" fillId="0" borderId="0" xfId="0" applyNumberFormat="1" applyFont="1" applyAlignment="1">
      <alignment horizontal="center" wrapText="1"/>
    </xf>
    <xf numFmtId="177" fontId="6" fillId="0" borderId="0" xfId="6" applyNumberFormat="1" applyFont="1" applyAlignment="1">
      <alignment horizontal="left" wrapText="1"/>
    </xf>
    <xf numFmtId="0" fontId="3" fillId="2" borderId="13" xfId="0" applyFont="1" applyFill="1" applyBorder="1" applyAlignment="1">
      <alignment horizontal="center" vertical="center"/>
    </xf>
    <xf numFmtId="0" fontId="3" fillId="2" borderId="14" xfId="0" applyFont="1" applyFill="1" applyBorder="1" applyAlignment="1">
      <alignment horizontal="center" vertical="center"/>
    </xf>
    <xf numFmtId="0" fontId="4" fillId="0" borderId="0" xfId="0" applyFont="1">
      <alignment vertical="center"/>
    </xf>
    <xf numFmtId="0" fontId="6" fillId="0" borderId="0" xfId="6" applyFont="1">
      <alignment vertical="center"/>
    </xf>
    <xf numFmtId="0" fontId="7" fillId="0" borderId="0" xfId="0" applyFont="1" applyAlignment="1">
      <alignment horizontal="center" vertical="center"/>
    </xf>
    <xf numFmtId="0" fontId="4" fillId="0" borderId="15" xfId="0" applyFont="1" applyBorder="1" applyAlignment="1">
      <alignment horizontal="center" vertical="center"/>
    </xf>
    <xf numFmtId="0" fontId="9" fillId="0" borderId="0" xfId="0" applyFont="1" applyAlignment="1">
      <alignment horizontal="left" vertical="center"/>
    </xf>
    <xf numFmtId="0" fontId="3" fillId="2" borderId="16" xfId="0" applyFont="1" applyFill="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10" fillId="0" borderId="0" xfId="0" applyFont="1">
      <alignment vertical="center"/>
    </xf>
    <xf numFmtId="49" fontId="4" fillId="0" borderId="19" xfId="0" applyNumberFormat="1" applyFont="1" applyBorder="1" applyAlignment="1">
      <alignment horizontal="center" vertical="center"/>
    </xf>
    <xf numFmtId="0" fontId="11" fillId="0" borderId="0" xfId="0" applyFont="1">
      <alignment vertical="center"/>
    </xf>
    <xf numFmtId="178" fontId="10" fillId="0" borderId="4" xfId="0" applyNumberFormat="1" applyFont="1" applyBorder="1" applyAlignment="1">
      <alignment horizontal="center" vertical="center"/>
    </xf>
    <xf numFmtId="0" fontId="10" fillId="0" borderId="4" xfId="0" applyFont="1" applyBorder="1" applyAlignment="1">
      <alignment horizontal="center" vertical="center"/>
    </xf>
    <xf numFmtId="179" fontId="0" fillId="0" borderId="0" xfId="0" applyNumberFormat="1">
      <alignment vertical="center"/>
    </xf>
    <xf numFmtId="0" fontId="12" fillId="0" borderId="0" xfId="0" applyFont="1" applyAlignment="1">
      <alignment horizontal="center" vertical="center"/>
    </xf>
    <xf numFmtId="180" fontId="13" fillId="0" borderId="0" xfId="0" applyNumberFormat="1" applyFont="1" applyAlignment="1">
      <alignment horizontal="center" vertical="center"/>
    </xf>
    <xf numFmtId="179" fontId="13" fillId="0" borderId="0" xfId="0" applyNumberFormat="1" applyFont="1" applyAlignment="1">
      <alignment horizontal="center" vertical="center"/>
    </xf>
    <xf numFmtId="180" fontId="14" fillId="0" borderId="0" xfId="0" applyNumberFormat="1" applyFont="1">
      <alignment vertical="center"/>
    </xf>
    <xf numFmtId="0" fontId="15" fillId="0" borderId="0" xfId="0" applyFont="1" applyAlignment="1">
      <alignment horizontal="center" vertical="center"/>
    </xf>
    <xf numFmtId="0" fontId="3" fillId="3" borderId="20" xfId="0" applyFont="1" applyFill="1" applyBorder="1" applyAlignment="1">
      <alignment horizontal="center" vertical="center"/>
    </xf>
    <xf numFmtId="0" fontId="3" fillId="3" borderId="21" xfId="0" applyFont="1" applyFill="1" applyBorder="1" applyAlignment="1">
      <alignment horizontal="center" vertical="center"/>
    </xf>
    <xf numFmtId="180" fontId="3" fillId="3" borderId="22" xfId="0" applyNumberFormat="1" applyFont="1" applyFill="1" applyBorder="1" applyAlignment="1">
      <alignment horizontal="center" vertical="center" wrapText="1"/>
    </xf>
    <xf numFmtId="181" fontId="3" fillId="3" borderId="22" xfId="0" applyNumberFormat="1" applyFont="1" applyFill="1" applyBorder="1" applyAlignment="1">
      <alignment horizontal="center" vertical="center" wrapText="1"/>
    </xf>
    <xf numFmtId="179" fontId="3" fillId="3" borderId="22" xfId="0" applyNumberFormat="1" applyFont="1" applyFill="1" applyBorder="1" applyAlignment="1">
      <alignment horizontal="center" vertical="center" wrapText="1"/>
    </xf>
    <xf numFmtId="0" fontId="10" fillId="0" borderId="0" xfId="0" applyFont="1" applyAlignment="1">
      <alignment horizontal="center" vertical="center"/>
    </xf>
    <xf numFmtId="0" fontId="10" fillId="4" borderId="23" xfId="0" applyFont="1" applyFill="1" applyBorder="1" applyAlignment="1">
      <alignment horizontal="center" vertical="center" wrapText="1"/>
    </xf>
    <xf numFmtId="0" fontId="10" fillId="4" borderId="24" xfId="0" applyFont="1" applyFill="1" applyBorder="1" applyAlignment="1">
      <alignment horizontal="center" vertical="center" wrapText="1"/>
    </xf>
    <xf numFmtId="180" fontId="10" fillId="5" borderId="25" xfId="0" applyNumberFormat="1" applyFont="1" applyFill="1" applyBorder="1" applyAlignment="1">
      <alignment horizontal="center" vertical="center" wrapText="1"/>
    </xf>
    <xf numFmtId="178" fontId="10" fillId="4" borderId="25" xfId="0" applyNumberFormat="1" applyFont="1" applyFill="1" applyBorder="1" applyAlignment="1">
      <alignment horizontal="center" vertical="center" wrapText="1"/>
    </xf>
    <xf numFmtId="179" fontId="10" fillId="4" borderId="25" xfId="0" applyNumberFormat="1" applyFont="1" applyFill="1" applyBorder="1" applyAlignment="1">
      <alignment horizontal="center" vertical="center" wrapText="1"/>
    </xf>
    <xf numFmtId="0" fontId="10" fillId="4" borderId="26" xfId="0" applyFont="1" applyFill="1" applyBorder="1" applyAlignment="1">
      <alignment horizontal="center" vertical="center" wrapText="1"/>
    </xf>
    <xf numFmtId="0" fontId="10" fillId="4" borderId="27" xfId="0" applyFont="1" applyFill="1" applyBorder="1" applyAlignment="1">
      <alignment horizontal="center" vertical="center" wrapText="1"/>
    </xf>
    <xf numFmtId="179" fontId="10" fillId="4" borderId="28" xfId="0" applyNumberFormat="1" applyFont="1" applyFill="1" applyBorder="1" applyAlignment="1">
      <alignment horizontal="center" vertical="center" wrapText="1"/>
    </xf>
    <xf numFmtId="178" fontId="10" fillId="4" borderId="29" xfId="0" applyNumberFormat="1" applyFont="1" applyFill="1" applyBorder="1" applyAlignment="1">
      <alignment horizontal="center" vertical="center" wrapText="1"/>
    </xf>
    <xf numFmtId="179" fontId="10" fillId="4" borderId="30" xfId="0" applyNumberFormat="1" applyFont="1" applyFill="1" applyBorder="1" applyAlignment="1">
      <alignment horizontal="center" vertical="center" wrapText="1"/>
    </xf>
    <xf numFmtId="0" fontId="16" fillId="0" borderId="0" xfId="0" applyFont="1" applyAlignment="1">
      <alignment horizontal="center" vertical="center"/>
    </xf>
    <xf numFmtId="0" fontId="10" fillId="4" borderId="23" xfId="0" applyFont="1" applyFill="1" applyBorder="1" applyAlignment="1">
      <alignment horizontal="center" vertical="center"/>
    </xf>
    <xf numFmtId="0" fontId="10" fillId="4" borderId="24" xfId="0" applyFont="1" applyFill="1" applyBorder="1" applyAlignment="1">
      <alignment horizontal="center" vertical="center"/>
    </xf>
    <xf numFmtId="0" fontId="10" fillId="0" borderId="31" xfId="0" applyFont="1" applyBorder="1">
      <alignment vertical="center"/>
    </xf>
    <xf numFmtId="180" fontId="10" fillId="0" borderId="0" xfId="0" applyNumberFormat="1" applyFont="1" applyAlignment="1">
      <alignment horizontal="center" vertical="center"/>
    </xf>
    <xf numFmtId="179" fontId="10" fillId="0" borderId="0" xfId="0" applyNumberFormat="1" applyFont="1" applyAlignment="1">
      <alignment horizontal="center" vertical="center"/>
    </xf>
    <xf numFmtId="0" fontId="17" fillId="0" borderId="32" xfId="0" applyFont="1" applyBorder="1" applyAlignment="1">
      <alignment horizontal="left" vertical="center" wrapText="1"/>
    </xf>
    <xf numFmtId="179" fontId="17" fillId="0" borderId="32" xfId="0" applyNumberFormat="1" applyFont="1" applyBorder="1" applyAlignment="1">
      <alignment horizontal="left" vertical="center" wrapText="1"/>
    </xf>
    <xf numFmtId="0" fontId="3" fillId="3" borderId="33" xfId="0" applyFont="1" applyFill="1" applyBorder="1" applyAlignment="1">
      <alignment horizontal="center" vertical="center"/>
    </xf>
    <xf numFmtId="0" fontId="3" fillId="3" borderId="34" xfId="0" applyFont="1" applyFill="1" applyBorder="1" applyAlignment="1">
      <alignment horizontal="center" vertical="center"/>
    </xf>
    <xf numFmtId="180" fontId="18" fillId="0" borderId="34" xfId="0" applyNumberFormat="1" applyFont="1" applyBorder="1" applyAlignment="1">
      <alignment horizontal="left" vertical="center"/>
    </xf>
    <xf numFmtId="180" fontId="4" fillId="0" borderId="34" xfId="0" applyNumberFormat="1" applyFont="1" applyBorder="1" applyAlignment="1">
      <alignment horizontal="center" vertical="center"/>
    </xf>
    <xf numFmtId="179" fontId="4" fillId="0" borderId="34" xfId="0" applyNumberFormat="1" applyFont="1" applyBorder="1" applyAlignment="1">
      <alignment horizontal="center" vertical="center"/>
    </xf>
    <xf numFmtId="0" fontId="19" fillId="0" borderId="31" xfId="0" applyFont="1" applyBorder="1">
      <alignment vertical="center"/>
    </xf>
    <xf numFmtId="0" fontId="19" fillId="0" borderId="0" xfId="0" applyFont="1">
      <alignment vertical="center"/>
    </xf>
    <xf numFmtId="180" fontId="18" fillId="0" borderId="0" xfId="0" applyNumberFormat="1" applyFont="1" applyAlignment="1">
      <alignment horizontal="left" vertical="center"/>
    </xf>
    <xf numFmtId="180" fontId="4" fillId="0" borderId="0" xfId="0" applyNumberFormat="1" applyFont="1" applyAlignment="1">
      <alignment horizontal="center" vertical="center"/>
    </xf>
    <xf numFmtId="179" fontId="4" fillId="0" borderId="0" xfId="0" applyNumberFormat="1" applyFont="1" applyAlignment="1">
      <alignment horizontal="center" vertical="center"/>
    </xf>
    <xf numFmtId="0" fontId="10" fillId="0" borderId="32" xfId="0" applyFont="1" applyBorder="1" applyAlignment="1">
      <alignment horizontal="left" vertical="center"/>
    </xf>
    <xf numFmtId="179" fontId="10" fillId="0" borderId="32" xfId="0" applyNumberFormat="1" applyFont="1" applyBorder="1" applyAlignment="1">
      <alignment horizontal="left" vertical="center"/>
    </xf>
    <xf numFmtId="0" fontId="10" fillId="0" borderId="31" xfId="0" applyFont="1" applyBorder="1" applyAlignment="1">
      <alignment horizontal="left" vertical="center"/>
    </xf>
    <xf numFmtId="0" fontId="10" fillId="0" borderId="0" xfId="0" applyFont="1" applyAlignment="1">
      <alignment horizontal="left" vertical="center"/>
    </xf>
    <xf numFmtId="179" fontId="10" fillId="0" borderId="0" xfId="0" applyNumberFormat="1" applyFont="1" applyAlignment="1">
      <alignment horizontal="left" vertical="center"/>
    </xf>
    <xf numFmtId="0" fontId="10" fillId="0" borderId="35" xfId="0" applyFont="1" applyBorder="1" applyAlignment="1">
      <alignment horizontal="left" vertical="center"/>
    </xf>
    <xf numFmtId="179" fontId="10" fillId="0" borderId="35" xfId="0" applyNumberFormat="1" applyFont="1" applyBorder="1" applyAlignment="1">
      <alignment horizontal="left" vertical="center"/>
    </xf>
    <xf numFmtId="0" fontId="19" fillId="0" borderId="31" xfId="0" applyFont="1" applyBorder="1" applyAlignment="1">
      <alignment horizontal="left" vertical="center"/>
    </xf>
    <xf numFmtId="0" fontId="19" fillId="0" borderId="0" xfId="0" applyFont="1" applyAlignment="1">
      <alignment horizontal="left" vertical="center"/>
    </xf>
    <xf numFmtId="179" fontId="19" fillId="0" borderId="0" xfId="0" applyNumberFormat="1" applyFont="1" applyAlignment="1">
      <alignment horizontal="left" vertical="center"/>
    </xf>
    <xf numFmtId="0" fontId="10" fillId="0" borderId="32" xfId="0" applyFont="1" applyBorder="1" applyAlignment="1">
      <alignment horizontal="left" vertical="center" wrapText="1"/>
    </xf>
    <xf numFmtId="179" fontId="10" fillId="0" borderId="32" xfId="0" applyNumberFormat="1" applyFont="1" applyBorder="1" applyAlignment="1">
      <alignment horizontal="left" vertical="center" wrapText="1"/>
    </xf>
    <xf numFmtId="0" fontId="10" fillId="0" borderId="35" xfId="0" applyFont="1" applyBorder="1" applyAlignment="1">
      <alignment horizontal="left" vertical="center" wrapText="1"/>
    </xf>
    <xf numFmtId="179" fontId="10" fillId="0" borderId="35" xfId="0" applyNumberFormat="1" applyFont="1" applyBorder="1" applyAlignment="1">
      <alignment horizontal="left" vertical="center" wrapText="1"/>
    </xf>
    <xf numFmtId="0" fontId="19" fillId="0" borderId="36" xfId="0" applyFont="1" applyBorder="1" applyAlignment="1">
      <alignment horizontal="left" vertical="center" wrapText="1"/>
    </xf>
    <xf numFmtId="179" fontId="19" fillId="0" borderId="36" xfId="0" applyNumberFormat="1" applyFont="1" applyBorder="1" applyAlignment="1">
      <alignment horizontal="left" vertical="center" wrapText="1"/>
    </xf>
    <xf numFmtId="0" fontId="15" fillId="0" borderId="0" xfId="0" applyFont="1" applyAlignment="1">
      <alignment horizontal="left" vertical="center"/>
    </xf>
    <xf numFmtId="0" fontId="4" fillId="0" borderId="0" xfId="0" applyFont="1" applyAlignment="1">
      <alignment horizontal="left" vertical="center"/>
    </xf>
    <xf numFmtId="0" fontId="18" fillId="0" borderId="0" xfId="0" applyFont="1" applyAlignment="1">
      <alignment horizontal="center" vertical="center"/>
    </xf>
    <xf numFmtId="0" fontId="20" fillId="3" borderId="0" xfId="6" applyFont="1" applyFill="1" applyAlignment="1">
      <alignment horizontal="center" vertical="center"/>
    </xf>
    <xf numFmtId="49" fontId="3" fillId="3" borderId="22" xfId="0" applyNumberFormat="1" applyFont="1" applyFill="1" applyBorder="1" applyAlignment="1">
      <alignment horizontal="center" vertical="center" wrapText="1"/>
    </xf>
    <xf numFmtId="0" fontId="3" fillId="3" borderId="22" xfId="0" applyFont="1" applyFill="1" applyBorder="1" applyAlignment="1">
      <alignment horizontal="left" vertical="center"/>
    </xf>
    <xf numFmtId="0" fontId="3" fillId="3" borderId="37" xfId="0" applyFont="1" applyFill="1" applyBorder="1" applyAlignment="1">
      <alignment horizontal="center" vertical="center" wrapText="1"/>
    </xf>
    <xf numFmtId="49" fontId="10" fillId="6" borderId="25" xfId="0" applyNumberFormat="1" applyFont="1" applyFill="1" applyBorder="1" applyAlignment="1">
      <alignment horizontal="center" vertical="center" wrapText="1"/>
    </xf>
    <xf numFmtId="49" fontId="10" fillId="6" borderId="28" xfId="0" applyNumberFormat="1" applyFont="1" applyFill="1" applyBorder="1" applyAlignment="1">
      <alignment horizontal="center" vertical="center" wrapText="1"/>
    </xf>
    <xf numFmtId="49" fontId="10" fillId="4" borderId="28" xfId="0" applyNumberFormat="1" applyFont="1" applyFill="1" applyBorder="1" applyAlignment="1">
      <alignment horizontal="center" vertical="center" wrapText="1"/>
    </xf>
    <xf numFmtId="49" fontId="10" fillId="4" borderId="25" xfId="0" applyNumberFormat="1" applyFont="1" applyFill="1" applyBorder="1" applyAlignment="1">
      <alignment horizontal="center" vertical="center" wrapText="1"/>
    </xf>
    <xf numFmtId="49" fontId="10" fillId="4" borderId="25" xfId="0" applyNumberFormat="1" applyFont="1" applyFill="1" applyBorder="1" applyAlignment="1">
      <alignment horizontal="left" vertical="center" wrapText="1"/>
    </xf>
    <xf numFmtId="0" fontId="10" fillId="4" borderId="38" xfId="0" applyFont="1" applyFill="1" applyBorder="1" applyAlignment="1">
      <alignment horizontal="center" vertical="center" wrapText="1"/>
    </xf>
    <xf numFmtId="0" fontId="10" fillId="4" borderId="39" xfId="0" applyFont="1" applyFill="1" applyBorder="1" applyAlignment="1">
      <alignment horizontal="center" vertical="center" wrapText="1"/>
    </xf>
    <xf numFmtId="0" fontId="10" fillId="4" borderId="25" xfId="0" applyFont="1" applyFill="1" applyBorder="1" applyAlignment="1">
      <alignment horizontal="center" vertical="center" wrapText="1"/>
    </xf>
    <xf numFmtId="0" fontId="10" fillId="4" borderId="25" xfId="0" applyFont="1" applyFill="1" applyBorder="1" applyAlignment="1">
      <alignment horizontal="left" vertical="center" wrapText="1"/>
    </xf>
    <xf numFmtId="179" fontId="10" fillId="6" borderId="28" xfId="0" applyNumberFormat="1" applyFont="1" applyFill="1" applyBorder="1" applyAlignment="1">
      <alignment horizontal="center" vertical="center" wrapText="1"/>
    </xf>
    <xf numFmtId="0" fontId="10" fillId="4" borderId="28" xfId="0" applyFont="1" applyFill="1" applyBorder="1" applyAlignment="1">
      <alignment horizontal="center" vertical="center" wrapText="1"/>
    </xf>
    <xf numFmtId="179" fontId="10" fillId="5" borderId="25" xfId="0" applyNumberFormat="1" applyFont="1" applyFill="1" applyBorder="1" applyAlignment="1">
      <alignment horizontal="center" vertical="center" wrapText="1"/>
    </xf>
    <xf numFmtId="49" fontId="10" fillId="0" borderId="0" xfId="0" applyNumberFormat="1" applyFont="1" applyAlignment="1">
      <alignment horizontal="center" vertical="center"/>
    </xf>
    <xf numFmtId="0" fontId="10" fillId="0" borderId="0" xfId="0" applyFont="1" applyAlignment="1">
      <alignment horizontal="left" vertical="center" indent="1"/>
    </xf>
    <xf numFmtId="0" fontId="10" fillId="0" borderId="40" xfId="0" applyFont="1" applyBorder="1" applyAlignment="1">
      <alignment horizontal="center" vertical="center"/>
    </xf>
    <xf numFmtId="49" fontId="4" fillId="0" borderId="34" xfId="0" applyNumberFormat="1" applyFont="1" applyBorder="1" applyAlignment="1">
      <alignment horizontal="center" vertical="center"/>
    </xf>
    <xf numFmtId="0" fontId="4" fillId="0" borderId="34" xfId="0" applyFont="1" applyBorder="1" applyAlignment="1">
      <alignment horizontal="center" vertical="center"/>
    </xf>
    <xf numFmtId="0" fontId="4" fillId="0" borderId="34" xfId="0" applyFont="1" applyBorder="1" applyAlignment="1">
      <alignment horizontal="left" vertical="center"/>
    </xf>
    <xf numFmtId="0" fontId="4" fillId="0" borderId="41" xfId="0" applyFont="1" applyBorder="1" applyAlignment="1">
      <alignment horizontal="center" vertical="center"/>
    </xf>
    <xf numFmtId="49" fontId="4" fillId="0" borderId="0" xfId="0" applyNumberFormat="1" applyFont="1" applyAlignment="1">
      <alignment horizontal="center" vertical="center"/>
    </xf>
    <xf numFmtId="0" fontId="4" fillId="0" borderId="40" xfId="0" applyFont="1" applyBorder="1" applyAlignment="1">
      <alignment horizontal="center" vertical="center"/>
    </xf>
    <xf numFmtId="0" fontId="10" fillId="0" borderId="40" xfId="0" applyFont="1" applyBorder="1" applyAlignment="1">
      <alignment horizontal="left" vertical="center"/>
    </xf>
    <xf numFmtId="0" fontId="10" fillId="0" borderId="31" xfId="0" applyFont="1" applyBorder="1" applyAlignment="1">
      <alignment horizontal="left" vertical="center" wrapText="1"/>
    </xf>
    <xf numFmtId="179" fontId="10" fillId="0" borderId="31" xfId="0" applyNumberFormat="1" applyFont="1" applyBorder="1" applyAlignment="1">
      <alignment horizontal="left" vertical="center" wrapText="1"/>
    </xf>
    <xf numFmtId="0" fontId="19" fillId="0" borderId="0" xfId="0" applyFont="1" applyAlignment="1">
      <alignment horizontal="center" vertical="center"/>
    </xf>
    <xf numFmtId="0" fontId="19" fillId="0" borderId="32" xfId="0" applyFont="1" applyBorder="1" applyAlignment="1">
      <alignment horizontal="left" vertical="center" wrapText="1"/>
    </xf>
    <xf numFmtId="179" fontId="19" fillId="0" borderId="32" xfId="0" applyNumberFormat="1" applyFont="1" applyBorder="1" applyAlignment="1">
      <alignment horizontal="left" vertical="center" wrapText="1"/>
    </xf>
    <xf numFmtId="0" fontId="17" fillId="0" borderId="0" xfId="0" applyFont="1" applyAlignment="1">
      <alignment horizontal="center" vertical="center"/>
    </xf>
    <xf numFmtId="0" fontId="21" fillId="0" borderId="0" xfId="0" applyFont="1">
      <alignment vertical="center"/>
    </xf>
    <xf numFmtId="49" fontId="17" fillId="0" borderId="0" xfId="0" applyNumberFormat="1" applyFont="1" applyAlignment="1">
      <alignment horizontal="center" vertical="center"/>
    </xf>
    <xf numFmtId="179" fontId="17" fillId="0" borderId="0" xfId="0" applyNumberFormat="1" applyFont="1" applyAlignment="1">
      <alignment horizontal="center" vertical="center"/>
    </xf>
    <xf numFmtId="0" fontId="10" fillId="0" borderId="40" xfId="0" applyFont="1" applyBorder="1" applyAlignment="1">
      <alignment horizontal="left" vertical="center" wrapText="1"/>
    </xf>
    <xf numFmtId="0" fontId="17" fillId="0" borderId="0" xfId="0" applyFont="1" applyAlignment="1">
      <alignment horizontal="left" vertical="center"/>
    </xf>
    <xf numFmtId="0" fontId="0" fillId="0" borderId="42" xfId="0" applyBorder="1">
      <alignment vertical="center"/>
    </xf>
    <xf numFmtId="0" fontId="8" fillId="0" borderId="42" xfId="0" applyFont="1" applyBorder="1">
      <alignment vertical="center"/>
    </xf>
    <xf numFmtId="177" fontId="2" fillId="0" borderId="42" xfId="0" applyNumberFormat="1" applyFont="1" applyBorder="1" applyAlignment="1">
      <alignment horizontal="center" vertical="center" wrapText="1"/>
    </xf>
    <xf numFmtId="0" fontId="3" fillId="2" borderId="42" xfId="0" applyFont="1" applyFill="1" applyBorder="1" applyAlignment="1">
      <alignment horizontal="center" vertical="center"/>
    </xf>
    <xf numFmtId="0" fontId="4" fillId="0" borderId="42" xfId="0" applyFont="1" applyBorder="1" applyAlignment="1">
      <alignment horizontal="center" vertical="center"/>
    </xf>
    <xf numFmtId="0" fontId="4" fillId="0" borderId="42" xfId="0" applyNumberFormat="1" applyFont="1" applyBorder="1" applyAlignment="1">
      <alignment horizontal="center" vertical="center"/>
    </xf>
    <xf numFmtId="0" fontId="1" fillId="0" borderId="42" xfId="0" applyFont="1" applyBorder="1">
      <alignment vertical="center"/>
    </xf>
    <xf numFmtId="177" fontId="5" fillId="0" borderId="42" xfId="0" applyNumberFormat="1" applyFont="1" applyBorder="1" applyAlignment="1">
      <alignment horizontal="center" wrapText="1"/>
    </xf>
    <xf numFmtId="177" fontId="6" fillId="0" borderId="42" xfId="6" applyNumberFormat="1" applyFont="1" applyBorder="1" applyAlignment="1">
      <alignment horizontal="left" wrapText="1"/>
    </xf>
    <xf numFmtId="0" fontId="4" fillId="0" borderId="42" xfId="0" applyFont="1" applyBorder="1">
      <alignment vertical="center"/>
    </xf>
    <xf numFmtId="0" fontId="4" fillId="0" borderId="42" xfId="0" applyFont="1" applyBorder="1" applyAlignment="1">
      <alignment horizontal="center" vertical="center" wrapText="1"/>
    </xf>
    <xf numFmtId="49" fontId="4" fillId="0" borderId="42" xfId="0" applyNumberFormat="1" applyFont="1" applyBorder="1" applyAlignment="1">
      <alignment horizontal="center" vertical="center" wrapText="1"/>
    </xf>
    <xf numFmtId="0" fontId="11" fillId="0" borderId="42" xfId="0" applyFont="1" applyBorder="1" applyAlignment="1">
      <alignment horizontal="left" vertical="center"/>
    </xf>
    <xf numFmtId="0" fontId="4" fillId="0" borderId="43" xfId="0" applyNumberFormat="1" applyFont="1" applyBorder="1" applyAlignment="1">
      <alignment horizontal="center" vertical="center"/>
    </xf>
    <xf numFmtId="0" fontId="4" fillId="0" borderId="43" xfId="0" applyFont="1" applyBorder="1" applyAlignment="1">
      <alignment horizontal="center" vertical="center"/>
    </xf>
    <xf numFmtId="0" fontId="3" fillId="2" borderId="4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46" xfId="0" applyFont="1" applyFill="1" applyBorder="1" applyAlignment="1">
      <alignment horizontal="center" vertical="center" wrapText="1"/>
    </xf>
    <xf numFmtId="0" fontId="22" fillId="0" borderId="4" xfId="0" applyFont="1" applyBorder="1" applyAlignment="1">
      <alignment horizontal="center" vertical="center"/>
    </xf>
    <xf numFmtId="0" fontId="3" fillId="2" borderId="47" xfId="0" applyFont="1" applyFill="1" applyBorder="1" applyAlignment="1">
      <alignment horizontal="center" vertical="center" wrapText="1"/>
    </xf>
    <xf numFmtId="0" fontId="3" fillId="2" borderId="48" xfId="0" applyFont="1" applyFill="1" applyBorder="1" applyAlignment="1">
      <alignment horizontal="center" vertical="center" wrapText="1"/>
    </xf>
    <xf numFmtId="0" fontId="3" fillId="2" borderId="49" xfId="0" applyFont="1" applyFill="1" applyBorder="1" applyAlignment="1">
      <alignment horizontal="center" vertical="center" wrapText="1"/>
    </xf>
    <xf numFmtId="0" fontId="3" fillId="2" borderId="46" xfId="0" applyFont="1" applyFill="1" applyBorder="1" applyAlignment="1">
      <alignment horizontal="center" vertical="center"/>
    </xf>
    <xf numFmtId="0" fontId="4" fillId="0" borderId="8" xfId="0" applyFont="1" applyBorder="1">
      <alignment vertical="center"/>
    </xf>
    <xf numFmtId="0" fontId="7" fillId="0" borderId="4" xfId="0" applyFont="1" applyBorder="1" applyAlignment="1">
      <alignment horizontal="center" vertical="center" wrapText="1"/>
    </xf>
    <xf numFmtId="0" fontId="4" fillId="0" borderId="50" xfId="0" applyFont="1" applyBorder="1" applyAlignment="1">
      <alignment horizontal="center" vertical="center"/>
    </xf>
    <xf numFmtId="0" fontId="22" fillId="0" borderId="4" xfId="0" applyFont="1" applyBorder="1" applyAlignment="1">
      <alignment horizontal="center" vertical="center" wrapText="1"/>
    </xf>
    <xf numFmtId="49" fontId="22" fillId="0" borderId="4" xfId="0" applyNumberFormat="1" applyFont="1" applyBorder="1" applyAlignment="1">
      <alignment horizontal="center" vertical="center"/>
    </xf>
    <xf numFmtId="182" fontId="23" fillId="3" borderId="51" xfId="0" applyNumberFormat="1" applyFont="1" applyFill="1" applyBorder="1" applyAlignment="1">
      <alignment horizontal="center" vertical="center" wrapText="1"/>
    </xf>
    <xf numFmtId="0" fontId="24" fillId="4" borderId="23" xfId="0" applyFont="1" applyFill="1" applyBorder="1" applyAlignment="1">
      <alignment horizontal="center" vertical="center" wrapText="1"/>
    </xf>
    <xf numFmtId="0" fontId="24" fillId="4" borderId="52" xfId="0" applyFont="1" applyFill="1" applyBorder="1" applyAlignment="1">
      <alignment horizontal="center" vertical="center" wrapText="1"/>
    </xf>
    <xf numFmtId="180" fontId="24" fillId="5" borderId="53" xfId="0" applyNumberFormat="1" applyFont="1" applyFill="1" applyBorder="1" applyAlignment="1">
      <alignment horizontal="center" vertical="center" wrapText="1"/>
    </xf>
    <xf numFmtId="183" fontId="24" fillId="4" borderId="53" xfId="0" applyNumberFormat="1" applyFont="1" applyFill="1" applyBorder="1" applyAlignment="1">
      <alignment horizontal="center" vertical="center" wrapText="1"/>
    </xf>
    <xf numFmtId="0" fontId="24" fillId="4" borderId="53" xfId="0" applyNumberFormat="1" applyFont="1" applyFill="1" applyBorder="1" applyAlignment="1">
      <alignment horizontal="center" vertical="center" wrapText="1"/>
    </xf>
    <xf numFmtId="0" fontId="10" fillId="4" borderId="54" xfId="0" applyFont="1" applyFill="1" applyBorder="1" applyAlignment="1">
      <alignment horizontal="center" vertical="center" wrapText="1"/>
    </xf>
    <xf numFmtId="180" fontId="10" fillId="5" borderId="53" xfId="0" applyNumberFormat="1" applyFont="1" applyFill="1" applyBorder="1" applyAlignment="1">
      <alignment horizontal="center" vertical="center" wrapText="1"/>
    </xf>
    <xf numFmtId="183" fontId="10" fillId="4" borderId="53" xfId="0" applyNumberFormat="1" applyFont="1" applyFill="1" applyBorder="1" applyAlignment="1">
      <alignment horizontal="center" vertical="center" wrapText="1"/>
    </xf>
    <xf numFmtId="0" fontId="10" fillId="4" borderId="55" xfId="0" applyFont="1" applyFill="1" applyBorder="1" applyAlignment="1">
      <alignment horizontal="center" vertical="center" wrapText="1"/>
    </xf>
    <xf numFmtId="180" fontId="10" fillId="5" borderId="56" xfId="0" applyNumberFormat="1" applyFont="1" applyFill="1" applyBorder="1" applyAlignment="1">
      <alignment horizontal="center" vertical="center" wrapText="1"/>
    </xf>
    <xf numFmtId="180" fontId="25" fillId="0" borderId="34" xfId="0" applyNumberFormat="1" applyFont="1" applyBorder="1" applyAlignment="1">
      <alignment horizontal="left" vertical="center"/>
    </xf>
    <xf numFmtId="180" fontId="10" fillId="0" borderId="34" xfId="0" applyNumberFormat="1" applyFont="1" applyBorder="1" applyAlignment="1">
      <alignment horizontal="center" vertical="center"/>
    </xf>
    <xf numFmtId="180" fontId="25" fillId="0" borderId="0" xfId="0" applyNumberFormat="1" applyFont="1" applyAlignment="1">
      <alignment horizontal="left" vertical="center"/>
    </xf>
    <xf numFmtId="0" fontId="19" fillId="0" borderId="31" xfId="0" applyFont="1" applyBorder="1" applyAlignment="1">
      <alignment horizontal="left" vertical="center" wrapText="1"/>
    </xf>
    <xf numFmtId="0" fontId="3" fillId="3" borderId="37" xfId="0" applyFont="1" applyFill="1" applyBorder="1" applyAlignment="1">
      <alignment horizontal="center" vertical="center"/>
    </xf>
    <xf numFmtId="49" fontId="26" fillId="6" borderId="29" xfId="0" applyNumberFormat="1" applyFont="1" applyFill="1" applyBorder="1" applyAlignment="1">
      <alignment horizontal="center" vertical="center" wrapText="1"/>
    </xf>
    <xf numFmtId="49" fontId="10" fillId="6" borderId="29" xfId="0" applyNumberFormat="1" applyFont="1" applyFill="1" applyBorder="1" applyAlignment="1">
      <alignment horizontal="center" vertical="center" wrapText="1"/>
    </xf>
    <xf numFmtId="49" fontId="10" fillId="6" borderId="29" xfId="0" applyNumberFormat="1" applyFont="1" applyFill="1" applyBorder="1" applyAlignment="1">
      <alignment horizontal="left" vertical="center" wrapText="1"/>
    </xf>
    <xf numFmtId="49" fontId="10" fillId="4" borderId="53" xfId="0" applyNumberFormat="1" applyFont="1" applyFill="1" applyBorder="1" applyAlignment="1">
      <alignment horizontal="center" vertical="center" wrapText="1"/>
    </xf>
    <xf numFmtId="49" fontId="10" fillId="4" borderId="30" xfId="0" applyNumberFormat="1" applyFont="1" applyFill="1" applyBorder="1" applyAlignment="1">
      <alignment horizontal="center" vertical="center" wrapText="1"/>
    </xf>
    <xf numFmtId="0" fontId="10" fillId="4" borderId="57" xfId="0" applyFont="1" applyFill="1" applyBorder="1" applyAlignment="1">
      <alignment horizontal="left" vertical="center" wrapText="1"/>
    </xf>
    <xf numFmtId="49" fontId="10" fillId="4" borderId="58" xfId="0" applyNumberFormat="1" applyFont="1" applyFill="1" applyBorder="1" applyAlignment="1">
      <alignment horizontal="center" vertical="center" wrapText="1"/>
    </xf>
    <xf numFmtId="49" fontId="26" fillId="6" borderId="58" xfId="0" applyNumberFormat="1" applyFont="1" applyFill="1" applyBorder="1" applyAlignment="1">
      <alignment horizontal="center" vertical="center" wrapText="1"/>
    </xf>
    <xf numFmtId="0" fontId="10" fillId="4" borderId="30" xfId="0" applyFont="1" applyFill="1" applyBorder="1" applyAlignment="1">
      <alignment horizontal="center" vertical="center" wrapText="1"/>
    </xf>
    <xf numFmtId="0" fontId="10" fillId="4" borderId="39" xfId="0" applyFont="1" applyFill="1" applyBorder="1" applyAlignment="1">
      <alignment horizontal="left" vertical="center" wrapText="1"/>
    </xf>
    <xf numFmtId="180" fontId="10" fillId="4" borderId="59" xfId="0" applyNumberFormat="1" applyFont="1" applyFill="1" applyBorder="1" applyAlignment="1">
      <alignment horizontal="center" vertical="center" wrapText="1"/>
    </xf>
    <xf numFmtId="49" fontId="26" fillId="6" borderId="59" xfId="0" applyNumberFormat="1" applyFont="1" applyFill="1" applyBorder="1" applyAlignment="1">
      <alignment horizontal="center" vertical="center" wrapText="1"/>
    </xf>
    <xf numFmtId="0" fontId="10" fillId="4" borderId="60" xfId="0" applyFont="1" applyFill="1" applyBorder="1" applyAlignment="1">
      <alignment horizontal="center" vertical="center" wrapText="1"/>
    </xf>
    <xf numFmtId="0" fontId="10" fillId="0" borderId="40" xfId="0" applyFont="1" applyBorder="1" applyAlignment="1">
      <alignment horizontal="left" vertical="center" indent="1"/>
    </xf>
    <xf numFmtId="49" fontId="10" fillId="0" borderId="34" xfId="0" applyNumberFormat="1" applyFont="1" applyBorder="1" applyAlignment="1">
      <alignment horizontal="center" vertical="center"/>
    </xf>
    <xf numFmtId="0" fontId="10" fillId="0" borderId="34" xfId="0" applyFont="1" applyBorder="1" applyAlignment="1">
      <alignment horizontal="center" vertical="center"/>
    </xf>
    <xf numFmtId="0" fontId="10" fillId="0" borderId="41" xfId="0" applyFont="1" applyBorder="1" applyAlignment="1">
      <alignment horizontal="center" vertical="center"/>
    </xf>
    <xf numFmtId="0" fontId="10" fillId="4" borderId="25" xfId="0" applyNumberFormat="1" applyFont="1" applyFill="1" applyBorder="1" applyAlignment="1">
      <alignment horizontal="center" vertical="center" wrapText="1"/>
    </xf>
    <xf numFmtId="0" fontId="10" fillId="4" borderId="61" xfId="0" applyFont="1" applyFill="1" applyBorder="1" applyAlignment="1">
      <alignment horizontal="center" vertical="center" wrapText="1"/>
    </xf>
    <xf numFmtId="0" fontId="10" fillId="4" borderId="62" xfId="0" applyFont="1" applyFill="1" applyBorder="1" applyAlignment="1">
      <alignment horizontal="center" vertical="center" wrapText="1"/>
    </xf>
    <xf numFmtId="178" fontId="10" fillId="4" borderId="53" xfId="0" applyNumberFormat="1" applyFont="1" applyFill="1" applyBorder="1" applyAlignment="1">
      <alignment horizontal="center" vertical="center" wrapText="1"/>
    </xf>
    <xf numFmtId="0" fontId="10" fillId="4" borderId="63" xfId="0" applyFont="1" applyFill="1" applyBorder="1" applyAlignment="1">
      <alignment horizontal="center" vertical="center" wrapText="1"/>
    </xf>
    <xf numFmtId="180" fontId="10" fillId="5" borderId="64" xfId="0" applyNumberFormat="1" applyFont="1" applyFill="1" applyBorder="1" applyAlignment="1">
      <alignment horizontal="center" vertical="center" wrapText="1"/>
    </xf>
    <xf numFmtId="178" fontId="10" fillId="4" borderId="64" xfId="0" applyNumberFormat="1" applyFont="1" applyFill="1" applyBorder="1" applyAlignment="1">
      <alignment horizontal="center" vertical="center" wrapText="1"/>
    </xf>
    <xf numFmtId="0" fontId="3" fillId="3" borderId="22" xfId="0" applyFont="1" applyFill="1" applyBorder="1" applyAlignment="1">
      <alignment horizontal="center" vertical="center"/>
    </xf>
    <xf numFmtId="180" fontId="10" fillId="7" borderId="25" xfId="0" applyNumberFormat="1" applyFont="1" applyFill="1" applyBorder="1" applyAlignment="1">
      <alignment horizontal="center" vertical="center" wrapText="1"/>
    </xf>
    <xf numFmtId="58" fontId="10" fillId="4" borderId="64" xfId="0" applyNumberFormat="1" applyFont="1" applyFill="1" applyBorder="1" applyAlignment="1">
      <alignment horizontal="center" vertical="center" wrapText="1"/>
    </xf>
    <xf numFmtId="49" fontId="10" fillId="4" borderId="64" xfId="0" applyNumberFormat="1" applyFont="1" applyFill="1" applyBorder="1" applyAlignment="1">
      <alignment horizontal="center" vertical="center" wrapText="1"/>
    </xf>
    <xf numFmtId="0" fontId="10" fillId="4" borderId="65" xfId="0" applyFont="1" applyFill="1" applyBorder="1" applyAlignment="1">
      <alignment horizontal="center" vertical="center" wrapText="1"/>
    </xf>
    <xf numFmtId="0" fontId="10" fillId="4" borderId="29" xfId="0" applyFont="1" applyFill="1" applyBorder="1" applyAlignment="1">
      <alignment horizontal="center" vertical="center" wrapText="1"/>
    </xf>
    <xf numFmtId="0" fontId="10" fillId="4" borderId="66" xfId="0" applyFont="1" applyFill="1" applyBorder="1" applyAlignment="1">
      <alignment horizontal="center" vertical="center" wrapText="1"/>
    </xf>
    <xf numFmtId="0" fontId="10" fillId="4" borderId="67" xfId="0" applyFont="1" applyFill="1" applyBorder="1" applyAlignment="1">
      <alignment horizontal="center" vertical="center" wrapText="1"/>
    </xf>
    <xf numFmtId="0" fontId="10" fillId="4" borderId="53" xfId="0" applyFont="1" applyFill="1" applyBorder="1" applyAlignment="1">
      <alignment horizontal="center" vertical="center" wrapText="1"/>
    </xf>
    <xf numFmtId="0" fontId="10" fillId="4" borderId="64" xfId="0" applyFont="1" applyFill="1" applyBorder="1" applyAlignment="1">
      <alignment horizontal="center" vertical="center" wrapText="1"/>
    </xf>
    <xf numFmtId="49" fontId="10" fillId="4" borderId="29" xfId="0" applyNumberFormat="1" applyFont="1" applyFill="1" applyBorder="1" applyAlignment="1">
      <alignment horizontal="center" vertical="center" wrapText="1"/>
    </xf>
    <xf numFmtId="0" fontId="10" fillId="4" borderId="68" xfId="0" applyFont="1" applyFill="1" applyBorder="1" applyAlignment="1">
      <alignment horizontal="center" vertical="center" wrapText="1"/>
    </xf>
    <xf numFmtId="180" fontId="10" fillId="7" borderId="53" xfId="0" applyNumberFormat="1" applyFont="1" applyFill="1" applyBorder="1" applyAlignment="1">
      <alignment horizontal="center" vertical="center" wrapText="1"/>
    </xf>
    <xf numFmtId="0" fontId="10" fillId="4" borderId="58" xfId="0" applyFont="1" applyFill="1" applyBorder="1" applyAlignment="1">
      <alignment horizontal="center" vertical="center" wrapText="1"/>
    </xf>
    <xf numFmtId="0" fontId="10" fillId="4" borderId="69" xfId="0" applyFont="1" applyFill="1" applyBorder="1" applyAlignment="1">
      <alignment horizontal="center" vertical="center" wrapText="1"/>
    </xf>
    <xf numFmtId="180" fontId="10" fillId="4" borderId="64" xfId="0" applyNumberFormat="1" applyFont="1" applyFill="1" applyBorder="1" applyAlignment="1">
      <alignment horizontal="center" vertical="center" wrapText="1"/>
    </xf>
    <xf numFmtId="0" fontId="10" fillId="4" borderId="70" xfId="0" applyFont="1" applyFill="1" applyBorder="1" applyAlignment="1">
      <alignment horizontal="center" vertical="center" wrapText="1"/>
    </xf>
    <xf numFmtId="180" fontId="10" fillId="7" borderId="64" xfId="0" applyNumberFormat="1" applyFont="1" applyFill="1" applyBorder="1" applyAlignment="1">
      <alignment horizontal="center" vertical="center" wrapText="1"/>
    </xf>
    <xf numFmtId="0" fontId="10" fillId="4" borderId="40" xfId="0" applyFont="1" applyFill="1" applyBorder="1" applyAlignment="1">
      <alignment horizontal="center" vertical="center" wrapText="1"/>
    </xf>
    <xf numFmtId="0" fontId="17" fillId="0" borderId="32" xfId="0" applyFont="1" applyBorder="1" applyAlignment="1">
      <alignment horizontal="left" vertical="top" wrapText="1"/>
    </xf>
    <xf numFmtId="180" fontId="10" fillId="0" borderId="31" xfId="0" applyNumberFormat="1" applyFont="1" applyBorder="1" applyAlignment="1">
      <alignment horizontal="left" vertical="center"/>
    </xf>
    <xf numFmtId="180" fontId="10" fillId="0" borderId="0" xfId="0" applyNumberFormat="1" applyFont="1" applyAlignment="1">
      <alignment horizontal="left" vertical="center"/>
    </xf>
    <xf numFmtId="180" fontId="27" fillId="0" borderId="40" xfId="6" applyNumberFormat="1" applyFont="1" applyBorder="1" applyAlignment="1">
      <alignment horizontal="left" vertical="center"/>
    </xf>
    <xf numFmtId="0" fontId="19" fillId="0" borderId="56" xfId="0" applyFont="1" applyBorder="1" applyAlignment="1">
      <alignment horizontal="left" vertical="center"/>
    </xf>
    <xf numFmtId="0" fontId="19" fillId="0" borderId="33" xfId="0" applyFont="1" applyBorder="1" applyAlignment="1">
      <alignment horizontal="left" vertical="center" wrapText="1"/>
    </xf>
    <xf numFmtId="0" fontId="10" fillId="0" borderId="71" xfId="0" applyFont="1" applyBorder="1" applyAlignment="1">
      <alignment horizontal="left" vertical="center" wrapText="1"/>
    </xf>
    <xf numFmtId="180" fontId="28" fillId="0" borderId="40" xfId="6" applyNumberFormat="1" applyFont="1" applyBorder="1" applyAlignment="1">
      <alignment horizontal="left" vertical="center"/>
    </xf>
    <xf numFmtId="0" fontId="12" fillId="0" borderId="41" xfId="0" applyFont="1" applyBorder="1" applyAlignment="1">
      <alignment horizontal="center" vertical="center"/>
    </xf>
    <xf numFmtId="0" fontId="12" fillId="0" borderId="40" xfId="0" applyFont="1" applyBorder="1" applyAlignment="1">
      <alignment horizontal="center" vertical="center"/>
    </xf>
    <xf numFmtId="0" fontId="12" fillId="0" borderId="72" xfId="0" applyFont="1" applyBorder="1" applyAlignment="1">
      <alignment horizontal="center" vertical="center"/>
    </xf>
    <xf numFmtId="0" fontId="29" fillId="0" borderId="0" xfId="0" applyFont="1" applyFill="1" applyAlignment="1">
      <alignment vertical="center"/>
    </xf>
    <xf numFmtId="0" fontId="30" fillId="0" borderId="43" xfId="0" applyFont="1" applyFill="1" applyBorder="1" applyAlignment="1">
      <alignment horizontal="center" vertical="center" wrapText="1"/>
    </xf>
    <xf numFmtId="0" fontId="29" fillId="0" borderId="73" xfId="0" applyNumberFormat="1" applyFont="1" applyFill="1" applyBorder="1" applyAlignment="1"/>
    <xf numFmtId="0" fontId="31" fillId="0" borderId="43" xfId="0" applyFont="1" applyFill="1" applyBorder="1" applyAlignment="1">
      <alignment horizontal="center" vertical="center" wrapText="1"/>
    </xf>
    <xf numFmtId="0" fontId="32" fillId="0" borderId="43" xfId="0" applyFont="1" applyFill="1" applyBorder="1" applyAlignment="1">
      <alignment horizontal="left" vertical="center" wrapText="1"/>
    </xf>
    <xf numFmtId="0" fontId="33" fillId="0" borderId="43" xfId="0" applyFont="1" applyFill="1" applyBorder="1" applyAlignment="1">
      <alignment horizontal="center" vertical="center" wrapText="1"/>
    </xf>
    <xf numFmtId="0" fontId="33" fillId="8" borderId="43" xfId="0" applyFont="1" applyFill="1" applyBorder="1" applyAlignment="1">
      <alignment vertical="center" wrapText="1"/>
    </xf>
    <xf numFmtId="0" fontId="33" fillId="0" borderId="43" xfId="0" applyFont="1" applyFill="1" applyBorder="1" applyAlignment="1">
      <alignment vertical="center" wrapText="1"/>
    </xf>
    <xf numFmtId="0" fontId="33" fillId="0" borderId="43" xfId="0" applyNumberFormat="1" applyFont="1" applyFill="1" applyBorder="1" applyAlignment="1">
      <alignment horizontal="center" vertical="center" wrapText="1"/>
    </xf>
    <xf numFmtId="0" fontId="4" fillId="0" borderId="43" xfId="0" applyFont="1" applyFill="1" applyBorder="1" applyAlignment="1">
      <alignment vertical="center" wrapText="1"/>
    </xf>
    <xf numFmtId="0" fontId="33" fillId="8" borderId="43" xfId="0" applyFont="1" applyFill="1" applyBorder="1" applyAlignment="1">
      <alignment horizontal="center" vertical="center" wrapText="1"/>
    </xf>
    <xf numFmtId="0" fontId="7" fillId="0" borderId="42" xfId="0" applyFont="1" applyBorder="1" applyAlignment="1">
      <alignment horizontal="center" vertical="center" wrapText="1"/>
    </xf>
    <xf numFmtId="0" fontId="29" fillId="0" borderId="74" xfId="0" applyNumberFormat="1" applyFont="1" applyFill="1" applyBorder="1" applyAlignment="1"/>
    <xf numFmtId="0" fontId="34" fillId="0" borderId="43" xfId="0" applyFont="1" applyFill="1" applyBorder="1" applyAlignment="1">
      <alignment horizontal="left" vertical="center"/>
    </xf>
    <xf numFmtId="0" fontId="29" fillId="0" borderId="75" xfId="0" applyNumberFormat="1" applyFont="1" applyFill="1" applyBorder="1" applyAlignment="1"/>
    <xf numFmtId="0" fontId="29" fillId="0" borderId="76" xfId="0" applyNumberFormat="1" applyFont="1" applyFill="1" applyBorder="1" applyAlignment="1"/>
    <xf numFmtId="0" fontId="29" fillId="0" borderId="77" xfId="0" applyNumberFormat="1" applyFont="1" applyFill="1" applyBorder="1" applyAlignment="1"/>
    <xf numFmtId="0" fontId="29" fillId="0" borderId="78" xfId="0" applyNumberFormat="1" applyFont="1" applyFill="1" applyBorder="1" applyAlignment="1"/>
    <xf numFmtId="0" fontId="29" fillId="0" borderId="79" xfId="0" applyNumberFormat="1" applyFont="1" applyFill="1" applyBorder="1" applyAlignment="1"/>
    <xf numFmtId="0" fontId="29" fillId="0" borderId="80" xfId="0" applyNumberFormat="1" applyFont="1" applyFill="1" applyBorder="1" applyAlignment="1"/>
    <xf numFmtId="0" fontId="29" fillId="0" borderId="81" xfId="0" applyNumberFormat="1" applyFont="1" applyFill="1" applyBorder="1" applyAlignment="1"/>
    <xf numFmtId="0" fontId="29" fillId="0" borderId="0" xfId="0" applyNumberFormat="1" applyFont="1" applyFill="1" applyAlignment="1">
      <alignment vertical="center"/>
    </xf>
    <xf numFmtId="0" fontId="35" fillId="0" borderId="43" xfId="0" applyFont="1" applyFill="1" applyBorder="1" applyAlignment="1">
      <alignment horizontal="center" vertical="center" wrapText="1"/>
    </xf>
    <xf numFmtId="0" fontId="36" fillId="0" borderId="43" xfId="0" applyFont="1" applyFill="1" applyBorder="1" applyAlignment="1">
      <alignment horizontal="left" vertical="center" wrapText="1"/>
    </xf>
    <xf numFmtId="0" fontId="33" fillId="0" borderId="43" xfId="0" applyFont="1" applyFill="1" applyBorder="1" applyAlignment="1">
      <alignment horizontal="left" vertical="center" wrapText="1"/>
    </xf>
    <xf numFmtId="0" fontId="29" fillId="0" borderId="82" xfId="0" applyNumberFormat="1" applyFont="1" applyFill="1" applyBorder="1" applyAlignment="1"/>
    <xf numFmtId="0" fontId="29" fillId="0" borderId="83" xfId="0" applyNumberFormat="1" applyFont="1" applyFill="1" applyBorder="1" applyAlignment="1"/>
    <xf numFmtId="0" fontId="10" fillId="0" borderId="0" xfId="55" applyFont="1">
      <alignment vertical="center"/>
    </xf>
    <xf numFmtId="0" fontId="19" fillId="0" borderId="0" xfId="55" applyFont="1">
      <alignment vertical="center"/>
    </xf>
    <xf numFmtId="0" fontId="37" fillId="9" borderId="84" xfId="55" applyFont="1" applyFill="1" applyBorder="1" applyAlignment="1">
      <alignment horizontal="center" vertical="center"/>
    </xf>
    <xf numFmtId="0" fontId="37" fillId="9" borderId="85" xfId="55" applyFont="1" applyFill="1" applyBorder="1" applyAlignment="1">
      <alignment horizontal="center" vertical="center"/>
    </xf>
    <xf numFmtId="0" fontId="37" fillId="9" borderId="36" xfId="56" applyFont="1" applyFill="1" applyBorder="1" applyAlignment="1">
      <alignment horizontal="center" vertical="center" wrapText="1"/>
    </xf>
    <xf numFmtId="0" fontId="37" fillId="9" borderId="86" xfId="56" applyFont="1" applyFill="1" applyBorder="1" applyAlignment="1">
      <alignment horizontal="center" vertical="center" wrapText="1"/>
    </xf>
    <xf numFmtId="0" fontId="37" fillId="9" borderId="87" xfId="55" applyFont="1" applyFill="1" applyBorder="1" applyAlignment="1">
      <alignment horizontal="center" vertical="center"/>
    </xf>
    <xf numFmtId="0" fontId="37" fillId="9" borderId="35" xfId="55" applyFont="1" applyFill="1" applyBorder="1" applyAlignment="1">
      <alignment horizontal="center" vertical="center"/>
    </xf>
    <xf numFmtId="0" fontId="37" fillId="9" borderId="32" xfId="56" applyFont="1" applyFill="1" applyBorder="1" applyAlignment="1">
      <alignment horizontal="center" vertical="center"/>
    </xf>
    <xf numFmtId="0" fontId="37" fillId="9" borderId="32" xfId="55" applyFont="1" applyFill="1" applyBorder="1" applyAlignment="1">
      <alignment horizontal="center" vertical="center"/>
    </xf>
    <xf numFmtId="0" fontId="10" fillId="0" borderId="88" xfId="55" applyFont="1" applyBorder="1" applyAlignment="1">
      <alignment horizontal="center" vertical="center" wrapText="1"/>
    </xf>
    <xf numFmtId="0" fontId="10" fillId="0" borderId="88" xfId="55" applyFont="1" applyBorder="1" applyAlignment="1">
      <alignment vertical="center"/>
    </xf>
    <xf numFmtId="0" fontId="10" fillId="0" borderId="88" xfId="55" applyFont="1" applyBorder="1" applyAlignment="1">
      <alignment horizontal="center" vertical="center"/>
    </xf>
    <xf numFmtId="0" fontId="10" fillId="0" borderId="43" xfId="55" applyFont="1" applyBorder="1" applyAlignment="1">
      <alignment horizontal="center" vertical="center"/>
    </xf>
    <xf numFmtId="0" fontId="10" fillId="0" borderId="43" xfId="55" applyNumberFormat="1" applyFont="1" applyBorder="1" applyAlignment="1">
      <alignment horizontal="center" vertical="center"/>
    </xf>
    <xf numFmtId="0" fontId="10" fillId="0" borderId="89" xfId="55" applyFont="1" applyBorder="1" applyAlignment="1">
      <alignment horizontal="center" vertical="center" wrapText="1"/>
    </xf>
    <xf numFmtId="0" fontId="10" fillId="0" borderId="89" xfId="55" applyFont="1" applyBorder="1" applyAlignment="1">
      <alignment vertical="center"/>
    </xf>
    <xf numFmtId="0" fontId="10" fillId="0" borderId="89" xfId="55" applyFont="1" applyBorder="1" applyAlignment="1">
      <alignment horizontal="center" vertical="center"/>
    </xf>
    <xf numFmtId="0" fontId="10" fillId="0" borderId="43" xfId="55" applyFont="1" applyBorder="1" applyAlignment="1">
      <alignment horizontal="center" vertical="center" shrinkToFit="1"/>
    </xf>
    <xf numFmtId="0" fontId="10" fillId="0" borderId="90" xfId="55" applyFont="1" applyBorder="1" applyAlignment="1">
      <alignment vertical="center"/>
    </xf>
    <xf numFmtId="0" fontId="10" fillId="0" borderId="90" xfId="55" applyFont="1" applyBorder="1" applyAlignment="1">
      <alignment horizontal="center" vertical="center"/>
    </xf>
    <xf numFmtId="0" fontId="10" fillId="0" borderId="88" xfId="55" applyFont="1" applyBorder="1" applyAlignment="1">
      <alignment vertical="center" wrapText="1"/>
    </xf>
    <xf numFmtId="0" fontId="10" fillId="0" borderId="89" xfId="55" applyFont="1" applyBorder="1" applyAlignment="1">
      <alignment vertical="center" wrapText="1"/>
    </xf>
    <xf numFmtId="0" fontId="10" fillId="0" borderId="89" xfId="55" applyFont="1" applyBorder="1">
      <alignment vertical="center"/>
    </xf>
    <xf numFmtId="0" fontId="10" fillId="0" borderId="90" xfId="55" applyFont="1" applyBorder="1" applyAlignment="1">
      <alignment vertical="center" wrapText="1"/>
    </xf>
    <xf numFmtId="0" fontId="10" fillId="0" borderId="90" xfId="55" applyFont="1" applyBorder="1">
      <alignment vertical="center"/>
    </xf>
    <xf numFmtId="0" fontId="10" fillId="0" borderId="91" xfId="55" applyFont="1" applyBorder="1" applyAlignment="1">
      <alignment vertical="center"/>
    </xf>
    <xf numFmtId="0" fontId="10" fillId="0" borderId="42" xfId="55" applyFont="1" applyBorder="1" applyAlignment="1">
      <alignment horizontal="center" vertical="center" wrapText="1"/>
    </xf>
    <xf numFmtId="0" fontId="10" fillId="0" borderId="36" xfId="55" applyFont="1" applyBorder="1" applyAlignment="1">
      <alignment horizontal="center" vertical="center" wrapText="1"/>
    </xf>
    <xf numFmtId="0" fontId="10" fillId="0" borderId="32" xfId="55" applyFont="1" applyBorder="1" applyAlignment="1">
      <alignment vertical="center"/>
    </xf>
    <xf numFmtId="0" fontId="10" fillId="0" borderId="92" xfId="55" applyFont="1" applyBorder="1">
      <alignment vertical="center"/>
    </xf>
    <xf numFmtId="0" fontId="10" fillId="0" borderId="36" xfId="55" applyFont="1" applyBorder="1" applyAlignment="1">
      <alignment vertical="center" wrapText="1"/>
    </xf>
    <xf numFmtId="0" fontId="10" fillId="0" borderId="42" xfId="55" applyFont="1" applyBorder="1" applyAlignment="1">
      <alignment horizontal="center" vertical="center" shrinkToFit="1"/>
    </xf>
    <xf numFmtId="0" fontId="10" fillId="0" borderId="32" xfId="55" applyFont="1" applyBorder="1" applyAlignment="1">
      <alignment vertical="center" wrapText="1"/>
    </xf>
    <xf numFmtId="0" fontId="10" fillId="0" borderId="32" xfId="55" applyFont="1" applyBorder="1" applyAlignment="1">
      <alignment horizontal="center" vertical="center" wrapText="1"/>
    </xf>
    <xf numFmtId="0" fontId="10" fillId="0" borderId="35" xfId="55" applyFont="1" applyBorder="1" applyAlignment="1">
      <alignment vertical="center" wrapText="1"/>
    </xf>
    <xf numFmtId="0" fontId="10" fillId="0" borderId="35" xfId="55" applyFont="1" applyBorder="1" applyAlignment="1">
      <alignment horizontal="center" vertical="center" wrapText="1"/>
    </xf>
    <xf numFmtId="0" fontId="10" fillId="0" borderId="92" xfId="55" applyFont="1" applyBorder="1" applyAlignment="1">
      <alignment vertical="center" wrapText="1"/>
    </xf>
    <xf numFmtId="0" fontId="10" fillId="0" borderId="88" xfId="55" applyFont="1" applyBorder="1" applyAlignment="1">
      <alignment horizontal="center" vertical="center" shrinkToFit="1"/>
    </xf>
    <xf numFmtId="0" fontId="10" fillId="0" borderId="33" xfId="55" applyFont="1" applyBorder="1" applyAlignment="1">
      <alignment horizontal="center" vertical="center" wrapText="1"/>
    </xf>
    <xf numFmtId="0" fontId="10" fillId="0" borderId="93" xfId="55" applyFont="1" applyBorder="1">
      <alignment vertical="center"/>
    </xf>
    <xf numFmtId="49" fontId="10" fillId="0" borderId="35" xfId="0" applyNumberFormat="1" applyFont="1" applyBorder="1" applyAlignment="1">
      <alignment horizontal="center" vertical="center" wrapText="1"/>
    </xf>
    <xf numFmtId="0" fontId="10" fillId="0" borderId="32" xfId="55" applyFont="1" applyBorder="1">
      <alignment vertical="center"/>
    </xf>
    <xf numFmtId="0" fontId="10" fillId="0" borderId="31" xfId="55" applyFont="1" applyBorder="1">
      <alignment vertical="center"/>
    </xf>
    <xf numFmtId="0" fontId="10" fillId="0" borderId="94" xfId="55" applyFont="1" applyBorder="1">
      <alignment vertical="center"/>
    </xf>
    <xf numFmtId="0" fontId="10" fillId="0" borderId="95" xfId="55" applyFont="1" applyBorder="1" applyAlignment="1">
      <alignment horizontal="center" vertical="center"/>
    </xf>
    <xf numFmtId="49" fontId="10" fillId="0" borderId="43" xfId="55" applyNumberFormat="1" applyFont="1" applyBorder="1" applyAlignment="1">
      <alignment horizontal="center" vertical="center" shrinkToFit="1"/>
    </xf>
    <xf numFmtId="0" fontId="10" fillId="0" borderId="43" xfId="55" applyFont="1" applyBorder="1" applyAlignment="1">
      <alignment vertical="center"/>
    </xf>
    <xf numFmtId="49" fontId="10" fillId="0" borderId="90" xfId="55" applyNumberFormat="1" applyFont="1" applyBorder="1" applyAlignment="1">
      <alignment horizontal="center" vertical="center" shrinkToFit="1"/>
    </xf>
    <xf numFmtId="0" fontId="10" fillId="0" borderId="90" xfId="55" applyFont="1" applyBorder="1" applyAlignment="1">
      <alignment horizontal="center" vertical="center" wrapText="1"/>
    </xf>
    <xf numFmtId="0" fontId="19" fillId="0" borderId="96" xfId="55" applyFont="1" applyBorder="1" applyAlignment="1">
      <alignment horizontal="left" vertical="center"/>
    </xf>
    <xf numFmtId="0" fontId="19" fillId="0" borderId="97" xfId="55" applyFont="1" applyBorder="1" applyAlignment="1">
      <alignment vertical="center" wrapText="1"/>
    </xf>
    <xf numFmtId="0" fontId="5" fillId="0" borderId="2" xfId="55" applyFont="1" applyBorder="1" applyAlignment="1">
      <alignment horizontal="left" vertical="center"/>
    </xf>
    <xf numFmtId="0" fontId="24" fillId="0" borderId="0" xfId="55" applyFont="1" applyAlignment="1">
      <alignment horizontal="left" vertical="center" wrapText="1"/>
    </xf>
    <xf numFmtId="0" fontId="38" fillId="0" borderId="2" xfId="55" applyFont="1" applyBorder="1" applyAlignment="1">
      <alignment horizontal="left" vertical="center"/>
    </xf>
    <xf numFmtId="0" fontId="19" fillId="0" borderId="0" xfId="55" applyFont="1" applyAlignment="1">
      <alignment horizontal="left" vertical="center" wrapText="1"/>
    </xf>
    <xf numFmtId="0" fontId="10" fillId="0" borderId="2" xfId="55" applyFont="1" applyBorder="1" applyAlignment="1">
      <alignment horizontal="left" vertical="center"/>
    </xf>
    <xf numFmtId="0" fontId="10" fillId="0" borderId="0" xfId="55" applyFont="1" applyAlignment="1">
      <alignment horizontal="left" vertical="center"/>
    </xf>
    <xf numFmtId="0" fontId="39" fillId="0" borderId="2" xfId="55" applyFont="1" applyBorder="1" applyAlignment="1">
      <alignment vertical="center" wrapText="1"/>
    </xf>
    <xf numFmtId="0" fontId="40" fillId="0" borderId="0" xfId="55" applyFont="1" applyAlignment="1">
      <alignment vertical="center" wrapText="1"/>
    </xf>
    <xf numFmtId="3" fontId="41" fillId="0" borderId="0" xfId="55" applyNumberFormat="1" applyFont="1">
      <alignment vertical="center"/>
    </xf>
    <xf numFmtId="0" fontId="19" fillId="0" borderId="0" xfId="55" applyFont="1" applyAlignment="1">
      <alignment horizontal="right" vertical="center"/>
    </xf>
    <xf numFmtId="0" fontId="42" fillId="0" borderId="0" xfId="55" applyFont="1" applyAlignment="1">
      <alignment horizontal="right" vertical="center"/>
    </xf>
    <xf numFmtId="0" fontId="37" fillId="9" borderId="86" xfId="55" applyFont="1" applyFill="1" applyBorder="1" applyAlignment="1">
      <alignment horizontal="center" vertical="center" wrapText="1"/>
    </xf>
    <xf numFmtId="0" fontId="37" fillId="9" borderId="98" xfId="55" applyFont="1" applyFill="1" applyBorder="1" applyAlignment="1">
      <alignment horizontal="center" vertical="center" wrapText="1"/>
    </xf>
    <xf numFmtId="0" fontId="37" fillId="9" borderId="99" xfId="55" applyFont="1" applyFill="1" applyBorder="1" applyAlignment="1">
      <alignment horizontal="center" vertical="center" wrapText="1"/>
    </xf>
    <xf numFmtId="0" fontId="37" fillId="9" borderId="36" xfId="55" applyFont="1" applyFill="1" applyBorder="1" applyAlignment="1">
      <alignment horizontal="center" vertical="center" wrapText="1"/>
    </xf>
    <xf numFmtId="0" fontId="37" fillId="9" borderId="85" xfId="55" applyFont="1" applyFill="1" applyBorder="1" applyAlignment="1">
      <alignment horizontal="center" vertical="center" wrapText="1"/>
    </xf>
    <xf numFmtId="0" fontId="37" fillId="9" borderId="100" xfId="55" applyFont="1" applyFill="1" applyBorder="1" applyAlignment="1">
      <alignment horizontal="center" vertical="center" wrapText="1"/>
    </xf>
    <xf numFmtId="0" fontId="37" fillId="9" borderId="32" xfId="55" applyFont="1" applyFill="1" applyBorder="1" applyAlignment="1">
      <alignment horizontal="center" vertical="center" wrapText="1"/>
    </xf>
    <xf numFmtId="0" fontId="37" fillId="9" borderId="42" xfId="55" applyFont="1" applyFill="1" applyBorder="1" applyAlignment="1">
      <alignment horizontal="center" vertical="center" wrapText="1"/>
    </xf>
    <xf numFmtId="0" fontId="37" fillId="9" borderId="92" xfId="55" applyFont="1" applyFill="1" applyBorder="1" applyAlignment="1">
      <alignment horizontal="center" vertical="center" wrapText="1"/>
    </xf>
    <xf numFmtId="0" fontId="37" fillId="9" borderId="101" xfId="55" applyFont="1" applyFill="1" applyBorder="1" applyAlignment="1">
      <alignment horizontal="center" vertical="center"/>
    </xf>
    <xf numFmtId="184" fontId="40" fillId="10" borderId="43" xfId="55" applyNumberFormat="1" applyFont="1" applyFill="1" applyBorder="1" applyAlignment="1">
      <alignment horizontal="center" vertical="center" wrapText="1"/>
    </xf>
    <xf numFmtId="184" fontId="10" fillId="11" borderId="42" xfId="0" applyNumberFormat="1" applyFont="1" applyFill="1" applyBorder="1" applyAlignment="1">
      <alignment horizontal="center" vertical="center" wrapText="1"/>
    </xf>
    <xf numFmtId="184" fontId="10" fillId="0" borderId="102" xfId="0" applyNumberFormat="1" applyFont="1" applyBorder="1" applyAlignment="1">
      <alignment horizontal="center" vertical="center" wrapText="1"/>
    </xf>
    <xf numFmtId="179" fontId="43" fillId="0" borderId="43" xfId="55" applyNumberFormat="1" applyFont="1" applyBorder="1" applyAlignment="1">
      <alignment horizontal="left" vertical="center" wrapText="1"/>
    </xf>
    <xf numFmtId="179" fontId="44" fillId="0" borderId="43" xfId="55" applyNumberFormat="1" applyFont="1" applyBorder="1" applyAlignment="1">
      <alignment horizontal="center" vertical="center" wrapText="1"/>
    </xf>
    <xf numFmtId="49" fontId="40" fillId="0" borderId="43" xfId="55" applyNumberFormat="1" applyFont="1" applyBorder="1" applyAlignment="1">
      <alignment horizontal="center" vertical="center" wrapText="1"/>
    </xf>
    <xf numFmtId="0" fontId="40" fillId="0" borderId="103" xfId="55" applyFont="1" applyBorder="1" applyAlignment="1">
      <alignment horizontal="center" vertical="center" wrapText="1"/>
    </xf>
    <xf numFmtId="184" fontId="10" fillId="0" borderId="72" xfId="0" applyNumberFormat="1" applyFont="1" applyBorder="1" applyAlignment="1">
      <alignment horizontal="center" vertical="center" wrapText="1"/>
    </xf>
    <xf numFmtId="0" fontId="43" fillId="0" borderId="43" xfId="55" applyFont="1" applyBorder="1" applyAlignment="1">
      <alignment horizontal="left" vertical="center"/>
    </xf>
    <xf numFmtId="0" fontId="45" fillId="0" borderId="43" xfId="55" applyFont="1" applyBorder="1" applyAlignment="1">
      <alignment horizontal="center" vertical="center"/>
    </xf>
    <xf numFmtId="0" fontId="40" fillId="0" borderId="43" xfId="55" applyFont="1" applyBorder="1">
      <alignment vertical="center"/>
    </xf>
    <xf numFmtId="0" fontId="40" fillId="0" borderId="89" xfId="55" applyFont="1" applyBorder="1" applyAlignment="1">
      <alignment horizontal="center" vertical="center" wrapText="1"/>
    </xf>
    <xf numFmtId="0" fontId="40" fillId="0" borderId="90" xfId="55" applyFont="1" applyBorder="1" applyAlignment="1">
      <alignment horizontal="center" vertical="center" wrapText="1"/>
    </xf>
    <xf numFmtId="184" fontId="10" fillId="0" borderId="43" xfId="55" applyNumberFormat="1" applyFont="1" applyBorder="1" applyAlignment="1">
      <alignment horizontal="center" vertical="center"/>
    </xf>
    <xf numFmtId="179" fontId="10" fillId="0" borderId="103" xfId="55" applyNumberFormat="1" applyFont="1" applyBorder="1" applyAlignment="1">
      <alignment horizontal="left" vertical="center" wrapText="1"/>
    </xf>
    <xf numFmtId="179" fontId="10" fillId="0" borderId="88" xfId="55" applyNumberFormat="1" applyFont="1" applyBorder="1" applyAlignment="1">
      <alignment horizontal="center" vertical="center" wrapText="1"/>
    </xf>
    <xf numFmtId="49" fontId="10" fillId="0" borderId="103" xfId="55" applyNumberFormat="1" applyFont="1" applyBorder="1" applyAlignment="1">
      <alignment horizontal="center" vertical="center" wrapText="1"/>
    </xf>
    <xf numFmtId="179" fontId="10" fillId="0" borderId="88" xfId="55" applyNumberFormat="1" applyFont="1" applyBorder="1" applyAlignment="1">
      <alignment horizontal="left" vertical="center" wrapText="1"/>
    </xf>
    <xf numFmtId="0" fontId="10" fillId="0" borderId="89" xfId="55" applyFont="1" applyBorder="1" applyAlignment="1">
      <alignment horizontal="left" vertical="center"/>
    </xf>
    <xf numFmtId="0" fontId="10" fillId="0" borderId="90" xfId="55" applyFont="1" applyBorder="1" applyAlignment="1">
      <alignment horizontal="left" vertical="center"/>
    </xf>
    <xf numFmtId="179" fontId="40" fillId="0" borderId="88" xfId="6" applyNumberFormat="1" applyFont="1" applyFill="1" applyBorder="1" applyAlignment="1">
      <alignment horizontal="left" vertical="center" wrapText="1"/>
    </xf>
    <xf numFmtId="0" fontId="40" fillId="0" borderId="89" xfId="6" applyFont="1" applyFill="1" applyBorder="1" applyAlignment="1">
      <alignment horizontal="left" vertical="center"/>
    </xf>
    <xf numFmtId="0" fontId="40" fillId="0" borderId="90" xfId="6" applyFont="1" applyFill="1" applyBorder="1" applyAlignment="1">
      <alignment horizontal="left" vertical="center"/>
    </xf>
    <xf numFmtId="184" fontId="40" fillId="0" borderId="43" xfId="55" applyNumberFormat="1" applyFont="1" applyBorder="1" applyAlignment="1">
      <alignment horizontal="center" vertical="center" wrapText="1"/>
    </xf>
    <xf numFmtId="179" fontId="46" fillId="0" borderId="43" xfId="55" applyNumberFormat="1" applyFont="1" applyBorder="1" applyAlignment="1">
      <alignment horizontal="left" vertical="center" wrapText="1"/>
    </xf>
    <xf numFmtId="179" fontId="40" fillId="0" borderId="43" xfId="55" applyNumberFormat="1" applyFont="1" applyBorder="1" applyAlignment="1">
      <alignment horizontal="left" vertical="center" wrapText="1"/>
    </xf>
    <xf numFmtId="49" fontId="40" fillId="0" borderId="91" xfId="55" applyNumberFormat="1" applyFont="1" applyBorder="1" applyAlignment="1">
      <alignment horizontal="center" vertical="center"/>
    </xf>
    <xf numFmtId="0" fontId="40" fillId="0" borderId="104" xfId="6" applyFont="1" applyFill="1" applyBorder="1" applyAlignment="1" applyProtection="1">
      <alignment horizontal="left" vertical="center" wrapText="1"/>
    </xf>
    <xf numFmtId="0" fontId="46" fillId="0" borderId="43" xfId="55" applyFont="1" applyBorder="1" applyAlignment="1">
      <alignment horizontal="left" vertical="center"/>
    </xf>
    <xf numFmtId="0" fontId="40" fillId="0" borderId="43" xfId="55" applyFont="1" applyBorder="1" applyAlignment="1">
      <alignment horizontal="left" vertical="center"/>
    </xf>
    <xf numFmtId="49" fontId="40" fillId="0" borderId="32" xfId="55" applyNumberFormat="1" applyFont="1" applyBorder="1">
      <alignment vertical="center"/>
    </xf>
    <xf numFmtId="0" fontId="40" fillId="0" borderId="105" xfId="6" applyFont="1" applyFill="1" applyBorder="1" applyAlignment="1" applyProtection="1">
      <alignment horizontal="left" vertical="center"/>
    </xf>
    <xf numFmtId="184" fontId="40" fillId="10" borderId="42" xfId="55" applyNumberFormat="1" applyFont="1" applyFill="1" applyBorder="1" applyAlignment="1">
      <alignment horizontal="center" vertical="center" wrapText="1"/>
    </xf>
    <xf numFmtId="184" fontId="40" fillId="0" borderId="36" xfId="55" applyNumberFormat="1" applyFont="1" applyBorder="1" applyAlignment="1">
      <alignment horizontal="left" vertical="center" wrapText="1"/>
    </xf>
    <xf numFmtId="184" fontId="40" fillId="0" borderId="36" xfId="55" applyNumberFormat="1" applyFont="1" applyBorder="1" applyAlignment="1">
      <alignment horizontal="center" vertical="center" wrapText="1"/>
    </xf>
    <xf numFmtId="49" fontId="40" fillId="0" borderId="36" xfId="55" applyNumberFormat="1" applyFont="1" applyBorder="1" applyAlignment="1">
      <alignment horizontal="center" vertical="center" wrapText="1"/>
    </xf>
    <xf numFmtId="184" fontId="40" fillId="0" borderId="32" xfId="55" applyNumberFormat="1" applyFont="1" applyBorder="1" applyAlignment="1">
      <alignment horizontal="left" vertical="center" wrapText="1"/>
    </xf>
    <xf numFmtId="184" fontId="40" fillId="0" borderId="32" xfId="55" applyNumberFormat="1" applyFont="1" applyBorder="1" applyAlignment="1">
      <alignment horizontal="center" vertical="center" wrapText="1"/>
    </xf>
    <xf numFmtId="49" fontId="40" fillId="0" borderId="32" xfId="55" applyNumberFormat="1" applyFont="1" applyBorder="1" applyAlignment="1">
      <alignment horizontal="center" vertical="center" wrapText="1"/>
    </xf>
    <xf numFmtId="184" fontId="40" fillId="10" borderId="43" xfId="55" applyNumberFormat="1" applyFont="1" applyFill="1" applyBorder="1" applyAlignment="1">
      <alignment horizontal="center" vertical="center" shrinkToFit="1"/>
    </xf>
    <xf numFmtId="49" fontId="40" fillId="0" borderId="42" xfId="55" applyNumberFormat="1" applyFont="1" applyBorder="1" applyAlignment="1">
      <alignment horizontal="center" vertical="center"/>
    </xf>
    <xf numFmtId="0" fontId="40" fillId="0" borderId="106" xfId="55" applyFont="1" applyBorder="1" applyAlignment="1">
      <alignment horizontal="left" vertical="center" wrapText="1"/>
    </xf>
    <xf numFmtId="49" fontId="40" fillId="0" borderId="107" xfId="55" applyNumberFormat="1" applyFont="1" applyBorder="1">
      <alignment vertical="center"/>
    </xf>
    <xf numFmtId="0" fontId="40" fillId="0" borderId="108" xfId="55" applyFont="1" applyBorder="1" applyAlignment="1">
      <alignment horizontal="left" vertical="center"/>
    </xf>
    <xf numFmtId="184" fontId="10" fillId="10" borderId="43" xfId="55" applyNumberFormat="1" applyFont="1" applyFill="1" applyBorder="1" applyAlignment="1">
      <alignment horizontal="center" vertical="center"/>
    </xf>
    <xf numFmtId="184" fontId="10" fillId="0" borderId="42" xfId="55" applyNumberFormat="1" applyFont="1" applyBorder="1" applyAlignment="1">
      <alignment horizontal="left" vertical="center" wrapText="1"/>
    </xf>
    <xf numFmtId="49" fontId="10" fillId="0" borderId="43" xfId="55" applyNumberFormat="1" applyFont="1" applyBorder="1" applyAlignment="1">
      <alignment horizontal="center" vertical="center" wrapText="1"/>
    </xf>
    <xf numFmtId="179" fontId="10" fillId="0" borderId="43" xfId="55" applyNumberFormat="1" applyFont="1" applyBorder="1" applyAlignment="1">
      <alignment horizontal="center" vertical="center" wrapText="1"/>
    </xf>
    <xf numFmtId="0" fontId="10" fillId="0" borderId="42" xfId="55" applyFont="1" applyBorder="1" applyAlignment="1">
      <alignment horizontal="left" vertical="center"/>
    </xf>
    <xf numFmtId="0" fontId="10" fillId="0" borderId="43" xfId="55" applyFont="1" applyBorder="1">
      <alignment vertical="center"/>
    </xf>
    <xf numFmtId="184" fontId="40" fillId="0" borderId="43" xfId="55" applyNumberFormat="1" applyFont="1" applyBorder="1" applyAlignment="1">
      <alignment horizontal="center" vertical="center" shrinkToFit="1"/>
    </xf>
    <xf numFmtId="179" fontId="40" fillId="0" borderId="43" xfId="55" applyNumberFormat="1" applyFont="1" applyBorder="1" applyAlignment="1">
      <alignment horizontal="center" vertical="center" wrapText="1"/>
    </xf>
    <xf numFmtId="184" fontId="40" fillId="0" borderId="88" xfId="55" applyNumberFormat="1" applyFont="1" applyBorder="1" applyAlignment="1">
      <alignment horizontal="center" vertical="center" shrinkToFit="1"/>
    </xf>
    <xf numFmtId="0" fontId="10" fillId="0" borderId="36" xfId="55" applyFont="1" applyBorder="1" applyAlignment="1">
      <alignment horizontal="left" vertical="center"/>
    </xf>
    <xf numFmtId="0" fontId="40" fillId="0" borderId="88" xfId="55" applyFont="1" applyBorder="1" applyAlignment="1">
      <alignment horizontal="center" vertical="center"/>
    </xf>
    <xf numFmtId="49" fontId="40" fillId="0" borderId="36" xfId="55" applyNumberFormat="1" applyFont="1" applyBorder="1">
      <alignment vertical="center"/>
    </xf>
    <xf numFmtId="0" fontId="40" fillId="0" borderId="109" xfId="55" applyFont="1" applyBorder="1" applyAlignment="1">
      <alignment horizontal="left" vertical="center"/>
    </xf>
    <xf numFmtId="0" fontId="10" fillId="0" borderId="88" xfId="55" applyFont="1" applyBorder="1" applyAlignment="1">
      <alignment horizontal="left" vertical="center" wrapText="1"/>
    </xf>
    <xf numFmtId="0" fontId="10" fillId="0" borderId="85" xfId="55" applyFont="1" applyBorder="1" applyAlignment="1">
      <alignment horizontal="center" vertical="center" wrapText="1"/>
    </xf>
    <xf numFmtId="49" fontId="47" fillId="0" borderId="84" xfId="55" applyNumberFormat="1" applyFont="1" applyBorder="1" applyAlignment="1">
      <alignment horizontal="center" vertical="center" wrapText="1"/>
    </xf>
    <xf numFmtId="0" fontId="10" fillId="0" borderId="89" xfId="55" applyFont="1" applyBorder="1" applyAlignment="1">
      <alignment horizontal="left" vertical="center" wrapText="1"/>
    </xf>
    <xf numFmtId="49" fontId="47" fillId="0" borderId="110" xfId="55" applyNumberFormat="1" applyFont="1" applyBorder="1" applyAlignment="1">
      <alignment horizontal="center" vertical="center" wrapText="1"/>
    </xf>
    <xf numFmtId="0" fontId="10" fillId="0" borderId="90" xfId="55" applyFont="1" applyBorder="1" applyAlignment="1">
      <alignment horizontal="left" vertical="center" wrapText="1"/>
    </xf>
    <xf numFmtId="49" fontId="40" fillId="0" borderId="88" xfId="55" applyNumberFormat="1" applyFont="1" applyBorder="1">
      <alignment vertical="center"/>
    </xf>
    <xf numFmtId="0" fontId="10" fillId="0" borderId="43" xfId="55" applyFont="1" applyBorder="1" applyAlignment="1">
      <alignment horizontal="left" vertical="center" wrapText="1"/>
    </xf>
    <xf numFmtId="0" fontId="40" fillId="0" borderId="43" xfId="55" applyFont="1" applyBorder="1" applyAlignment="1">
      <alignment horizontal="center" vertical="center"/>
    </xf>
    <xf numFmtId="49" fontId="40" fillId="0" borderId="43" xfId="55" applyNumberFormat="1" applyFont="1" applyBorder="1" applyAlignment="1">
      <alignment horizontal="center" vertical="center"/>
    </xf>
    <xf numFmtId="179" fontId="10" fillId="0" borderId="43" xfId="55" applyNumberFormat="1" applyFont="1" applyBorder="1" applyAlignment="1">
      <alignment horizontal="left" vertical="center" wrapText="1"/>
    </xf>
    <xf numFmtId="184" fontId="40" fillId="0" borderId="90" xfId="55" applyNumberFormat="1" applyFont="1" applyBorder="1" applyAlignment="1">
      <alignment horizontal="center" vertical="center" shrinkToFit="1"/>
    </xf>
    <xf numFmtId="0" fontId="10" fillId="0" borderId="2" xfId="55" applyFont="1" applyBorder="1" applyAlignment="1">
      <alignment horizontal="left" vertical="center" wrapText="1"/>
    </xf>
    <xf numFmtId="0" fontId="10" fillId="0" borderId="94" xfId="55" applyFont="1" applyBorder="1" applyAlignment="1">
      <alignment horizontal="left" vertical="center" wrapText="1"/>
    </xf>
    <xf numFmtId="0" fontId="10" fillId="0" borderId="0" xfId="55" applyFont="1" applyAlignment="1">
      <alignment horizontal="center" vertical="center" wrapText="1"/>
    </xf>
    <xf numFmtId="49" fontId="40" fillId="0" borderId="88" xfId="55" applyNumberFormat="1" applyFont="1" applyBorder="1" applyAlignment="1">
      <alignment horizontal="center" vertical="center"/>
    </xf>
    <xf numFmtId="0" fontId="40" fillId="0" borderId="89" xfId="55" applyFont="1" applyBorder="1" applyAlignment="1">
      <alignment horizontal="center" vertical="center"/>
    </xf>
    <xf numFmtId="49" fontId="40" fillId="0" borderId="89" xfId="55" applyNumberFormat="1" applyFont="1" applyBorder="1" applyAlignment="1">
      <alignment horizontal="center" vertical="center"/>
    </xf>
    <xf numFmtId="179" fontId="10" fillId="0" borderId="89" xfId="55" applyNumberFormat="1" applyFont="1" applyBorder="1" applyAlignment="1">
      <alignment horizontal="center" vertical="center" wrapText="1"/>
    </xf>
    <xf numFmtId="0" fontId="40" fillId="0" borderId="90" xfId="55" applyFont="1" applyBorder="1" applyAlignment="1">
      <alignment horizontal="center" vertical="center"/>
    </xf>
    <xf numFmtId="49" fontId="40" fillId="0" borderId="90" xfId="55" applyNumberFormat="1" applyFont="1" applyBorder="1" applyAlignment="1">
      <alignment horizontal="center" vertical="center"/>
    </xf>
    <xf numFmtId="179" fontId="10" fillId="0" borderId="90" xfId="55" applyNumberFormat="1" applyFont="1" applyBorder="1" applyAlignment="1">
      <alignment horizontal="center" vertical="center" wrapText="1"/>
    </xf>
    <xf numFmtId="0" fontId="19" fillId="0" borderId="97" xfId="55" applyFont="1" applyBorder="1" applyAlignment="1">
      <alignment horizontal="center" vertical="center" wrapText="1"/>
    </xf>
    <xf numFmtId="0" fontId="19" fillId="0" borderId="111" xfId="55" applyFont="1" applyBorder="1" applyAlignment="1">
      <alignment vertical="center" wrapText="1"/>
    </xf>
    <xf numFmtId="0" fontId="10" fillId="0" borderId="0" xfId="55" applyFont="1" applyAlignment="1">
      <alignment horizontal="left" vertical="center" wrapText="1"/>
    </xf>
    <xf numFmtId="0" fontId="10" fillId="0" borderId="112" xfId="55" applyFont="1" applyBorder="1" applyAlignment="1">
      <alignment horizontal="left" vertical="center" wrapText="1"/>
    </xf>
    <xf numFmtId="0" fontId="19" fillId="0" borderId="0" xfId="55" applyFont="1" applyAlignment="1">
      <alignment horizontal="center" vertical="center" wrapText="1"/>
    </xf>
    <xf numFmtId="0" fontId="19" fillId="0" borderId="112" xfId="55" applyFont="1" applyBorder="1" applyAlignment="1">
      <alignment horizontal="left" vertical="center" wrapText="1"/>
    </xf>
    <xf numFmtId="0" fontId="40" fillId="0" borderId="112" xfId="55" applyFont="1" applyBorder="1" applyAlignment="1">
      <alignment vertical="center" wrapText="1"/>
    </xf>
    <xf numFmtId="0" fontId="45" fillId="0" borderId="2" xfId="6" applyFont="1" applyFill="1" applyBorder="1" applyAlignment="1">
      <alignment horizontal="left" vertical="center"/>
    </xf>
    <xf numFmtId="0" fontId="10" fillId="0" borderId="0" xfId="55" applyFont="1" applyAlignment="1">
      <alignment vertical="center" wrapText="1"/>
    </xf>
    <xf numFmtId="0" fontId="19" fillId="0" borderId="2" xfId="55" applyFont="1" applyBorder="1" applyAlignment="1">
      <alignment horizontal="left" vertical="center"/>
    </xf>
    <xf numFmtId="0" fontId="39" fillId="0" borderId="2" xfId="55" applyFont="1" applyBorder="1" applyAlignment="1">
      <alignment horizontal="left" vertical="center" wrapText="1"/>
    </xf>
    <xf numFmtId="0" fontId="40" fillId="0" borderId="0" xfId="55" applyFont="1" applyAlignment="1">
      <alignment horizontal="left" vertical="center" wrapText="1"/>
    </xf>
    <xf numFmtId="0" fontId="40" fillId="0" borderId="2" xfId="55" applyFont="1" applyBorder="1" applyAlignment="1">
      <alignment horizontal="left" vertical="center" wrapText="1"/>
    </xf>
    <xf numFmtId="0" fontId="39" fillId="0" borderId="2" xfId="55" applyFont="1" applyBorder="1" applyAlignment="1">
      <alignment horizontal="left" vertical="center"/>
    </xf>
    <xf numFmtId="0" fontId="48" fillId="0" borderId="2" xfId="55" applyFont="1" applyBorder="1" applyAlignment="1">
      <alignment horizontal="left" vertical="center"/>
    </xf>
    <xf numFmtId="0" fontId="39" fillId="0" borderId="2" xfId="55" applyFont="1" applyBorder="1">
      <alignment vertical="center"/>
    </xf>
    <xf numFmtId="0" fontId="19" fillId="0" borderId="2" xfId="55" applyFont="1" applyBorder="1" applyAlignment="1">
      <alignment horizontal="left" vertical="center" wrapText="1"/>
    </xf>
    <xf numFmtId="0" fontId="45" fillId="0" borderId="2" xfId="6" applyFont="1" applyFill="1" applyBorder="1" applyAlignment="1" applyProtection="1">
      <alignment horizontal="left" vertical="center"/>
    </xf>
    <xf numFmtId="0" fontId="45" fillId="0" borderId="0" xfId="6" applyFont="1" applyFill="1" applyAlignment="1" applyProtection="1">
      <alignment horizontal="left" vertical="center"/>
    </xf>
    <xf numFmtId="0" fontId="44" fillId="0" borderId="2" xfId="6" applyFont="1" applyFill="1" applyBorder="1" applyAlignment="1" applyProtection="1">
      <alignment horizontal="left" vertical="center"/>
    </xf>
    <xf numFmtId="0" fontId="44" fillId="0" borderId="0" xfId="6" applyFont="1" applyFill="1" applyAlignment="1" applyProtection="1">
      <alignment horizontal="left" vertical="center"/>
    </xf>
    <xf numFmtId="0" fontId="45" fillId="0" borderId="0" xfId="6" applyFont="1" applyFill="1" applyBorder="1" applyAlignment="1" applyProtection="1">
      <alignment horizontal="left" vertical="center"/>
    </xf>
    <xf numFmtId="0" fontId="47" fillId="0" borderId="0" xfId="55" applyFont="1" applyAlignment="1">
      <alignment horizontal="left" vertical="center" wrapText="1"/>
    </xf>
    <xf numFmtId="0" fontId="45" fillId="0" borderId="2" xfId="55" applyFont="1" applyBorder="1" applyAlignment="1">
      <alignment horizontal="left" vertical="center"/>
    </xf>
    <xf numFmtId="0" fontId="44" fillId="0" borderId="0" xfId="55" applyFont="1">
      <alignment vertical="center"/>
    </xf>
    <xf numFmtId="0" fontId="45" fillId="0" borderId="2" xfId="55" applyFont="1" applyBorder="1" applyAlignment="1">
      <alignment horizontal="left" vertical="center" wrapText="1"/>
    </xf>
    <xf numFmtId="0" fontId="45" fillId="0" borderId="0" xfId="55" applyFont="1" applyAlignment="1">
      <alignment vertical="center" wrapText="1"/>
    </xf>
    <xf numFmtId="0" fontId="40" fillId="0" borderId="2" xfId="55" applyFont="1" applyBorder="1" applyAlignment="1">
      <alignment vertical="center" wrapText="1"/>
    </xf>
    <xf numFmtId="0" fontId="10" fillId="0" borderId="112" xfId="55" applyFont="1" applyBorder="1" applyAlignment="1">
      <alignment vertical="center" wrapText="1"/>
    </xf>
    <xf numFmtId="0" fontId="40" fillId="0" borderId="112" xfId="55" applyFont="1" applyBorder="1" applyAlignment="1">
      <alignment horizontal="left" vertical="center" wrapText="1"/>
    </xf>
    <xf numFmtId="0" fontId="10" fillId="0" borderId="112" xfId="55" applyFont="1" applyBorder="1" applyAlignment="1">
      <alignment horizontal="left" vertical="center"/>
    </xf>
    <xf numFmtId="0" fontId="45" fillId="0" borderId="112" xfId="6" applyFont="1" applyFill="1" applyBorder="1" applyAlignment="1" applyProtection="1">
      <alignment horizontal="left" vertical="center"/>
    </xf>
    <xf numFmtId="0" fontId="44" fillId="0" borderId="112" xfId="6" applyFont="1" applyFill="1" applyBorder="1" applyAlignment="1" applyProtection="1">
      <alignment horizontal="left" vertical="center"/>
    </xf>
    <xf numFmtId="0" fontId="47" fillId="0" borderId="0" xfId="55" applyFont="1" applyAlignment="1">
      <alignment horizontal="center" vertical="center" wrapText="1"/>
    </xf>
    <xf numFmtId="0" fontId="49" fillId="0" borderId="112" xfId="55" applyFont="1" applyBorder="1" applyAlignment="1">
      <alignment horizontal="left" vertical="center" wrapText="1"/>
    </xf>
    <xf numFmtId="0" fontId="10" fillId="0" borderId="112" xfId="55" applyFont="1" applyBorder="1">
      <alignment vertical="center"/>
    </xf>
    <xf numFmtId="0" fontId="45" fillId="0" borderId="112" xfId="55" applyFont="1" applyBorder="1">
      <alignment vertical="center"/>
    </xf>
    <xf numFmtId="0" fontId="45" fillId="0" borderId="112" xfId="55" applyFont="1" applyBorder="1" applyAlignment="1">
      <alignment vertical="center" wrapText="1"/>
    </xf>
    <xf numFmtId="0" fontId="40" fillId="0" borderId="0" xfId="55" applyFont="1">
      <alignment vertical="center"/>
    </xf>
    <xf numFmtId="0" fontId="39" fillId="0" borderId="0" xfId="55" applyFont="1" applyAlignment="1">
      <alignment horizontal="left" vertical="center"/>
    </xf>
    <xf numFmtId="0" fontId="45" fillId="0" borderId="0" xfId="55" applyFont="1" applyAlignment="1">
      <alignment horizontal="left" vertical="center" wrapText="1"/>
    </xf>
    <xf numFmtId="0" fontId="10" fillId="0" borderId="94" xfId="55" applyFont="1" applyBorder="1" applyAlignment="1">
      <alignment horizontal="left" vertical="center"/>
    </xf>
    <xf numFmtId="0" fontId="10" fillId="0" borderId="113" xfId="55" applyFont="1" applyBorder="1">
      <alignment vertical="center"/>
    </xf>
    <xf numFmtId="0" fontId="40" fillId="0" borderId="112" xfId="55" applyFont="1" applyBorder="1" applyAlignment="1">
      <alignment horizontal="left" vertical="center"/>
    </xf>
    <xf numFmtId="0" fontId="39" fillId="0" borderId="112" xfId="55" applyFont="1" applyBorder="1" applyAlignment="1">
      <alignment horizontal="left" vertical="center"/>
    </xf>
    <xf numFmtId="0" fontId="45" fillId="0" borderId="0" xfId="55" applyFont="1" applyAlignment="1">
      <alignment horizontal="center" vertical="center" wrapText="1"/>
    </xf>
    <xf numFmtId="0" fontId="44" fillId="0" borderId="112" xfId="55" applyFont="1" applyBorder="1" applyAlignment="1">
      <alignment horizontal="left" vertical="center" wrapText="1"/>
    </xf>
    <xf numFmtId="0" fontId="10" fillId="0" borderId="113" xfId="55" applyFont="1" applyBorder="1" applyAlignment="1">
      <alignment horizontal="center" vertical="center"/>
    </xf>
    <xf numFmtId="0" fontId="10" fillId="0" borderId="114" xfId="55" applyFont="1" applyBorder="1">
      <alignment vertical="center"/>
    </xf>
    <xf numFmtId="0" fontId="37" fillId="9" borderId="115" xfId="55" applyFont="1" applyFill="1" applyBorder="1" applyAlignment="1">
      <alignment horizontal="center" vertical="center"/>
    </xf>
    <xf numFmtId="0" fontId="10" fillId="0" borderId="43" xfId="55" applyFont="1" applyBorder="1" applyAlignment="1">
      <alignment horizontal="center" vertical="center" wrapText="1"/>
    </xf>
    <xf numFmtId="0" fontId="10" fillId="0" borderId="116" xfId="55" applyFont="1" applyBorder="1" applyAlignment="1">
      <alignment vertical="center"/>
    </xf>
    <xf numFmtId="0" fontId="10" fillId="0" borderId="116" xfId="55" applyFont="1" applyBorder="1" applyAlignment="1">
      <alignment horizontal="center" vertical="center"/>
    </xf>
    <xf numFmtId="0" fontId="10" fillId="0" borderId="117" xfId="55" applyFont="1" applyBorder="1" applyAlignment="1">
      <alignment horizontal="center" vertical="center" shrinkToFit="1"/>
    </xf>
    <xf numFmtId="0" fontId="10" fillId="0" borderId="114" xfId="55" applyFont="1" applyBorder="1" applyAlignment="1">
      <alignment horizontal="center" vertical="center" shrinkToFit="1"/>
    </xf>
    <xf numFmtId="0" fontId="40" fillId="0" borderId="88" xfId="55" applyFont="1" applyBorder="1" applyAlignment="1">
      <alignment vertical="center" wrapText="1"/>
    </xf>
    <xf numFmtId="0" fontId="40" fillId="0" borderId="88" xfId="55" applyFont="1" applyBorder="1" applyAlignment="1">
      <alignment horizontal="center" vertical="center" wrapText="1"/>
    </xf>
    <xf numFmtId="0" fontId="40" fillId="0" borderId="89" xfId="55" applyFont="1" applyBorder="1" applyAlignment="1">
      <alignment vertical="center" wrapText="1"/>
    </xf>
    <xf numFmtId="49" fontId="10" fillId="0" borderId="43" xfId="55" applyNumberFormat="1" applyFont="1" applyBorder="1" applyAlignment="1">
      <alignment horizontal="center" vertical="center"/>
    </xf>
    <xf numFmtId="0" fontId="40" fillId="0" borderId="90" xfId="55" applyFont="1" applyBorder="1" applyAlignment="1">
      <alignment vertical="center" wrapText="1"/>
    </xf>
    <xf numFmtId="0" fontId="10" fillId="0" borderId="85" xfId="55" applyFont="1" applyBorder="1" applyAlignment="1">
      <alignment vertical="center"/>
    </xf>
    <xf numFmtId="0" fontId="10" fillId="0" borderId="118" xfId="55" applyFont="1" applyBorder="1" applyAlignment="1">
      <alignment horizontal="center" vertical="center" wrapText="1"/>
    </xf>
    <xf numFmtId="0" fontId="10" fillId="0" borderId="118" xfId="55" applyFont="1" applyBorder="1" applyAlignment="1">
      <alignment horizontal="center" vertical="center" shrinkToFit="1"/>
    </xf>
    <xf numFmtId="49" fontId="10" fillId="0" borderId="35" xfId="0" applyNumberFormat="1" applyFont="1" applyBorder="1" applyAlignment="1">
      <alignment horizontal="center" vertical="center"/>
    </xf>
    <xf numFmtId="184" fontId="10" fillId="0" borderId="102" xfId="0" applyNumberFormat="1" applyFont="1" applyBorder="1" applyAlignment="1">
      <alignment horizontal="center" vertical="center"/>
    </xf>
    <xf numFmtId="179" fontId="40" fillId="0" borderId="42" xfId="55" applyNumberFormat="1" applyFont="1" applyBorder="1" applyAlignment="1">
      <alignment horizontal="left" vertical="center" wrapText="1"/>
    </xf>
    <xf numFmtId="179" fontId="45" fillId="0" borderId="43" xfId="55" applyNumberFormat="1" applyFont="1" applyBorder="1" applyAlignment="1">
      <alignment horizontal="center" vertical="center" wrapText="1"/>
    </xf>
    <xf numFmtId="49" fontId="40" fillId="0" borderId="119" xfId="55" applyNumberFormat="1" applyFont="1" applyBorder="1" applyAlignment="1">
      <alignment horizontal="center" vertical="center" wrapText="1"/>
    </xf>
    <xf numFmtId="0" fontId="45" fillId="0" borderId="43" xfId="55" applyFont="1" applyBorder="1" applyAlignment="1">
      <alignment vertical="center" wrapText="1"/>
    </xf>
    <xf numFmtId="184" fontId="10" fillId="0" borderId="72" xfId="0" applyNumberFormat="1" applyFont="1" applyBorder="1" applyAlignment="1">
      <alignment horizontal="center" vertical="center"/>
    </xf>
    <xf numFmtId="0" fontId="40" fillId="0" borderId="42" xfId="55" applyFont="1" applyBorder="1" applyAlignment="1">
      <alignment horizontal="left" vertical="center"/>
    </xf>
    <xf numFmtId="0" fontId="40" fillId="0" borderId="119" xfId="55" applyFont="1" applyBorder="1">
      <alignment vertical="center"/>
    </xf>
    <xf numFmtId="184" fontId="40" fillId="0" borderId="88" xfId="55" applyNumberFormat="1" applyFont="1" applyBorder="1" applyAlignment="1">
      <alignment horizontal="left" vertical="center" wrapText="1"/>
    </xf>
    <xf numFmtId="184" fontId="40" fillId="0" borderId="88" xfId="55" applyNumberFormat="1" applyFont="1" applyBorder="1" applyAlignment="1">
      <alignment horizontal="center" vertical="center" wrapText="1"/>
    </xf>
    <xf numFmtId="49" fontId="40" fillId="0" borderId="88" xfId="55" applyNumberFormat="1" applyFont="1" applyBorder="1" applyAlignment="1">
      <alignment horizontal="center" vertical="center" wrapText="1"/>
    </xf>
    <xf numFmtId="184" fontId="40" fillId="0" borderId="89" xfId="55" applyNumberFormat="1" applyFont="1" applyBorder="1" applyAlignment="1">
      <alignment horizontal="left" vertical="center" wrapText="1"/>
    </xf>
    <xf numFmtId="184" fontId="40" fillId="0" borderId="89" xfId="55" applyNumberFormat="1" applyFont="1" applyBorder="1" applyAlignment="1">
      <alignment horizontal="center" vertical="center" wrapText="1"/>
    </xf>
    <xf numFmtId="49" fontId="40" fillId="0" borderId="89" xfId="55" applyNumberFormat="1" applyFont="1" applyBorder="1" applyAlignment="1">
      <alignment horizontal="center" vertical="center" wrapText="1"/>
    </xf>
    <xf numFmtId="184" fontId="40" fillId="0" borderId="90" xfId="55" applyNumberFormat="1" applyFont="1" applyBorder="1" applyAlignment="1">
      <alignment horizontal="left" vertical="center" wrapText="1"/>
    </xf>
    <xf numFmtId="184" fontId="40" fillId="0" borderId="90" xfId="55" applyNumberFormat="1" applyFont="1" applyBorder="1" applyAlignment="1">
      <alignment horizontal="center" vertical="center" wrapText="1"/>
    </xf>
    <xf numFmtId="49" fontId="40" fillId="0" borderId="90" xfId="55" applyNumberFormat="1" applyFont="1" applyBorder="1" applyAlignment="1">
      <alignment horizontal="center" vertical="center" wrapText="1"/>
    </xf>
    <xf numFmtId="179" fontId="40" fillId="0" borderId="117" xfId="55" applyNumberFormat="1" applyFont="1" applyBorder="1" applyAlignment="1">
      <alignment horizontal="left" vertical="center" wrapText="1"/>
    </xf>
    <xf numFmtId="0" fontId="40" fillId="0" borderId="117" xfId="55" applyFont="1" applyBorder="1" applyAlignment="1">
      <alignment horizontal="left" vertical="center"/>
    </xf>
    <xf numFmtId="184" fontId="40" fillId="0" borderId="41" xfId="55" applyNumberFormat="1" applyFont="1" applyBorder="1" applyAlignment="1">
      <alignment horizontal="left" vertical="center" wrapText="1"/>
    </xf>
    <xf numFmtId="184" fontId="40" fillId="0" borderId="40" xfId="55" applyNumberFormat="1" applyFont="1" applyBorder="1" applyAlignment="1">
      <alignment horizontal="left" vertical="center" wrapText="1"/>
    </xf>
    <xf numFmtId="179" fontId="39" fillId="0" borderId="88" xfId="55" applyNumberFormat="1" applyFont="1" applyBorder="1" applyAlignment="1">
      <alignment horizontal="left" vertical="center" wrapText="1"/>
    </xf>
    <xf numFmtId="179" fontId="39" fillId="0" borderId="88" xfId="55" applyNumberFormat="1" applyFont="1" applyBorder="1" applyAlignment="1">
      <alignment vertical="center" wrapText="1"/>
    </xf>
    <xf numFmtId="179" fontId="40" fillId="0" borderId="90" xfId="55" applyNumberFormat="1" applyFont="1" applyBorder="1" applyAlignment="1">
      <alignment horizontal="left" vertical="center" wrapText="1"/>
    </xf>
    <xf numFmtId="179" fontId="39" fillId="0" borderId="90" xfId="55" applyNumberFormat="1" applyFont="1" applyBorder="1" applyAlignment="1">
      <alignment vertical="center" wrapText="1"/>
    </xf>
    <xf numFmtId="179" fontId="40" fillId="0" borderId="89" xfId="55" applyNumberFormat="1" applyFont="1" applyBorder="1" applyAlignment="1">
      <alignment horizontal="left" vertical="center" wrapText="1"/>
    </xf>
    <xf numFmtId="179" fontId="39" fillId="0" borderId="89" xfId="55" applyNumberFormat="1" applyFont="1" applyBorder="1" applyAlignment="1">
      <alignment vertical="center" wrapText="1"/>
    </xf>
    <xf numFmtId="179" fontId="10" fillId="0" borderId="43" xfId="55" applyNumberFormat="1" applyFont="1" applyBorder="1" applyAlignment="1">
      <alignment vertical="center" wrapText="1"/>
    </xf>
    <xf numFmtId="184" fontId="10" fillId="0" borderId="88" xfId="55" applyNumberFormat="1" applyFont="1" applyBorder="1" applyAlignment="1">
      <alignment horizontal="left" vertical="center" wrapText="1"/>
    </xf>
    <xf numFmtId="184" fontId="10" fillId="0" borderId="88" xfId="55" applyNumberFormat="1" applyFont="1" applyBorder="1" applyAlignment="1">
      <alignment horizontal="center" vertical="center" wrapText="1"/>
    </xf>
    <xf numFmtId="49" fontId="10" fillId="0" borderId="88" xfId="55" applyNumberFormat="1" applyFont="1" applyBorder="1" applyAlignment="1">
      <alignment horizontal="center" vertical="center" wrapText="1"/>
    </xf>
    <xf numFmtId="184" fontId="10" fillId="0" borderId="89" xfId="55" applyNumberFormat="1" applyFont="1" applyBorder="1" applyAlignment="1">
      <alignment horizontal="left" vertical="center" wrapText="1"/>
    </xf>
    <xf numFmtId="184" fontId="10" fillId="0" borderId="89" xfId="55" applyNumberFormat="1" applyFont="1" applyBorder="1" applyAlignment="1">
      <alignment horizontal="center" vertical="center" wrapText="1"/>
    </xf>
    <xf numFmtId="49" fontId="10" fillId="0" borderId="89" xfId="55" applyNumberFormat="1" applyFont="1" applyBorder="1" applyAlignment="1">
      <alignment horizontal="center" vertical="center" wrapText="1"/>
    </xf>
    <xf numFmtId="184" fontId="10" fillId="0" borderId="90" xfId="55" applyNumberFormat="1" applyFont="1" applyBorder="1" applyAlignment="1">
      <alignment horizontal="left" vertical="center" wrapText="1"/>
    </xf>
    <xf numFmtId="184" fontId="10" fillId="0" borderId="90" xfId="55" applyNumberFormat="1" applyFont="1" applyBorder="1" applyAlignment="1">
      <alignment horizontal="center" vertical="center" wrapText="1"/>
    </xf>
    <xf numFmtId="49" fontId="10" fillId="0" borderId="90" xfId="55" applyNumberFormat="1" applyFont="1" applyBorder="1" applyAlignment="1">
      <alignment horizontal="center" vertical="center" wrapText="1"/>
    </xf>
    <xf numFmtId="179" fontId="50" fillId="0" borderId="43" xfId="6" applyNumberFormat="1" applyFont="1" applyFill="1" applyBorder="1" applyAlignment="1">
      <alignment horizontal="center" vertical="center" wrapText="1"/>
    </xf>
    <xf numFmtId="0" fontId="5" fillId="0" borderId="0" xfId="55" applyFont="1">
      <alignment vertical="center"/>
    </xf>
    <xf numFmtId="0" fontId="37" fillId="9" borderId="43" xfId="55" applyFont="1" applyFill="1" applyBorder="1" applyAlignment="1">
      <alignment horizontal="center" vertical="center"/>
    </xf>
    <xf numFmtId="0" fontId="37" fillId="9" borderId="88" xfId="56" applyFont="1" applyFill="1" applyBorder="1" applyAlignment="1">
      <alignment horizontal="center" vertical="center" wrapText="1"/>
    </xf>
    <xf numFmtId="0" fontId="10" fillId="0" borderId="43" xfId="55" applyFont="1" applyBorder="1" applyAlignment="1">
      <alignment vertical="center" wrapText="1"/>
    </xf>
    <xf numFmtId="0" fontId="40" fillId="0" borderId="0" xfId="55" applyFont="1" applyAlignment="1">
      <alignment horizontal="left" vertical="center"/>
    </xf>
    <xf numFmtId="0" fontId="39" fillId="0" borderId="115" xfId="55" applyFont="1" applyBorder="1" applyAlignment="1">
      <alignment horizontal="left" vertical="center" wrapText="1"/>
    </xf>
    <xf numFmtId="0" fontId="5" fillId="0" borderId="2" xfId="55" applyFont="1" applyBorder="1" applyAlignment="1">
      <alignment horizontal="left" vertical="center" wrapText="1"/>
    </xf>
    <xf numFmtId="0" fontId="5" fillId="0" borderId="0" xfId="55" applyFont="1" applyAlignment="1">
      <alignment horizontal="left" vertical="center" wrapText="1"/>
    </xf>
    <xf numFmtId="0" fontId="39" fillId="0" borderId="0" xfId="55" applyFont="1" applyAlignment="1">
      <alignment horizontal="left" vertical="center" wrapText="1"/>
    </xf>
    <xf numFmtId="0" fontId="38" fillId="0" borderId="0" xfId="55" applyFont="1" applyAlignment="1">
      <alignment horizontal="right" vertical="center"/>
    </xf>
    <xf numFmtId="0" fontId="37" fillId="9" borderId="43" xfId="55" applyFont="1" applyFill="1" applyBorder="1" applyAlignment="1">
      <alignment horizontal="center" vertical="center" wrapText="1"/>
    </xf>
    <xf numFmtId="0" fontId="37" fillId="9" borderId="89" xfId="55" applyFont="1" applyFill="1" applyBorder="1" applyAlignment="1">
      <alignment horizontal="center" vertical="center"/>
    </xf>
    <xf numFmtId="184" fontId="10" fillId="11" borderId="42" xfId="0" applyNumberFormat="1" applyFont="1" applyFill="1" applyBorder="1" applyAlignment="1">
      <alignment horizontal="center" vertical="center"/>
    </xf>
    <xf numFmtId="0" fontId="40" fillId="0" borderId="43" xfId="6" applyFont="1" applyFill="1" applyBorder="1" applyAlignment="1" applyProtection="1">
      <alignment horizontal="left" vertical="center" wrapText="1"/>
    </xf>
    <xf numFmtId="49" fontId="40" fillId="0" borderId="43" xfId="55" applyNumberFormat="1" applyFont="1" applyBorder="1">
      <alignment vertical="center"/>
    </xf>
    <xf numFmtId="0" fontId="40" fillId="0" borderId="43" xfId="6" applyFont="1" applyFill="1" applyBorder="1" applyAlignment="1" applyProtection="1">
      <alignment horizontal="left" vertical="center"/>
    </xf>
    <xf numFmtId="184" fontId="40" fillId="0" borderId="43" xfId="55" applyNumberFormat="1" applyFont="1" applyBorder="1" applyAlignment="1">
      <alignment horizontal="left" vertical="center" wrapText="1"/>
    </xf>
    <xf numFmtId="0" fontId="40" fillId="0" borderId="43" xfId="55" applyFont="1" applyBorder="1" applyAlignment="1">
      <alignment horizontal="left" vertical="center" wrapText="1"/>
    </xf>
    <xf numFmtId="0" fontId="5" fillId="0" borderId="112" xfId="55" applyFont="1" applyBorder="1" applyAlignment="1">
      <alignment horizontal="left" vertical="center" wrapText="1"/>
    </xf>
    <xf numFmtId="0" fontId="39" fillId="0" borderId="0" xfId="55" applyFont="1" applyAlignment="1">
      <alignment horizontal="center" vertical="center" wrapText="1"/>
    </xf>
    <xf numFmtId="0" fontId="39" fillId="0" borderId="112" xfId="55" applyFont="1" applyBorder="1" applyAlignment="1">
      <alignment horizontal="left" vertical="center" wrapText="1"/>
    </xf>
    <xf numFmtId="0" fontId="39" fillId="0" borderId="2" xfId="6" applyFont="1" applyFill="1" applyBorder="1" applyAlignment="1">
      <alignment horizontal="left" vertical="center"/>
    </xf>
    <xf numFmtId="0" fontId="19" fillId="0" borderId="115" xfId="55" applyFont="1" applyBorder="1" applyAlignment="1">
      <alignment horizontal="left" vertical="center"/>
    </xf>
    <xf numFmtId="0" fontId="19" fillId="0" borderId="0" xfId="55" applyFont="1" applyAlignment="1">
      <alignment horizontal="left" vertical="center"/>
    </xf>
    <xf numFmtId="0" fontId="49" fillId="0" borderId="2" xfId="55" applyFont="1" applyBorder="1" applyAlignment="1">
      <alignment horizontal="left" vertical="center"/>
    </xf>
    <xf numFmtId="0" fontId="19" fillId="0" borderId="112" xfId="55" applyFont="1" applyBorder="1" applyAlignment="1">
      <alignment horizontal="left" vertical="center"/>
    </xf>
    <xf numFmtId="0" fontId="45" fillId="0" borderId="112" xfId="55" applyFont="1" applyBorder="1" applyAlignment="1">
      <alignment horizontal="left" vertical="center" wrapText="1"/>
    </xf>
    <xf numFmtId="0" fontId="37" fillId="9" borderId="42" xfId="55" applyFont="1" applyFill="1" applyBorder="1" applyAlignment="1">
      <alignment horizontal="center" vertical="center"/>
    </xf>
    <xf numFmtId="0" fontId="37" fillId="9" borderId="36" xfId="55" applyFont="1" applyFill="1" applyBorder="1" applyAlignment="1">
      <alignment horizontal="center" vertical="center"/>
    </xf>
    <xf numFmtId="0" fontId="10" fillId="0" borderId="42" xfId="55" applyFont="1" applyBorder="1" applyAlignment="1">
      <alignment vertical="center" wrapText="1"/>
    </xf>
    <xf numFmtId="49" fontId="10" fillId="0" borderId="42" xfId="0" applyNumberFormat="1" applyFont="1" applyBorder="1" applyAlignment="1">
      <alignment horizontal="center" vertical="center"/>
    </xf>
    <xf numFmtId="0" fontId="10" fillId="0" borderId="42" xfId="55" applyNumberFormat="1" applyFont="1" applyBorder="1" applyAlignment="1">
      <alignment horizontal="center" vertical="center" shrinkToFit="1"/>
    </xf>
    <xf numFmtId="0" fontId="10" fillId="0" borderId="42" xfId="55" applyFont="1" applyBorder="1" applyAlignment="1">
      <alignment vertical="center"/>
    </xf>
    <xf numFmtId="0" fontId="10" fillId="0" borderId="42" xfId="55" applyFont="1" applyBorder="1" applyAlignment="1">
      <alignment horizontal="center" vertical="center"/>
    </xf>
    <xf numFmtId="0" fontId="10" fillId="0" borderId="42" xfId="55" applyFont="1" applyBorder="1">
      <alignment vertical="center"/>
    </xf>
    <xf numFmtId="0" fontId="10" fillId="0" borderId="36" xfId="55" applyFont="1" applyBorder="1" applyAlignment="1">
      <alignment vertical="center"/>
    </xf>
    <xf numFmtId="0" fontId="10" fillId="0" borderId="36" xfId="55" applyFont="1" applyBorder="1" applyAlignment="1">
      <alignment horizontal="center" vertical="center"/>
    </xf>
    <xf numFmtId="0" fontId="10" fillId="0" borderId="32" xfId="55" applyFont="1" applyBorder="1" applyAlignment="1">
      <alignment horizontal="center" vertical="center"/>
    </xf>
    <xf numFmtId="0" fontId="10" fillId="0" borderId="35" xfId="55" applyFont="1" applyBorder="1" applyAlignment="1">
      <alignment vertical="center"/>
    </xf>
    <xf numFmtId="0" fontId="10" fillId="0" borderId="35" xfId="55" applyFont="1" applyBorder="1" applyAlignment="1">
      <alignment horizontal="center" vertical="center"/>
    </xf>
    <xf numFmtId="0" fontId="51" fillId="0" borderId="0" xfId="55" applyFont="1" applyAlignment="1">
      <alignment horizontal="right" vertical="center"/>
    </xf>
    <xf numFmtId="0" fontId="37" fillId="9" borderId="35" xfId="55" applyFont="1" applyFill="1" applyBorder="1" applyAlignment="1">
      <alignment horizontal="center" vertical="center" wrapText="1"/>
    </xf>
    <xf numFmtId="179" fontId="10" fillId="0" borderId="42" xfId="55" applyNumberFormat="1" applyFont="1" applyBorder="1" applyAlignment="1">
      <alignment horizontal="left" vertical="center" wrapText="1"/>
    </xf>
    <xf numFmtId="179" fontId="10" fillId="0" borderId="42" xfId="55" applyNumberFormat="1" applyFont="1" applyBorder="1" applyAlignment="1">
      <alignment horizontal="center" vertical="center" wrapText="1"/>
    </xf>
    <xf numFmtId="49" fontId="10" fillId="0" borderId="42" xfId="55" applyNumberFormat="1" applyFont="1" applyBorder="1" applyAlignment="1">
      <alignment horizontal="center" vertical="center" wrapText="1"/>
    </xf>
    <xf numFmtId="0" fontId="52" fillId="0" borderId="88" xfId="6" applyFont="1" applyFill="1" applyBorder="1" applyAlignment="1">
      <alignment horizontal="left" vertical="center" wrapText="1"/>
    </xf>
    <xf numFmtId="0" fontId="52" fillId="0" borderId="89" xfId="6" applyFont="1" applyFill="1" applyBorder="1" applyAlignment="1">
      <alignment horizontal="left" vertical="center" wrapText="1"/>
    </xf>
    <xf numFmtId="49" fontId="10" fillId="0" borderId="42" xfId="55" applyNumberFormat="1" applyFont="1" applyBorder="1" applyAlignment="1">
      <alignment horizontal="center" vertical="center" shrinkToFit="1"/>
    </xf>
    <xf numFmtId="179" fontId="52" fillId="0" borderId="42" xfId="6" applyNumberFormat="1" applyFont="1" applyFill="1" applyBorder="1" applyAlignment="1">
      <alignment horizontal="left" vertical="center" wrapText="1"/>
    </xf>
    <xf numFmtId="0" fontId="40" fillId="0" borderId="36" xfId="55" applyFont="1" applyBorder="1" applyAlignment="1">
      <alignment horizontal="center" vertical="center" wrapText="1"/>
    </xf>
    <xf numFmtId="179" fontId="52" fillId="0" borderId="36" xfId="6" applyNumberFormat="1" applyFont="1" applyFill="1" applyBorder="1" applyAlignment="1">
      <alignment horizontal="left" vertical="center" wrapText="1"/>
    </xf>
    <xf numFmtId="0" fontId="40" fillId="0" borderId="32" xfId="55" applyFont="1" applyBorder="1" applyAlignment="1">
      <alignment horizontal="center" vertical="center"/>
    </xf>
    <xf numFmtId="179" fontId="10" fillId="0" borderId="36" xfId="55" applyNumberFormat="1" applyFont="1" applyBorder="1" applyAlignment="1">
      <alignment horizontal="left" vertical="center" wrapText="1"/>
    </xf>
    <xf numFmtId="179" fontId="10" fillId="0" borderId="36" xfId="55" applyNumberFormat="1" applyFont="1" applyBorder="1" applyAlignment="1">
      <alignment horizontal="center" vertical="center" wrapText="1"/>
    </xf>
    <xf numFmtId="49" fontId="10" fillId="0" borderId="36" xfId="55" applyNumberFormat="1" applyFont="1" applyBorder="1" applyAlignment="1">
      <alignment horizontal="center" vertical="center" wrapText="1"/>
    </xf>
    <xf numFmtId="179" fontId="10" fillId="0" borderId="32" xfId="55" applyNumberFormat="1" applyFont="1" applyBorder="1" applyAlignment="1">
      <alignment horizontal="left" vertical="center" wrapText="1"/>
    </xf>
    <xf numFmtId="179" fontId="10" fillId="0" borderId="32" xfId="55" applyNumberFormat="1" applyFont="1" applyBorder="1" applyAlignment="1">
      <alignment horizontal="center" vertical="center" wrapText="1"/>
    </xf>
    <xf numFmtId="49" fontId="10" fillId="0" borderId="32" xfId="55" applyNumberFormat="1" applyFont="1" applyBorder="1" applyAlignment="1">
      <alignment horizontal="center" vertical="center" wrapText="1"/>
    </xf>
    <xf numFmtId="179" fontId="10" fillId="0" borderId="35" xfId="55" applyNumberFormat="1" applyFont="1" applyBorder="1" applyAlignment="1">
      <alignment horizontal="left" vertical="center" wrapText="1"/>
    </xf>
    <xf numFmtId="179" fontId="10" fillId="0" borderId="35" xfId="55" applyNumberFormat="1" applyFont="1" applyBorder="1" applyAlignment="1">
      <alignment horizontal="center" vertical="center" wrapText="1"/>
    </xf>
    <xf numFmtId="49" fontId="10" fillId="0" borderId="35" xfId="55" applyNumberFormat="1" applyFont="1" applyBorder="1" applyAlignment="1">
      <alignment horizontal="center" vertical="center" wrapText="1"/>
    </xf>
    <xf numFmtId="0" fontId="23" fillId="3" borderId="120" xfId="0" applyFont="1" applyFill="1" applyBorder="1" applyAlignment="1">
      <alignment horizontal="center" vertical="center"/>
    </xf>
    <xf numFmtId="180" fontId="23" fillId="3" borderId="51" xfId="0" applyNumberFormat="1" applyFont="1" applyFill="1" applyBorder="1" applyAlignment="1">
      <alignment horizontal="center" vertical="center" wrapText="1"/>
    </xf>
    <xf numFmtId="0" fontId="40" fillId="12" borderId="121" xfId="0" applyFont="1" applyFill="1" applyBorder="1" applyAlignment="1">
      <alignment vertical="center" wrapText="1"/>
    </xf>
    <xf numFmtId="0" fontId="40" fillId="12" borderId="121" xfId="0" applyFont="1" applyFill="1" applyBorder="1" applyAlignment="1">
      <alignment horizontal="center" vertical="center" wrapText="1"/>
    </xf>
    <xf numFmtId="180" fontId="24" fillId="7" borderId="25" xfId="0" applyNumberFormat="1" applyFont="1" applyFill="1" applyBorder="1" applyAlignment="1">
      <alignment horizontal="center" vertical="center" wrapText="1"/>
    </xf>
    <xf numFmtId="178" fontId="40" fillId="13" borderId="122" xfId="0" applyNumberFormat="1" applyFont="1" applyFill="1" applyBorder="1" applyAlignment="1">
      <alignment horizontal="center" vertical="center" wrapText="1"/>
    </xf>
    <xf numFmtId="0" fontId="40" fillId="13" borderId="88" xfId="0" applyNumberFormat="1" applyFont="1" applyFill="1" applyBorder="1" applyAlignment="1">
      <alignment horizontal="center" vertical="center" wrapText="1"/>
    </xf>
    <xf numFmtId="0" fontId="24" fillId="13" borderId="123" xfId="0" applyFont="1" applyFill="1" applyBorder="1" applyAlignment="1">
      <alignment vertical="center" wrapText="1"/>
    </xf>
    <xf numFmtId="180" fontId="24" fillId="14" borderId="124" xfId="0" applyNumberFormat="1" applyFont="1" applyFill="1" applyBorder="1" applyAlignment="1">
      <alignment horizontal="center" vertical="center" wrapText="1"/>
    </xf>
    <xf numFmtId="178" fontId="24" fillId="13" borderId="124" xfId="0" applyNumberFormat="1" applyFont="1" applyFill="1" applyBorder="1" applyAlignment="1">
      <alignment horizontal="center" vertical="center" wrapText="1"/>
    </xf>
    <xf numFmtId="0" fontId="24" fillId="13" borderId="125" xfId="0" applyFont="1" applyFill="1" applyBorder="1" applyAlignment="1">
      <alignment vertical="center" wrapText="1"/>
    </xf>
    <xf numFmtId="0" fontId="24" fillId="13" borderId="126" xfId="0" applyFont="1" applyFill="1" applyBorder="1" applyAlignment="1">
      <alignment vertical="center" wrapText="1"/>
    </xf>
    <xf numFmtId="0" fontId="40" fillId="12" borderId="123" xfId="0" applyFont="1" applyFill="1" applyBorder="1" applyAlignment="1">
      <alignment vertical="center" wrapText="1"/>
    </xf>
    <xf numFmtId="180" fontId="40" fillId="15" borderId="124" xfId="0" applyNumberFormat="1" applyFont="1" applyFill="1" applyBorder="1" applyAlignment="1">
      <alignment horizontal="center" vertical="center" wrapText="1"/>
    </xf>
    <xf numFmtId="178" fontId="40" fillId="12" borderId="124" xfId="0" applyNumberFormat="1" applyFont="1" applyFill="1" applyBorder="1" applyAlignment="1">
      <alignment horizontal="center" vertical="center" wrapText="1"/>
    </xf>
    <xf numFmtId="0" fontId="40" fillId="12" borderId="125" xfId="0" applyFont="1" applyFill="1" applyBorder="1" applyAlignment="1">
      <alignment vertical="center" wrapText="1"/>
    </xf>
    <xf numFmtId="0" fontId="40" fillId="12" borderId="126" xfId="0" applyFont="1" applyFill="1" applyBorder="1" applyAlignment="1">
      <alignment vertical="center" wrapText="1"/>
    </xf>
    <xf numFmtId="178" fontId="40" fillId="12" borderId="127" xfId="0" applyNumberFormat="1" applyFont="1" applyFill="1" applyBorder="1" applyAlignment="1">
      <alignment horizontal="center" vertical="center" wrapText="1"/>
    </xf>
    <xf numFmtId="0" fontId="24" fillId="13" borderId="123" xfId="0" applyFont="1" applyFill="1" applyBorder="1" applyAlignment="1">
      <alignment horizontal="center" vertical="center" wrapText="1"/>
    </xf>
    <xf numFmtId="178" fontId="40" fillId="13" borderId="88" xfId="0" applyNumberFormat="1" applyFont="1" applyFill="1" applyBorder="1" applyAlignment="1">
      <alignment horizontal="center" vertical="center" wrapText="1"/>
    </xf>
    <xf numFmtId="181" fontId="23" fillId="3" borderId="51" xfId="0" applyNumberFormat="1" applyFont="1" applyFill="1" applyBorder="1" applyAlignment="1">
      <alignment horizontal="center" vertical="center" wrapText="1"/>
    </xf>
    <xf numFmtId="0" fontId="45" fillId="12" borderId="123" xfId="0" applyFont="1" applyFill="1" applyBorder="1" applyAlignment="1">
      <alignment horizontal="center" vertical="center" wrapText="1"/>
    </xf>
    <xf numFmtId="0" fontId="40" fillId="12" borderId="124" xfId="0" applyNumberFormat="1" applyFont="1" applyFill="1" applyBorder="1" applyAlignment="1">
      <alignment horizontal="center" vertical="center" wrapText="1"/>
    </xf>
    <xf numFmtId="0" fontId="40" fillId="12" borderId="122" xfId="0" applyNumberFormat="1" applyFont="1" applyFill="1" applyBorder="1" applyAlignment="1">
      <alignment horizontal="center" vertical="center" wrapText="1"/>
    </xf>
    <xf numFmtId="0" fontId="17" fillId="0" borderId="2" xfId="0" applyFont="1" applyFill="1" applyBorder="1" applyAlignment="1">
      <alignment horizontal="left" vertical="center" wrapText="1"/>
    </xf>
    <xf numFmtId="0" fontId="17" fillId="0" borderId="0" xfId="0" applyFont="1" applyFill="1" applyBorder="1" applyAlignment="1">
      <alignment horizontal="left" vertical="center" wrapText="1"/>
    </xf>
    <xf numFmtId="0" fontId="23" fillId="3" borderId="96" xfId="0" applyFont="1" applyFill="1" applyBorder="1" applyAlignment="1">
      <alignment horizontal="center" vertical="center"/>
    </xf>
    <xf numFmtId="0" fontId="23" fillId="3" borderId="97" xfId="0" applyFont="1" applyFill="1" applyBorder="1" applyAlignment="1">
      <alignment horizontal="center" vertical="center"/>
    </xf>
    <xf numFmtId="180" fontId="53" fillId="0" borderId="97" xfId="0" applyNumberFormat="1" applyFont="1" applyFill="1" applyBorder="1" applyAlignment="1">
      <alignment horizontal="left" vertical="center"/>
    </xf>
    <xf numFmtId="180" fontId="53" fillId="0" borderId="97" xfId="0" applyNumberFormat="1" applyFont="1" applyFill="1" applyBorder="1" applyAlignment="1" applyProtection="1">
      <alignment horizontal="center" vertical="center"/>
      <protection locked="0"/>
    </xf>
    <xf numFmtId="180" fontId="40" fillId="0" borderId="97" xfId="0" applyNumberFormat="1" applyFont="1" applyFill="1" applyBorder="1" applyAlignment="1" applyProtection="1">
      <alignment horizontal="center" vertical="center"/>
      <protection locked="0"/>
    </xf>
    <xf numFmtId="0" fontId="39" fillId="0" borderId="2" xfId="0" applyFont="1" applyFill="1" applyBorder="1" applyAlignment="1">
      <alignment vertical="center"/>
    </xf>
    <xf numFmtId="0" fontId="39" fillId="0" borderId="0" xfId="0" applyFont="1" applyFill="1" applyBorder="1" applyAlignment="1">
      <alignment vertical="center"/>
    </xf>
    <xf numFmtId="180" fontId="53" fillId="0" borderId="0" xfId="0" applyNumberFormat="1" applyFont="1" applyFill="1" applyBorder="1" applyAlignment="1">
      <alignment horizontal="left" vertical="center"/>
    </xf>
    <xf numFmtId="180" fontId="53" fillId="0" borderId="0" xfId="0" applyNumberFormat="1" applyFont="1" applyFill="1" applyBorder="1" applyAlignment="1" applyProtection="1">
      <alignment horizontal="center" vertical="center"/>
      <protection locked="0"/>
    </xf>
    <xf numFmtId="180" fontId="40" fillId="0" borderId="0" xfId="0" applyNumberFormat="1" applyFont="1" applyFill="1" applyBorder="1" applyAlignment="1" applyProtection="1">
      <alignment horizontal="center" vertical="center"/>
      <protection locked="0"/>
    </xf>
    <xf numFmtId="0" fontId="40" fillId="0" borderId="2" xfId="0" applyFont="1" applyFill="1" applyBorder="1" applyAlignment="1">
      <alignment horizontal="left" vertical="center"/>
    </xf>
    <xf numFmtId="0" fontId="40" fillId="0" borderId="0" xfId="0" applyFont="1" applyFill="1" applyBorder="1" applyAlignment="1">
      <alignment horizontal="left" vertical="center"/>
    </xf>
    <xf numFmtId="0" fontId="40" fillId="0" borderId="94" xfId="0" applyFont="1" applyFill="1" applyBorder="1" applyAlignment="1">
      <alignment horizontal="left" vertical="center"/>
    </xf>
    <xf numFmtId="0" fontId="40" fillId="0" borderId="113" xfId="0" applyFont="1" applyFill="1" applyBorder="1" applyAlignment="1">
      <alignment horizontal="left" vertical="center"/>
    </xf>
    <xf numFmtId="0" fontId="44" fillId="0" borderId="2" xfId="0" applyFont="1" applyFill="1" applyBorder="1" applyAlignment="1">
      <alignment horizontal="left" vertical="center"/>
    </xf>
    <xf numFmtId="0" fontId="44" fillId="0" borderId="0" xfId="0" applyFont="1" applyFill="1" applyAlignment="1">
      <alignment horizontal="left" vertical="center"/>
    </xf>
    <xf numFmtId="0" fontId="40" fillId="0" borderId="2" xfId="0" applyFont="1" applyFill="1" applyBorder="1" applyAlignment="1">
      <alignment horizontal="left" vertical="center" wrapText="1"/>
    </xf>
    <xf numFmtId="0" fontId="40" fillId="0" borderId="0" xfId="0" applyFont="1" applyFill="1" applyAlignment="1">
      <alignment horizontal="left" vertical="center" wrapText="1"/>
    </xf>
    <xf numFmtId="0" fontId="40" fillId="0" borderId="94" xfId="0" applyFont="1" applyFill="1" applyBorder="1" applyAlignment="1">
      <alignment horizontal="left" vertical="center" wrapText="1"/>
    </xf>
    <xf numFmtId="0" fontId="40" fillId="0" borderId="113" xfId="0" applyFont="1" applyFill="1" applyBorder="1" applyAlignment="1">
      <alignment horizontal="left" vertical="center" wrapText="1"/>
    </xf>
    <xf numFmtId="0" fontId="39" fillId="0" borderId="2" xfId="0" applyFont="1" applyFill="1" applyBorder="1" applyAlignment="1">
      <alignment horizontal="left" vertical="center" wrapText="1"/>
    </xf>
    <xf numFmtId="0" fontId="39" fillId="0" borderId="0" xfId="0" applyFont="1" applyFill="1" applyAlignment="1">
      <alignment horizontal="left" vertical="center" wrapText="1"/>
    </xf>
    <xf numFmtId="49" fontId="23" fillId="3" borderId="51" xfId="0" applyNumberFormat="1" applyFont="1" applyFill="1" applyBorder="1" applyAlignment="1">
      <alignment horizontal="center" vertical="center" wrapText="1"/>
    </xf>
    <xf numFmtId="0" fontId="23" fillId="3" borderId="128" xfId="0" applyFont="1" applyFill="1" applyBorder="1" applyAlignment="1">
      <alignment horizontal="center" vertical="center"/>
    </xf>
    <xf numFmtId="49" fontId="40" fillId="6" borderId="25" xfId="0" applyNumberFormat="1" applyFont="1" applyFill="1" applyBorder="1" applyAlignment="1">
      <alignment horizontal="center" vertical="center" wrapText="1"/>
    </xf>
    <xf numFmtId="0" fontId="40" fillId="12" borderId="124" xfId="0" applyFont="1" applyFill="1" applyBorder="1" applyAlignment="1">
      <alignment horizontal="center" vertical="center" wrapText="1"/>
    </xf>
    <xf numFmtId="49" fontId="40" fillId="12" borderId="129" xfId="0" applyNumberFormat="1" applyFont="1" applyFill="1" applyBorder="1" applyAlignment="1">
      <alignment horizontal="left" vertical="center" wrapText="1"/>
    </xf>
    <xf numFmtId="49" fontId="40" fillId="6" borderId="28" xfId="0" applyNumberFormat="1" applyFont="1" applyFill="1" applyBorder="1" applyAlignment="1">
      <alignment horizontal="center" vertical="center" wrapText="1"/>
    </xf>
    <xf numFmtId="0" fontId="40" fillId="12" borderId="122" xfId="0" applyFont="1" applyFill="1" applyBorder="1" applyAlignment="1">
      <alignment horizontal="center" vertical="center" wrapText="1"/>
    </xf>
    <xf numFmtId="0" fontId="45" fillId="13" borderId="130" xfId="0" applyFont="1" applyFill="1" applyBorder="1" applyAlignment="1">
      <alignment horizontal="left" vertical="center" wrapText="1"/>
    </xf>
    <xf numFmtId="49" fontId="40" fillId="6" borderId="65" xfId="0" applyNumberFormat="1" applyFont="1" applyFill="1" applyBorder="1" applyAlignment="1">
      <alignment horizontal="center" vertical="center" wrapText="1"/>
    </xf>
    <xf numFmtId="0" fontId="40" fillId="12" borderId="131" xfId="0" applyFont="1" applyFill="1" applyBorder="1" applyAlignment="1">
      <alignment horizontal="center" vertical="center" wrapText="1"/>
    </xf>
    <xf numFmtId="0" fontId="45" fillId="13" borderId="132" xfId="0" applyFont="1" applyFill="1" applyBorder="1" applyAlignment="1">
      <alignment horizontal="left" vertical="center" wrapText="1"/>
    </xf>
    <xf numFmtId="0" fontId="40" fillId="12" borderId="130" xfId="0" applyFont="1" applyFill="1" applyBorder="1" applyAlignment="1">
      <alignment horizontal="center" vertical="center" wrapText="1"/>
    </xf>
    <xf numFmtId="0" fontId="40" fillId="12" borderId="132" xfId="0" applyFont="1" applyFill="1" applyBorder="1" applyAlignment="1">
      <alignment horizontal="center" vertical="center" wrapText="1"/>
    </xf>
    <xf numFmtId="49" fontId="40" fillId="6" borderId="64" xfId="0" applyNumberFormat="1" applyFont="1" applyFill="1" applyBorder="1" applyAlignment="1">
      <alignment horizontal="center" vertical="center" wrapText="1"/>
    </xf>
    <xf numFmtId="0" fontId="40" fillId="12" borderId="133" xfId="0" applyFont="1" applyFill="1" applyBorder="1" applyAlignment="1">
      <alignment horizontal="center" vertical="center" wrapText="1"/>
    </xf>
    <xf numFmtId="0" fontId="40" fillId="12" borderId="134" xfId="0" applyFont="1" applyFill="1" applyBorder="1" applyAlignment="1">
      <alignment horizontal="center" vertical="center" wrapText="1"/>
    </xf>
    <xf numFmtId="49" fontId="40" fillId="13" borderId="122" xfId="0" applyNumberFormat="1" applyFont="1" applyFill="1" applyBorder="1" applyAlignment="1" applyProtection="1">
      <alignment horizontal="center" vertical="center" wrapText="1"/>
      <protection locked="0"/>
    </xf>
    <xf numFmtId="49" fontId="40" fillId="12" borderId="130" xfId="0" applyNumberFormat="1" applyFont="1" applyFill="1" applyBorder="1" applyAlignment="1">
      <alignment horizontal="center" vertical="center" wrapText="1"/>
    </xf>
    <xf numFmtId="49" fontId="40" fillId="13" borderId="131" xfId="0" applyNumberFormat="1" applyFont="1" applyFill="1" applyBorder="1" applyAlignment="1" applyProtection="1">
      <alignment horizontal="center" vertical="center" wrapText="1"/>
      <protection locked="0"/>
    </xf>
    <xf numFmtId="49" fontId="40" fillId="12" borderId="132" xfId="0" applyNumberFormat="1" applyFont="1" applyFill="1" applyBorder="1" applyAlignment="1">
      <alignment horizontal="center" vertical="center" wrapText="1"/>
    </xf>
    <xf numFmtId="49" fontId="40" fillId="12" borderId="122" xfId="0" applyNumberFormat="1" applyFont="1" applyFill="1" applyBorder="1" applyAlignment="1">
      <alignment horizontal="center" vertical="center" wrapText="1"/>
    </xf>
    <xf numFmtId="49" fontId="40" fillId="12" borderId="131" xfId="0" applyNumberFormat="1" applyFont="1" applyFill="1" applyBorder="1" applyAlignment="1">
      <alignment horizontal="center" vertical="center" wrapText="1"/>
    </xf>
    <xf numFmtId="49" fontId="40" fillId="6" borderId="53" xfId="0" applyNumberFormat="1" applyFont="1" applyFill="1" applyBorder="1" applyAlignment="1">
      <alignment horizontal="center" vertical="center" wrapText="1"/>
    </xf>
    <xf numFmtId="49" fontId="40" fillId="6" borderId="135" xfId="0" applyNumberFormat="1" applyFont="1" applyFill="1" applyBorder="1" applyAlignment="1">
      <alignment horizontal="center" vertical="center" wrapText="1"/>
    </xf>
    <xf numFmtId="0" fontId="40" fillId="12" borderId="136" xfId="0" applyFont="1" applyFill="1" applyBorder="1" applyAlignment="1">
      <alignment horizontal="center" vertical="center" wrapText="1"/>
    </xf>
    <xf numFmtId="49" fontId="40" fillId="6" borderId="30" xfId="0" applyNumberFormat="1" applyFont="1" applyFill="1" applyBorder="1" applyAlignment="1">
      <alignment horizontal="center" vertical="center" wrapText="1"/>
    </xf>
    <xf numFmtId="49" fontId="40" fillId="6" borderId="137" xfId="0" applyNumberFormat="1" applyFont="1" applyFill="1" applyBorder="1" applyAlignment="1">
      <alignment horizontal="center" vertical="center" wrapText="1"/>
    </xf>
    <xf numFmtId="0" fontId="40" fillId="12" borderId="138" xfId="0" applyFont="1" applyFill="1" applyBorder="1" applyAlignment="1">
      <alignment horizontal="left" vertical="center" wrapText="1"/>
    </xf>
    <xf numFmtId="49" fontId="40" fillId="6" borderId="58" xfId="0" applyNumberFormat="1" applyFont="1" applyFill="1" applyBorder="1" applyAlignment="1">
      <alignment horizontal="center" vertical="center" wrapText="1"/>
    </xf>
    <xf numFmtId="49" fontId="40" fillId="6" borderId="139" xfId="0" applyNumberFormat="1" applyFont="1" applyFill="1" applyBorder="1" applyAlignment="1">
      <alignment horizontal="center" vertical="center" wrapText="1"/>
    </xf>
    <xf numFmtId="0" fontId="40" fillId="12" borderId="112" xfId="0" applyFont="1" applyFill="1" applyBorder="1" applyAlignment="1">
      <alignment horizontal="left" vertical="center" wrapText="1"/>
    </xf>
    <xf numFmtId="49" fontId="40" fillId="6" borderId="140" xfId="0" applyNumberFormat="1" applyFont="1" applyFill="1" applyBorder="1" applyAlignment="1">
      <alignment horizontal="center" vertical="center" wrapText="1"/>
    </xf>
    <xf numFmtId="180" fontId="40" fillId="12" borderId="122" xfId="0" applyNumberFormat="1" applyFont="1" applyFill="1" applyBorder="1" applyAlignment="1">
      <alignment horizontal="center" vertical="center" wrapText="1"/>
    </xf>
    <xf numFmtId="49" fontId="40" fillId="6" borderId="131" xfId="0" applyNumberFormat="1" applyFont="1" applyFill="1" applyBorder="1" applyAlignment="1">
      <alignment horizontal="center" vertical="center" wrapText="1"/>
    </xf>
    <xf numFmtId="49" fontId="40" fillId="6" borderId="141" xfId="0" applyNumberFormat="1" applyFont="1" applyFill="1" applyBorder="1" applyAlignment="1">
      <alignment horizontal="center" vertical="center" wrapText="1"/>
    </xf>
    <xf numFmtId="180" fontId="40" fillId="12" borderId="142" xfId="0" applyNumberFormat="1" applyFont="1" applyFill="1" applyBorder="1" applyAlignment="1">
      <alignment horizontal="center" vertical="center" wrapText="1"/>
    </xf>
    <xf numFmtId="49" fontId="40" fillId="6" borderId="143" xfId="0" applyNumberFormat="1" applyFont="1" applyFill="1" applyBorder="1" applyAlignment="1">
      <alignment horizontal="center" vertical="center" wrapText="1"/>
    </xf>
    <xf numFmtId="49" fontId="40" fillId="12" borderId="124" xfId="0" applyNumberFormat="1" applyFont="1" applyFill="1" applyBorder="1" applyAlignment="1">
      <alignment horizontal="center" vertical="center" wrapText="1"/>
    </xf>
    <xf numFmtId="49" fontId="40" fillId="12" borderId="138" xfId="0" applyNumberFormat="1" applyFont="1" applyFill="1" applyBorder="1" applyAlignment="1">
      <alignment horizontal="center" vertical="center" wrapText="1"/>
    </xf>
    <xf numFmtId="178" fontId="40" fillId="6" borderId="28" xfId="0" applyNumberFormat="1" applyFont="1" applyFill="1" applyBorder="1" applyAlignment="1">
      <alignment horizontal="center" vertical="center" wrapText="1"/>
    </xf>
    <xf numFmtId="178" fontId="40" fillId="12" borderId="122" xfId="0" applyNumberFormat="1" applyFont="1" applyFill="1" applyBorder="1" applyAlignment="1">
      <alignment horizontal="center" vertical="center" wrapText="1"/>
    </xf>
    <xf numFmtId="49" fontId="40" fillId="12" borderId="130" xfId="0" applyNumberFormat="1" applyFont="1" applyFill="1" applyBorder="1" applyAlignment="1">
      <alignment horizontal="left" vertical="center" wrapText="1"/>
    </xf>
    <xf numFmtId="178" fontId="40" fillId="12" borderId="131" xfId="0" applyNumberFormat="1" applyFont="1" applyFill="1" applyBorder="1" applyAlignment="1">
      <alignment horizontal="center" vertical="center" wrapText="1"/>
    </xf>
    <xf numFmtId="49" fontId="40" fillId="12" borderId="132" xfId="0" applyNumberFormat="1" applyFont="1" applyFill="1" applyBorder="1" applyAlignment="1">
      <alignment horizontal="left" vertical="center" wrapText="1"/>
    </xf>
    <xf numFmtId="178" fontId="40" fillId="12" borderId="133" xfId="0" applyNumberFormat="1" applyFont="1" applyFill="1" applyBorder="1" applyAlignment="1">
      <alignment horizontal="center" vertical="center" wrapText="1"/>
    </xf>
    <xf numFmtId="49" fontId="40" fillId="12" borderId="134" xfId="0" applyNumberFormat="1" applyFont="1" applyFill="1" applyBorder="1" applyAlignment="1">
      <alignment horizontal="left" vertical="center" wrapText="1"/>
    </xf>
    <xf numFmtId="49" fontId="40" fillId="6" borderId="144" xfId="0" applyNumberFormat="1" applyFont="1" applyFill="1" applyBorder="1" applyAlignment="1">
      <alignment horizontal="center" vertical="center" wrapText="1"/>
    </xf>
    <xf numFmtId="49" fontId="40" fillId="6" borderId="145" xfId="0" applyNumberFormat="1" applyFont="1" applyFill="1" applyBorder="1" applyAlignment="1">
      <alignment horizontal="center" vertical="center" wrapText="1"/>
    </xf>
    <xf numFmtId="49" fontId="40" fillId="6" borderId="59" xfId="0" applyNumberFormat="1" applyFont="1" applyFill="1" applyBorder="1" applyAlignment="1">
      <alignment horizontal="center" vertical="center" wrapText="1"/>
    </xf>
    <xf numFmtId="49" fontId="40" fillId="6" borderId="0" xfId="0" applyNumberFormat="1" applyFont="1" applyFill="1" applyBorder="1" applyAlignment="1">
      <alignment horizontal="center" vertical="center" wrapText="1"/>
    </xf>
    <xf numFmtId="49" fontId="40" fillId="6" borderId="146" xfId="0" applyNumberFormat="1" applyFont="1" applyFill="1" applyBorder="1" applyAlignment="1">
      <alignment horizontal="center" vertical="center" wrapText="1"/>
    </xf>
    <xf numFmtId="49" fontId="40" fillId="6" borderId="0" xfId="0" applyNumberFormat="1" applyFont="1" applyFill="1" applyAlignment="1">
      <alignment horizontal="center" vertical="center" wrapText="1"/>
    </xf>
    <xf numFmtId="49" fontId="40" fillId="12" borderId="140" xfId="0" applyNumberFormat="1" applyFont="1" applyFill="1" applyBorder="1" applyAlignment="1">
      <alignment horizontal="center" vertical="center" wrapText="1"/>
    </xf>
    <xf numFmtId="49" fontId="33" fillId="6" borderId="28" xfId="0" applyNumberFormat="1" applyFont="1" applyFill="1" applyBorder="1" applyAlignment="1">
      <alignment horizontal="center" vertical="center" wrapText="1"/>
    </xf>
    <xf numFmtId="49" fontId="33" fillId="6" borderId="88" xfId="0" applyNumberFormat="1" applyFont="1" applyFill="1" applyBorder="1" applyAlignment="1">
      <alignment horizontal="center" vertical="center" wrapText="1"/>
    </xf>
    <xf numFmtId="0" fontId="17" fillId="0" borderId="112" xfId="0" applyFont="1" applyFill="1" applyBorder="1" applyAlignment="1">
      <alignment horizontal="center" vertical="center" wrapText="1"/>
    </xf>
    <xf numFmtId="49" fontId="45" fillId="0" borderId="97" xfId="0" applyNumberFormat="1" applyFont="1" applyFill="1" applyBorder="1" applyAlignment="1">
      <alignment horizontal="center" vertical="center"/>
    </xf>
    <xf numFmtId="0" fontId="45" fillId="0" borderId="97" xfId="0" applyFont="1" applyFill="1" applyBorder="1" applyAlignment="1">
      <alignment horizontal="center" vertical="center"/>
    </xf>
    <xf numFmtId="0" fontId="45" fillId="0" borderId="111" xfId="0" applyFont="1" applyFill="1" applyBorder="1" applyAlignment="1">
      <alignment horizontal="center" vertical="center"/>
    </xf>
    <xf numFmtId="49" fontId="45" fillId="0" borderId="0" xfId="0" applyNumberFormat="1" applyFont="1" applyFill="1" applyBorder="1" applyAlignment="1">
      <alignment horizontal="center" vertical="center"/>
    </xf>
    <xf numFmtId="0" fontId="45" fillId="0" borderId="0" xfId="0" applyFont="1" applyFill="1" applyBorder="1" applyAlignment="1">
      <alignment horizontal="center" vertical="center"/>
    </xf>
    <xf numFmtId="0" fontId="45" fillId="0" borderId="112" xfId="0" applyFont="1" applyFill="1" applyBorder="1" applyAlignment="1">
      <alignment horizontal="center" vertical="center"/>
    </xf>
    <xf numFmtId="0" fontId="40" fillId="0" borderId="112" xfId="0" applyFont="1" applyFill="1" applyBorder="1" applyAlignment="1">
      <alignment horizontal="center" vertical="center"/>
    </xf>
    <xf numFmtId="0" fontId="40" fillId="0" borderId="114" xfId="0" applyFont="1" applyFill="1" applyBorder="1" applyAlignment="1">
      <alignment horizontal="center" vertical="center"/>
    </xf>
    <xf numFmtId="0" fontId="44" fillId="0" borderId="112" xfId="0" applyFont="1" applyFill="1" applyBorder="1" applyAlignment="1">
      <alignment horizontal="center" vertical="center"/>
    </xf>
    <xf numFmtId="0" fontId="40" fillId="0" borderId="112" xfId="0" applyFont="1" applyFill="1" applyBorder="1" applyAlignment="1">
      <alignment horizontal="center" vertical="center" wrapText="1"/>
    </xf>
    <xf numFmtId="0" fontId="40" fillId="0" borderId="114" xfId="0" applyFont="1" applyFill="1" applyBorder="1" applyAlignment="1">
      <alignment horizontal="center" vertical="center" wrapText="1"/>
    </xf>
    <xf numFmtId="0" fontId="39" fillId="0" borderId="112" xfId="0" applyFont="1" applyFill="1" applyBorder="1" applyAlignment="1">
      <alignment horizontal="left" vertical="center" wrapText="1"/>
    </xf>
    <xf numFmtId="0" fontId="40" fillId="0" borderId="112" xfId="0" applyFont="1" applyFill="1" applyBorder="1" applyAlignment="1">
      <alignment horizontal="left" vertical="center" wrapText="1"/>
    </xf>
    <xf numFmtId="0" fontId="45" fillId="0" borderId="2" xfId="0" applyFont="1" applyFill="1" applyBorder="1" applyAlignment="1">
      <alignment horizontal="left" vertical="center" wrapText="1"/>
    </xf>
    <xf numFmtId="0" fontId="45" fillId="0" borderId="0" xfId="0" applyFont="1" applyFill="1" applyAlignment="1">
      <alignment horizontal="left" vertical="center" wrapText="1"/>
    </xf>
    <xf numFmtId="0" fontId="39" fillId="0" borderId="96" xfId="0" applyFont="1" applyFill="1" applyBorder="1" applyAlignment="1">
      <alignment horizontal="left" vertical="center" wrapText="1"/>
    </xf>
    <xf numFmtId="0" fontId="39" fillId="0" borderId="97" xfId="0" applyFont="1" applyFill="1" applyBorder="1" applyAlignment="1">
      <alignment horizontal="left" vertical="center" wrapText="1"/>
    </xf>
    <xf numFmtId="0" fontId="45" fillId="0" borderId="112" xfId="0" applyFont="1" applyFill="1" applyBorder="1" applyAlignment="1">
      <alignment horizontal="left" vertical="center" wrapText="1"/>
    </xf>
    <xf numFmtId="0" fontId="39" fillId="0" borderId="111" xfId="0" applyFont="1" applyFill="1" applyBorder="1" applyAlignment="1">
      <alignment horizontal="center" vertical="center" wrapText="1"/>
    </xf>
    <xf numFmtId="0" fontId="45" fillId="0" borderId="112" xfId="0" applyFont="1" applyFill="1" applyBorder="1" applyAlignment="1">
      <alignment horizontal="center" vertical="center" wrapText="1"/>
    </xf>
    <xf numFmtId="0" fontId="54" fillId="3" borderId="120" xfId="0" applyFont="1" applyFill="1" applyBorder="1" applyAlignment="1">
      <alignment horizontal="center" vertical="center"/>
    </xf>
    <xf numFmtId="180" fontId="54" fillId="3" borderId="51" xfId="0" applyNumberFormat="1" applyFont="1" applyFill="1" applyBorder="1" applyAlignment="1">
      <alignment horizontal="center" vertical="center" wrapText="1"/>
    </xf>
    <xf numFmtId="0" fontId="45" fillId="12" borderId="123" xfId="0" applyFont="1" applyFill="1" applyBorder="1" applyAlignment="1">
      <alignment vertical="center" wrapText="1"/>
    </xf>
    <xf numFmtId="180" fontId="40" fillId="14" borderId="124" xfId="0" applyNumberFormat="1" applyFont="1" applyFill="1" applyBorder="1" applyAlignment="1">
      <alignment horizontal="center" vertical="center" wrapText="1"/>
    </xf>
    <xf numFmtId="0" fontId="40" fillId="13" borderId="124" xfId="0" applyFont="1" applyFill="1" applyBorder="1" applyAlignment="1">
      <alignment horizontal="center" vertical="center" wrapText="1"/>
    </xf>
    <xf numFmtId="0" fontId="40" fillId="13" borderId="88" xfId="0" applyNumberFormat="1" applyFont="1" applyFill="1" applyBorder="1" applyAlignment="1">
      <alignment vertical="center"/>
    </xf>
    <xf numFmtId="0" fontId="40" fillId="13" borderId="43" xfId="0" applyNumberFormat="1" applyFont="1" applyFill="1" applyBorder="1" applyAlignment="1">
      <alignment horizontal="center" vertical="center" wrapText="1"/>
    </xf>
    <xf numFmtId="0" fontId="45" fillId="12" borderId="125" xfId="0" applyFont="1" applyFill="1" applyBorder="1" applyAlignment="1">
      <alignment vertical="center" wrapText="1"/>
    </xf>
    <xf numFmtId="0" fontId="45" fillId="12" borderId="126" xfId="0" applyFont="1" applyFill="1" applyBorder="1" applyAlignment="1">
      <alignment vertical="center" wrapText="1"/>
    </xf>
    <xf numFmtId="0" fontId="24" fillId="13" borderId="147" xfId="0" applyFont="1" applyFill="1" applyBorder="1" applyAlignment="1">
      <alignment vertical="center" wrapText="1"/>
    </xf>
    <xf numFmtId="0" fontId="24" fillId="13" borderId="124" xfId="0" applyFont="1" applyFill="1" applyBorder="1" applyAlignment="1">
      <alignment horizontal="center" vertical="center" wrapText="1"/>
    </xf>
    <xf numFmtId="0" fontId="24" fillId="13" borderId="2" xfId="0" applyFont="1" applyFill="1" applyBorder="1" applyAlignment="1">
      <alignment vertical="center" wrapText="1"/>
    </xf>
    <xf numFmtId="0" fontId="10" fillId="16" borderId="23" xfId="0" applyFont="1" applyFill="1" applyBorder="1" applyAlignment="1">
      <alignment horizontal="center" vertical="center" wrapText="1"/>
    </xf>
    <xf numFmtId="0" fontId="10" fillId="12" borderId="0" xfId="0" applyFont="1" applyFill="1" applyAlignment="1">
      <alignment horizontal="center" vertical="center" wrapText="1"/>
    </xf>
    <xf numFmtId="180" fontId="24" fillId="14" borderId="0" xfId="0" applyNumberFormat="1" applyFont="1" applyFill="1" applyAlignment="1">
      <alignment horizontal="center" vertical="center" wrapText="1"/>
    </xf>
    <xf numFmtId="178" fontId="10" fillId="16" borderId="25" xfId="0" applyNumberFormat="1" applyFont="1" applyFill="1" applyBorder="1" applyAlignment="1">
      <alignment horizontal="center" vertical="center" wrapText="1"/>
    </xf>
    <xf numFmtId="0" fontId="40" fillId="13" borderId="0" xfId="0" applyNumberFormat="1" applyFont="1" applyFill="1" applyAlignment="1">
      <alignment vertical="center"/>
    </xf>
    <xf numFmtId="0" fontId="40" fillId="13" borderId="0" xfId="0" applyNumberFormat="1" applyFont="1" applyFill="1" applyAlignment="1">
      <alignment horizontal="center" vertical="center" wrapText="1"/>
    </xf>
    <xf numFmtId="0" fontId="55" fillId="0" borderId="2" xfId="0" applyFont="1" applyFill="1" applyBorder="1" applyAlignment="1">
      <alignment horizontal="left" vertical="center" wrapText="1"/>
    </xf>
    <xf numFmtId="0" fontId="55" fillId="0" borderId="0" xfId="0" applyFont="1" applyFill="1" applyAlignment="1">
      <alignment horizontal="left" vertical="center" wrapText="1"/>
    </xf>
    <xf numFmtId="180" fontId="45" fillId="0" borderId="97" xfId="0" applyNumberFormat="1" applyFont="1" applyFill="1" applyBorder="1" applyAlignment="1">
      <alignment horizontal="left" vertical="center"/>
    </xf>
    <xf numFmtId="180" fontId="45" fillId="0" borderId="97" xfId="0" applyNumberFormat="1" applyFont="1" applyFill="1" applyBorder="1" applyAlignment="1">
      <alignment horizontal="center" vertical="center"/>
    </xf>
    <xf numFmtId="180" fontId="45" fillId="0" borderId="0" xfId="0" applyNumberFormat="1" applyFont="1" applyFill="1" applyBorder="1" applyAlignment="1">
      <alignment horizontal="left" vertical="center"/>
    </xf>
    <xf numFmtId="180" fontId="45" fillId="0" borderId="0" xfId="0" applyNumberFormat="1" applyFont="1" applyFill="1" applyBorder="1" applyAlignment="1">
      <alignment horizontal="center" vertical="center"/>
    </xf>
    <xf numFmtId="0" fontId="44" fillId="0" borderId="96" xfId="0" applyFont="1" applyFill="1" applyBorder="1" applyAlignment="1">
      <alignment horizontal="left" vertical="center" wrapText="1"/>
    </xf>
    <xf numFmtId="0" fontId="44" fillId="0" borderId="97" xfId="0" applyFont="1" applyFill="1" applyBorder="1" applyAlignment="1">
      <alignment horizontal="left" vertical="center" wrapText="1"/>
    </xf>
    <xf numFmtId="0" fontId="45" fillId="0" borderId="94" xfId="0" applyFont="1" applyFill="1" applyBorder="1" applyAlignment="1">
      <alignment horizontal="left" vertical="center" wrapText="1"/>
    </xf>
    <xf numFmtId="0" fontId="45" fillId="0" borderId="113" xfId="0" applyFont="1" applyFill="1" applyBorder="1" applyAlignment="1">
      <alignment horizontal="left" vertical="center" wrapText="1"/>
    </xf>
    <xf numFmtId="0" fontId="56" fillId="0" borderId="0" xfId="0" applyFont="1" applyFill="1" applyAlignment="1">
      <alignment vertical="center"/>
    </xf>
    <xf numFmtId="49" fontId="57" fillId="0" borderId="0" xfId="0" applyNumberFormat="1" applyFont="1" applyFill="1" applyAlignment="1">
      <alignment horizontal="center" vertical="center"/>
    </xf>
    <xf numFmtId="0" fontId="57" fillId="0" borderId="0" xfId="0" applyFont="1" applyFill="1" applyAlignment="1">
      <alignment horizontal="center" vertical="center"/>
    </xf>
    <xf numFmtId="49" fontId="54" fillId="3" borderId="51" xfId="0" applyNumberFormat="1" applyFont="1" applyFill="1" applyBorder="1" applyAlignment="1">
      <alignment horizontal="center" vertical="center" wrapText="1"/>
    </xf>
    <xf numFmtId="0" fontId="54" fillId="3" borderId="128" xfId="0" applyFont="1" applyFill="1" applyBorder="1" applyAlignment="1">
      <alignment horizontal="center" vertical="center"/>
    </xf>
    <xf numFmtId="0" fontId="40" fillId="12" borderId="130" xfId="0" applyFont="1" applyFill="1" applyBorder="1" applyAlignment="1">
      <alignment horizontal="left" vertical="center" wrapText="1"/>
    </xf>
    <xf numFmtId="0" fontId="40" fillId="12" borderId="132" xfId="0" applyFont="1" applyFill="1" applyBorder="1" applyAlignment="1">
      <alignment horizontal="left" vertical="center" wrapText="1"/>
    </xf>
    <xf numFmtId="49" fontId="40" fillId="6" borderId="148" xfId="0" applyNumberFormat="1" applyFont="1" applyFill="1" applyBorder="1" applyAlignment="1">
      <alignment horizontal="center" vertical="center" wrapText="1"/>
    </xf>
    <xf numFmtId="0" fontId="40" fillId="12" borderId="134" xfId="0" applyFont="1" applyFill="1" applyBorder="1" applyAlignment="1">
      <alignment horizontal="left" vertical="center" wrapText="1"/>
    </xf>
    <xf numFmtId="0" fontId="10" fillId="16" borderId="25" xfId="0" applyFont="1" applyFill="1" applyBorder="1" applyAlignment="1">
      <alignment horizontal="center" vertical="center" wrapText="1"/>
    </xf>
    <xf numFmtId="0" fontId="10" fillId="16" borderId="38" xfId="0" applyFont="1" applyFill="1" applyBorder="1" applyAlignment="1">
      <alignment horizontal="left" vertical="center" wrapText="1"/>
    </xf>
    <xf numFmtId="0" fontId="55" fillId="0" borderId="112" xfId="0" applyFont="1" applyFill="1" applyBorder="1" applyAlignment="1">
      <alignment horizontal="left" vertical="center" wrapText="1"/>
    </xf>
    <xf numFmtId="0" fontId="40" fillId="0" borderId="112" xfId="0" applyFont="1" applyFill="1" applyBorder="1" applyAlignment="1">
      <alignment horizontal="left" vertical="center"/>
    </xf>
    <xf numFmtId="0" fontId="44" fillId="0" borderId="112" xfId="0" applyFont="1" applyFill="1" applyBorder="1" applyAlignment="1">
      <alignment horizontal="left" vertical="center"/>
    </xf>
    <xf numFmtId="0" fontId="40" fillId="0" borderId="114" xfId="0" applyFont="1" applyFill="1" applyBorder="1" applyAlignment="1">
      <alignment horizontal="left" vertical="center" wrapText="1"/>
    </xf>
    <xf numFmtId="0" fontId="39" fillId="0" borderId="111" xfId="0" applyFont="1" applyFill="1" applyBorder="1" applyAlignment="1">
      <alignment horizontal="left" vertical="center" wrapText="1"/>
    </xf>
    <xf numFmtId="0" fontId="44" fillId="0" borderId="111" xfId="0" applyFont="1" applyFill="1" applyBorder="1" applyAlignment="1">
      <alignment horizontal="left" vertical="center" wrapText="1"/>
    </xf>
    <xf numFmtId="0" fontId="45" fillId="0" borderId="114" xfId="0" applyFont="1" applyFill="1" applyBorder="1" applyAlignment="1">
      <alignment horizontal="left" vertical="center" wrapText="1"/>
    </xf>
    <xf numFmtId="0" fontId="4" fillId="17" borderId="0" xfId="0" applyFont="1" applyFill="1">
      <alignment vertical="center"/>
    </xf>
    <xf numFmtId="0" fontId="58" fillId="0" borderId="0" xfId="0" applyFont="1">
      <alignment vertical="center"/>
    </xf>
    <xf numFmtId="0" fontId="59" fillId="18" borderId="149" xfId="0" applyFont="1" applyFill="1" applyBorder="1" applyAlignment="1">
      <alignment horizontal="center" vertical="center"/>
    </xf>
    <xf numFmtId="0" fontId="59" fillId="18" borderId="150" xfId="0" applyFont="1" applyFill="1" applyBorder="1" applyAlignment="1">
      <alignment horizontal="center" vertical="center"/>
    </xf>
    <xf numFmtId="0" fontId="59" fillId="18" borderId="65" xfId="0" applyFont="1" applyFill="1" applyBorder="1" applyAlignment="1">
      <alignment horizontal="center" vertical="center"/>
    </xf>
    <xf numFmtId="0" fontId="60" fillId="0" borderId="0" xfId="0" applyFont="1">
      <alignment vertical="center"/>
    </xf>
    <xf numFmtId="185" fontId="61" fillId="0" borderId="0" xfId="0" applyNumberFormat="1" applyFont="1" applyAlignment="1">
      <alignment horizontal="center" vertical="center"/>
    </xf>
    <xf numFmtId="0" fontId="61" fillId="0" borderId="0" xfId="0" applyFont="1" applyAlignment="1">
      <alignment horizontal="center" vertical="center"/>
    </xf>
    <xf numFmtId="185" fontId="61" fillId="19" borderId="25" xfId="0" applyNumberFormat="1" applyFont="1" applyFill="1" applyBorder="1" applyAlignment="1">
      <alignment horizontal="center" vertical="center"/>
    </xf>
    <xf numFmtId="0" fontId="61" fillId="19" borderId="25" xfId="0" applyFont="1" applyFill="1" applyBorder="1" applyAlignment="1">
      <alignment horizontal="center" vertical="center"/>
    </xf>
    <xf numFmtId="185" fontId="61" fillId="0" borderId="25" xfId="0" applyNumberFormat="1" applyFont="1" applyBorder="1" applyAlignment="1">
      <alignment horizontal="center" vertical="center"/>
    </xf>
    <xf numFmtId="0" fontId="61" fillId="0" borderId="25" xfId="0" applyFont="1" applyBorder="1" applyAlignment="1">
      <alignment horizontal="center" vertical="center"/>
    </xf>
    <xf numFmtId="0" fontId="62" fillId="0" borderId="0" xfId="0" applyFont="1" applyAlignment="1">
      <alignment horizontal="center" vertical="center"/>
    </xf>
    <xf numFmtId="186" fontId="4" fillId="0" borderId="0" xfId="0" applyNumberFormat="1" applyFont="1">
      <alignment vertical="center"/>
    </xf>
    <xf numFmtId="0" fontId="63" fillId="17" borderId="0" xfId="0" applyFont="1" applyFill="1" applyAlignment="1">
      <alignment horizontal="center" vertical="center" wrapText="1"/>
    </xf>
    <xf numFmtId="186" fontId="64" fillId="18" borderId="150" xfId="0" applyNumberFormat="1" applyFont="1" applyFill="1" applyBorder="1" applyAlignment="1">
      <alignment horizontal="center" vertical="center"/>
    </xf>
    <xf numFmtId="186" fontId="64" fillId="18" borderId="0" xfId="0" applyNumberFormat="1" applyFont="1" applyFill="1" applyAlignment="1">
      <alignment horizontal="center" vertical="center"/>
    </xf>
    <xf numFmtId="186" fontId="4" fillId="17" borderId="0" xfId="0" applyNumberFormat="1" applyFont="1" applyFill="1">
      <alignment vertical="center"/>
    </xf>
    <xf numFmtId="186" fontId="61" fillId="0" borderId="0" xfId="0" applyNumberFormat="1" applyFont="1" applyAlignment="1">
      <alignment horizontal="center" vertical="center"/>
    </xf>
    <xf numFmtId="187" fontId="61" fillId="0" borderId="0" xfId="0" applyNumberFormat="1" applyFont="1" applyAlignment="1">
      <alignment horizontal="center" vertical="center"/>
    </xf>
    <xf numFmtId="0" fontId="62" fillId="0" borderId="0" xfId="0" applyFont="1">
      <alignment vertical="center"/>
    </xf>
    <xf numFmtId="186" fontId="61" fillId="19" borderId="25" xfId="0" applyNumberFormat="1" applyFont="1" applyFill="1" applyBorder="1" applyAlignment="1">
      <alignment horizontal="center" vertical="center"/>
    </xf>
    <xf numFmtId="188" fontId="61" fillId="19" borderId="25" xfId="0" applyNumberFormat="1" applyFont="1" applyFill="1" applyBorder="1" applyAlignment="1">
      <alignment horizontal="center" vertical="center"/>
    </xf>
    <xf numFmtId="0" fontId="61" fillId="0" borderId="0" xfId="0" applyFont="1">
      <alignment vertical="center"/>
    </xf>
    <xf numFmtId="186" fontId="61" fillId="0" borderId="25" xfId="0" applyNumberFormat="1" applyFont="1" applyBorder="1" applyAlignment="1">
      <alignment horizontal="center" vertical="center"/>
    </xf>
    <xf numFmtId="188" fontId="61" fillId="0" borderId="25" xfId="0" applyNumberFormat="1" applyFont="1" applyBorder="1" applyAlignment="1">
      <alignment horizontal="center" vertical="center"/>
    </xf>
    <xf numFmtId="187" fontId="61" fillId="19" borderId="25" xfId="0" applyNumberFormat="1" applyFont="1" applyFill="1" applyBorder="1" applyAlignment="1">
      <alignment horizontal="center" vertical="center"/>
    </xf>
    <xf numFmtId="187" fontId="61" fillId="0" borderId="25" xfId="0" applyNumberFormat="1" applyFont="1" applyBorder="1" applyAlignment="1">
      <alignment horizontal="center" vertical="center"/>
    </xf>
    <xf numFmtId="0" fontId="65" fillId="0" borderId="0" xfId="0" applyFont="1" applyAlignment="1">
      <alignment horizontal="center" vertical="center"/>
    </xf>
    <xf numFmtId="0" fontId="61" fillId="19" borderId="29" xfId="0" applyFont="1" applyFill="1" applyBorder="1" applyAlignment="1">
      <alignment horizontal="center" vertical="center"/>
    </xf>
    <xf numFmtId="180" fontId="61" fillId="19" borderId="0" xfId="0" applyNumberFormat="1" applyFont="1" applyFill="1" applyAlignment="1">
      <alignment horizontal="center" vertical="center"/>
    </xf>
    <xf numFmtId="0" fontId="61" fillId="0" borderId="29" xfId="0" applyFont="1" applyBorder="1" applyAlignment="1">
      <alignment horizontal="center" vertical="center"/>
    </xf>
    <xf numFmtId="180" fontId="61" fillId="0" borderId="0" xfId="0" applyNumberFormat="1" applyFont="1" applyAlignment="1">
      <alignment horizontal="center" vertical="center"/>
    </xf>
    <xf numFmtId="0" fontId="61" fillId="19" borderId="0" xfId="0" applyFont="1" applyFill="1" applyAlignment="1">
      <alignment horizontal="center" vertical="center"/>
    </xf>
    <xf numFmtId="0" fontId="61" fillId="0" borderId="0" xfId="0" applyFont="1" applyAlignment="1">
      <alignment horizontal="left" vertical="center"/>
    </xf>
    <xf numFmtId="0" fontId="61" fillId="0" borderId="30" xfId="0" applyFont="1" applyBorder="1" applyAlignment="1">
      <alignment horizontal="center" vertical="center"/>
    </xf>
    <xf numFmtId="0" fontId="61" fillId="19" borderId="53" xfId="0" applyFont="1" applyFill="1" applyBorder="1" applyAlignment="1">
      <alignment horizontal="center" vertical="center"/>
    </xf>
    <xf numFmtId="0" fontId="4" fillId="17" borderId="0" xfId="0" applyFont="1" applyFill="1" applyAlignment="1">
      <alignment horizontal="center" vertical="center"/>
    </xf>
    <xf numFmtId="0" fontId="64" fillId="18" borderId="0" xfId="0" applyFont="1" applyFill="1" applyAlignment="1">
      <alignment horizontal="center" vertical="center"/>
    </xf>
    <xf numFmtId="0" fontId="14" fillId="0" borderId="42" xfId="0" applyFont="1" applyBorder="1" applyAlignment="1">
      <alignment horizontal="center" vertical="center" wrapText="1"/>
    </xf>
    <xf numFmtId="0" fontId="66" fillId="0" borderId="42" xfId="6" applyFont="1" applyBorder="1" applyAlignment="1">
      <alignment horizontal="left" vertical="center"/>
    </xf>
    <xf numFmtId="0" fontId="67" fillId="0" borderId="42" xfId="0" applyFont="1" applyBorder="1" applyAlignment="1">
      <alignment horizontal="left" vertical="center" wrapText="1"/>
    </xf>
    <xf numFmtId="0" fontId="68" fillId="0" borderId="42" xfId="0" applyFont="1" applyBorder="1" applyAlignment="1">
      <alignment horizontal="center" vertical="center" wrapText="1"/>
    </xf>
    <xf numFmtId="0" fontId="4" fillId="10" borderId="42" xfId="0" applyFont="1" applyFill="1" applyBorder="1" applyAlignment="1">
      <alignment horizontal="center" vertical="center" wrapText="1"/>
    </xf>
    <xf numFmtId="0" fontId="8" fillId="0" borderId="0" xfId="0" applyNumberFormat="1" applyFont="1">
      <alignment vertical="center"/>
    </xf>
    <xf numFmtId="0" fontId="7" fillId="10" borderId="42" xfId="0" applyFont="1" applyFill="1" applyBorder="1" applyAlignment="1">
      <alignment horizontal="center" vertical="center" wrapText="1"/>
    </xf>
    <xf numFmtId="0" fontId="4" fillId="0" borderId="42" xfId="0" applyNumberFormat="1" applyFont="1" applyBorder="1" applyAlignment="1">
      <alignment horizontal="center" vertical="center" wrapText="1"/>
    </xf>
    <xf numFmtId="0" fontId="7" fillId="0" borderId="42" xfId="0" applyNumberFormat="1" applyFont="1" applyBorder="1" applyAlignment="1">
      <alignment horizontal="center" vertical="center" wrapText="1"/>
    </xf>
    <xf numFmtId="0" fontId="69" fillId="0" borderId="42" xfId="0" applyFont="1" applyBorder="1" applyAlignment="1">
      <alignment horizontal="left" vertical="center" wrapText="1"/>
    </xf>
    <xf numFmtId="0" fontId="4" fillId="0" borderId="42" xfId="0" applyFont="1" applyBorder="1" applyAlignment="1">
      <alignment horizontal="left" vertical="center" wrapText="1"/>
    </xf>
    <xf numFmtId="0" fontId="68" fillId="0" borderId="0" xfId="0" applyFont="1" applyAlignment="1">
      <alignment horizontal="center" vertical="center" wrapText="1"/>
    </xf>
    <xf numFmtId="0" fontId="4" fillId="0" borderId="0" xfId="0" applyFont="1" applyAlignment="1">
      <alignment horizontal="center" vertical="center" wrapText="1"/>
    </xf>
    <xf numFmtId="0" fontId="3" fillId="2" borderId="8" xfId="0" applyFont="1" applyFill="1" applyBorder="1" applyAlignment="1">
      <alignment horizontal="center" vertical="center"/>
    </xf>
    <xf numFmtId="0" fontId="70" fillId="0" borderId="0" xfId="6" applyFont="1">
      <alignment vertical="center"/>
    </xf>
    <xf numFmtId="0" fontId="71" fillId="0" borderId="42" xfId="0" applyFont="1" applyFill="1" applyBorder="1" applyAlignment="1">
      <alignment vertical="center"/>
    </xf>
    <xf numFmtId="0" fontId="0" fillId="0" borderId="42" xfId="0" applyFill="1" applyBorder="1" applyAlignment="1">
      <alignment vertical="center" wrapText="1"/>
    </xf>
    <xf numFmtId="0" fontId="0" fillId="20" borderId="0" xfId="0" applyFill="1" applyAlignment="1">
      <alignment vertical="center" wrapText="1"/>
    </xf>
    <xf numFmtId="189" fontId="0" fillId="0" borderId="42" xfId="0" applyNumberFormat="1" applyBorder="1" applyAlignment="1">
      <alignment horizontal="center" vertical="center" wrapText="1"/>
    </xf>
    <xf numFmtId="189" fontId="0" fillId="0" borderId="42" xfId="0" applyNumberFormat="1" applyBorder="1" applyAlignment="1">
      <alignment vertical="center" wrapText="1"/>
    </xf>
    <xf numFmtId="0" fontId="0" fillId="0" borderId="42" xfId="0" applyBorder="1" applyAlignment="1" applyProtection="1">
      <alignment vertical="center" wrapText="1"/>
      <protection locked="0"/>
    </xf>
    <xf numFmtId="190" fontId="0" fillId="0" borderId="42" xfId="0" applyNumberFormat="1" applyBorder="1" applyAlignment="1">
      <alignment vertical="center" wrapText="1"/>
    </xf>
    <xf numFmtId="0" fontId="0" fillId="0" borderId="42" xfId="0" applyBorder="1" applyAlignment="1">
      <alignment vertical="center" wrapText="1"/>
    </xf>
    <xf numFmtId="180" fontId="0" fillId="0" borderId="42" xfId="0" applyNumberFormat="1" applyBorder="1" applyAlignment="1">
      <alignment vertical="center" wrapText="1"/>
    </xf>
    <xf numFmtId="0" fontId="72" fillId="0" borderId="42" xfId="0" applyFont="1" applyBorder="1" applyAlignment="1">
      <alignment vertical="center" wrapText="1"/>
    </xf>
    <xf numFmtId="0" fontId="0" fillId="0" borderId="42" xfId="0" applyFill="1" applyBorder="1">
      <alignment vertical="center"/>
    </xf>
    <xf numFmtId="189" fontId="73" fillId="21" borderId="42" xfId="0" applyNumberFormat="1" applyFont="1" applyFill="1" applyBorder="1" applyAlignment="1">
      <alignment horizontal="center" vertical="center"/>
    </xf>
    <xf numFmtId="189" fontId="74" fillId="21" borderId="42" xfId="0" applyNumberFormat="1" applyFont="1" applyFill="1" applyBorder="1" applyAlignment="1">
      <alignment vertical="center"/>
    </xf>
    <xf numFmtId="0" fontId="74" fillId="21" borderId="42" xfId="0" applyFont="1" applyFill="1" applyBorder="1" applyAlignment="1" applyProtection="1">
      <alignment vertical="center"/>
      <protection locked="0"/>
    </xf>
    <xf numFmtId="190" fontId="74" fillId="21" borderId="42" xfId="0" applyNumberFormat="1" applyFont="1" applyFill="1" applyBorder="1" applyAlignment="1">
      <alignment vertical="center"/>
    </xf>
    <xf numFmtId="0" fontId="74" fillId="21" borderId="42" xfId="0" applyFont="1" applyFill="1" applyBorder="1" applyAlignment="1">
      <alignment vertical="center"/>
    </xf>
    <xf numFmtId="180" fontId="74" fillId="21" borderId="42" xfId="0" applyNumberFormat="1" applyFont="1" applyFill="1" applyBorder="1" applyAlignment="1">
      <alignment vertical="center"/>
    </xf>
    <xf numFmtId="0" fontId="1" fillId="21" borderId="42" xfId="0" applyFont="1" applyFill="1" applyBorder="1" applyAlignment="1">
      <alignment vertical="center"/>
    </xf>
    <xf numFmtId="0" fontId="75" fillId="22" borderId="42" xfId="0" applyFont="1" applyFill="1" applyBorder="1" applyAlignment="1">
      <alignment horizontal="left" vertical="center" wrapText="1"/>
    </xf>
    <xf numFmtId="189" fontId="10" fillId="0" borderId="42" xfId="0" applyNumberFormat="1" applyFont="1" applyBorder="1" applyAlignment="1">
      <alignment horizontal="left" vertical="center" wrapText="1"/>
    </xf>
    <xf numFmtId="0" fontId="45" fillId="0" borderId="0" xfId="0" applyFont="1" applyAlignment="1">
      <alignment horizontal="center" vertical="center" wrapText="1"/>
    </xf>
    <xf numFmtId="180" fontId="10" fillId="0" borderId="42" xfId="0" applyNumberFormat="1" applyFont="1" applyFill="1" applyBorder="1" applyAlignment="1">
      <alignment horizontal="center" vertical="center" wrapText="1"/>
    </xf>
    <xf numFmtId="0" fontId="10" fillId="0" borderId="42" xfId="0" applyFont="1" applyBorder="1" applyAlignment="1">
      <alignment horizontal="center" vertical="center" wrapText="1"/>
    </xf>
    <xf numFmtId="180" fontId="10" fillId="0" borderId="42" xfId="0" applyNumberFormat="1" applyFont="1" applyBorder="1" applyAlignment="1">
      <alignment horizontal="center" vertical="center" wrapText="1"/>
    </xf>
    <xf numFmtId="0" fontId="10" fillId="0" borderId="42" xfId="0" applyFont="1" applyBorder="1" applyAlignment="1">
      <alignment horizontal="left" vertical="center" wrapText="1"/>
    </xf>
    <xf numFmtId="0" fontId="45" fillId="0" borderId="0" xfId="0" applyFont="1" applyFill="1" applyAlignment="1">
      <alignment horizontal="left" vertical="center" wrapText="1" readingOrder="1"/>
    </xf>
    <xf numFmtId="0" fontId="10" fillId="0" borderId="0" xfId="0" applyFont="1" applyAlignment="1" applyProtection="1">
      <alignment horizontal="center" vertical="center" wrapText="1"/>
      <protection locked="0"/>
    </xf>
    <xf numFmtId="0" fontId="45" fillId="0" borderId="42" xfId="0" applyFont="1" applyBorder="1" applyAlignment="1">
      <alignment horizontal="left" vertical="center" wrapText="1"/>
    </xf>
    <xf numFmtId="0" fontId="10" fillId="20" borderId="0" xfId="0" applyNumberFormat="1" applyFont="1" applyFill="1" applyAlignment="1">
      <alignment horizontal="left" vertical="center" wrapText="1"/>
    </xf>
    <xf numFmtId="0" fontId="10" fillId="20" borderId="0" xfId="0" applyFont="1" applyFill="1" applyAlignment="1" applyProtection="1">
      <alignment horizontal="center" vertical="center" wrapText="1"/>
      <protection locked="0"/>
    </xf>
    <xf numFmtId="180" fontId="10" fillId="20" borderId="42" xfId="0" applyNumberFormat="1" applyFont="1" applyFill="1" applyBorder="1" applyAlignment="1">
      <alignment horizontal="center" vertical="center" wrapText="1"/>
    </xf>
    <xf numFmtId="0" fontId="10" fillId="20" borderId="42" xfId="0" applyFont="1" applyFill="1" applyBorder="1" applyAlignment="1">
      <alignment horizontal="left" vertical="center" wrapText="1"/>
    </xf>
    <xf numFmtId="0" fontId="45" fillId="20" borderId="42" xfId="0" applyFont="1" applyFill="1" applyBorder="1" applyAlignment="1">
      <alignment horizontal="left" vertical="center" wrapText="1"/>
    </xf>
    <xf numFmtId="0" fontId="45" fillId="20" borderId="0" xfId="0" applyFont="1" applyFill="1" applyAlignment="1" applyProtection="1">
      <alignment horizontal="center" vertical="center" wrapText="1"/>
      <protection locked="0"/>
    </xf>
    <xf numFmtId="0" fontId="10" fillId="20" borderId="42" xfId="0" applyFont="1" applyFill="1" applyBorder="1" applyAlignment="1">
      <alignment horizontal="center" vertical="center" wrapText="1"/>
    </xf>
    <xf numFmtId="189" fontId="1" fillId="0" borderId="42" xfId="0" applyNumberFormat="1" applyFont="1" applyBorder="1" applyAlignment="1">
      <alignment vertical="center" wrapText="1"/>
    </xf>
    <xf numFmtId="0" fontId="1" fillId="0" borderId="42" xfId="0" applyFont="1" applyBorder="1" applyAlignment="1" applyProtection="1">
      <alignment vertical="center" wrapText="1"/>
      <protection locked="0"/>
    </xf>
    <xf numFmtId="0" fontId="1" fillId="0" borderId="42" xfId="0" applyFont="1" applyBorder="1" applyAlignment="1">
      <alignment vertical="center" wrapText="1"/>
    </xf>
    <xf numFmtId="189" fontId="1" fillId="0" borderId="42" xfId="0" applyNumberFormat="1" applyFont="1" applyBorder="1" applyAlignment="1">
      <alignment horizontal="left" vertical="center" wrapText="1"/>
    </xf>
    <xf numFmtId="180" fontId="71" fillId="0" borderId="42" xfId="0" applyNumberFormat="1" applyFont="1" applyFill="1" applyBorder="1" applyAlignment="1">
      <alignment vertical="center"/>
    </xf>
    <xf numFmtId="0" fontId="8" fillId="0" borderId="42" xfId="0" applyFont="1" applyBorder="1" applyAlignment="1">
      <alignment vertical="center" wrapText="1"/>
    </xf>
    <xf numFmtId="180" fontId="8" fillId="0" borderId="42" xfId="0" applyNumberFormat="1" applyFont="1" applyBorder="1" applyAlignment="1">
      <alignment vertical="center" wrapText="1"/>
    </xf>
    <xf numFmtId="0" fontId="8" fillId="0" borderId="42" xfId="0" applyFont="1" applyBorder="1" applyAlignment="1">
      <alignment horizontal="left" vertical="center" wrapText="1"/>
    </xf>
    <xf numFmtId="0" fontId="0" fillId="0" borderId="42" xfId="0" applyBorder="1" applyAlignment="1">
      <alignment horizontal="left" vertical="center" wrapText="1"/>
    </xf>
    <xf numFmtId="0" fontId="4" fillId="0" borderId="42" xfId="0" applyNumberFormat="1" applyFont="1" applyBorder="1" applyAlignment="1">
      <alignment horizontal="left" vertical="center" wrapText="1"/>
    </xf>
    <xf numFmtId="0" fontId="71" fillId="23" borderId="42" xfId="0" applyFont="1" applyFill="1" applyBorder="1" applyAlignment="1">
      <alignment vertical="center"/>
    </xf>
    <xf numFmtId="0" fontId="72" fillId="0" borderId="151" xfId="0" applyFont="1" applyBorder="1" applyAlignment="1">
      <alignment wrapText="1"/>
    </xf>
    <xf numFmtId="0" fontId="1" fillId="0" borderId="42" xfId="0" applyFont="1" applyBorder="1" applyAlignment="1">
      <alignment horizontal="left" vertical="center" wrapText="1"/>
    </xf>
    <xf numFmtId="0" fontId="72" fillId="0" borderId="151" xfId="0" applyFont="1" applyBorder="1" applyAlignment="1">
      <alignment wrapText="1" readingOrder="1"/>
    </xf>
    <xf numFmtId="0" fontId="4" fillId="0" borderId="36" xfId="0" applyNumberFormat="1" applyFont="1" applyBorder="1" applyAlignment="1">
      <alignment horizontal="center" vertical="center" wrapText="1"/>
    </xf>
    <xf numFmtId="0" fontId="0" fillId="0" borderId="42" xfId="0" applyBorder="1" applyAlignment="1">
      <alignment horizontal="center" vertical="center"/>
    </xf>
    <xf numFmtId="0" fontId="1" fillId="0" borderId="42" xfId="0" applyFont="1" applyBorder="1" applyAlignment="1">
      <alignment horizontal="center" vertical="center"/>
    </xf>
    <xf numFmtId="0" fontId="4" fillId="0" borderId="32" xfId="0" applyNumberFormat="1" applyFont="1" applyBorder="1" applyAlignment="1">
      <alignment horizontal="center" vertical="center" wrapText="1"/>
    </xf>
    <xf numFmtId="0" fontId="4" fillId="0" borderId="35" xfId="0" applyNumberFormat="1" applyFont="1" applyBorder="1" applyAlignment="1">
      <alignment horizontal="center" vertical="center" wrapText="1"/>
    </xf>
    <xf numFmtId="0" fontId="76" fillId="0" borderId="36" xfId="0" applyNumberFormat="1" applyFont="1" applyBorder="1" applyAlignment="1">
      <alignment horizontal="center" vertical="center" wrapText="1"/>
    </xf>
    <xf numFmtId="179" fontId="45" fillId="24" borderId="42" xfId="0" applyNumberFormat="1" applyFont="1" applyFill="1" applyBorder="1" applyAlignment="1">
      <alignment horizontal="center" vertical="center" wrapText="1"/>
    </xf>
    <xf numFmtId="0" fontId="72" fillId="0" borderId="0" xfId="0" applyFont="1">
      <alignment vertical="center"/>
    </xf>
    <xf numFmtId="0" fontId="77" fillId="0" borderId="0" xfId="0" applyFont="1" applyAlignment="1">
      <alignment horizontal="center" vertical="center" wrapText="1"/>
    </xf>
    <xf numFmtId="0" fontId="78" fillId="0" borderId="42" xfId="0" applyNumberFormat="1" applyFont="1" applyBorder="1" applyAlignment="1">
      <alignment horizontal="left" vertical="center" wrapText="1"/>
    </xf>
    <xf numFmtId="0" fontId="79" fillId="0" borderId="42" xfId="0" applyFont="1" applyBorder="1" applyAlignment="1">
      <alignment horizontal="center" vertical="center" wrapText="1" readingOrder="1"/>
    </xf>
    <xf numFmtId="0" fontId="0" fillId="0" borderId="36" xfId="0" applyBorder="1" applyAlignment="1" applyProtection="1">
      <alignment horizontal="center" vertical="center" wrapText="1"/>
      <protection locked="0"/>
    </xf>
    <xf numFmtId="0" fontId="80" fillId="0" borderId="42" xfId="0" applyFont="1" applyBorder="1">
      <alignment vertical="center"/>
    </xf>
    <xf numFmtId="0" fontId="81" fillId="0" borderId="42" xfId="0" applyFont="1" applyBorder="1">
      <alignment vertical="center"/>
    </xf>
    <xf numFmtId="0" fontId="82" fillId="0" borderId="42" xfId="0" applyFont="1" applyBorder="1">
      <alignment vertical="center"/>
    </xf>
    <xf numFmtId="0" fontId="81" fillId="0" borderId="0" xfId="0" applyFont="1">
      <alignment vertical="center"/>
    </xf>
    <xf numFmtId="0" fontId="77" fillId="0" borderId="42" xfId="0" applyFont="1" applyBorder="1" applyAlignment="1">
      <alignment horizontal="center" vertical="center" wrapText="1"/>
    </xf>
    <xf numFmtId="180" fontId="71" fillId="23" borderId="42" xfId="0" applyNumberFormat="1" applyFont="1" applyFill="1" applyBorder="1" applyAlignment="1">
      <alignment vertical="center"/>
    </xf>
    <xf numFmtId="0" fontId="83" fillId="0" borderId="42" xfId="0" applyFont="1" applyBorder="1">
      <alignment vertical="center"/>
    </xf>
    <xf numFmtId="0" fontId="72" fillId="0" borderId="151" xfId="0" applyFont="1" applyBorder="1" applyAlignment="1">
      <alignment horizontal="center" vertical="center" wrapText="1"/>
    </xf>
    <xf numFmtId="180" fontId="1" fillId="0" borderId="42" xfId="0" applyNumberFormat="1" applyFont="1" applyBorder="1" applyAlignment="1">
      <alignment vertical="center" wrapText="1"/>
    </xf>
    <xf numFmtId="0" fontId="77" fillId="0" borderId="42" xfId="0" applyFont="1" applyBorder="1">
      <alignment vertical="center"/>
    </xf>
    <xf numFmtId="0" fontId="84" fillId="0" borderId="36" xfId="0" applyFont="1" applyBorder="1" applyAlignment="1">
      <alignment horizontal="center" vertical="center" wrapText="1"/>
    </xf>
    <xf numFmtId="189" fontId="85" fillId="0" borderId="36" xfId="0" applyNumberFormat="1" applyFont="1" applyBorder="1" applyAlignment="1">
      <alignment horizontal="center" vertical="center" wrapText="1"/>
    </xf>
    <xf numFmtId="0" fontId="0" fillId="0" borderId="41" xfId="0" applyBorder="1">
      <alignment vertical="center"/>
    </xf>
    <xf numFmtId="179" fontId="71" fillId="23" borderId="36" xfId="0" applyNumberFormat="1" applyFont="1" applyFill="1" applyBorder="1" applyAlignment="1">
      <alignment vertical="center"/>
    </xf>
    <xf numFmtId="0" fontId="0" fillId="0" borderId="36" xfId="0" applyBorder="1">
      <alignment vertical="center"/>
    </xf>
    <xf numFmtId="0" fontId="84" fillId="0" borderId="42" xfId="0" applyFont="1" applyBorder="1" applyAlignment="1">
      <alignment horizontal="center" vertical="center" wrapText="1"/>
    </xf>
    <xf numFmtId="189" fontId="1" fillId="0" borderId="42" xfId="0" applyNumberFormat="1" applyFont="1" applyBorder="1" applyAlignment="1">
      <alignment horizontal="center" vertical="center" wrapText="1"/>
    </xf>
    <xf numFmtId="0" fontId="86" fillId="0" borderId="42" xfId="0" applyNumberFormat="1" applyFont="1" applyBorder="1" applyAlignment="1">
      <alignment horizontal="left" vertical="center" wrapText="1"/>
    </xf>
    <xf numFmtId="179" fontId="71" fillId="23" borderId="42" xfId="0" applyNumberFormat="1" applyFont="1" applyFill="1" applyBorder="1" applyAlignment="1">
      <alignment vertical="center"/>
    </xf>
    <xf numFmtId="0" fontId="76" fillId="0" borderId="42" xfId="0" applyNumberFormat="1" applyFont="1" applyBorder="1" applyAlignment="1">
      <alignment horizontal="center" vertical="center" wrapText="1"/>
    </xf>
    <xf numFmtId="0" fontId="87" fillId="0" borderId="0" xfId="0" applyFont="1" applyAlignment="1">
      <alignment vertical="center" wrapText="1"/>
    </xf>
    <xf numFmtId="0" fontId="12" fillId="0" borderId="0" xfId="0" applyNumberFormat="1" applyFont="1" applyAlignment="1">
      <alignment horizontal="left" vertical="center" wrapText="1"/>
    </xf>
    <xf numFmtId="0" fontId="72" fillId="0" borderId="42" xfId="0" applyFont="1" applyBorder="1">
      <alignment vertical="center"/>
    </xf>
    <xf numFmtId="0" fontId="12" fillId="0" borderId="42" xfId="0" applyFont="1" applyBorder="1" applyAlignment="1">
      <alignment wrapText="1"/>
    </xf>
    <xf numFmtId="0" fontId="12" fillId="0" borderId="42" xfId="0" applyFont="1" applyBorder="1" applyAlignment="1">
      <alignment wrapText="1" readingOrder="1"/>
    </xf>
    <xf numFmtId="0" fontId="12" fillId="0" borderId="42" xfId="0" applyNumberFormat="1" applyFont="1" applyBorder="1" applyAlignment="1">
      <alignment horizontal="left" vertical="center" wrapText="1"/>
    </xf>
    <xf numFmtId="0" fontId="1" fillId="0" borderId="42" xfId="0" applyNumberFormat="1" applyFont="1" applyBorder="1" applyAlignment="1">
      <alignment horizontal="left" vertical="center" wrapText="1"/>
    </xf>
    <xf numFmtId="0" fontId="88" fillId="21" borderId="42" xfId="0" applyFont="1" applyFill="1" applyBorder="1" applyAlignment="1">
      <alignment vertical="center" wrapText="1"/>
    </xf>
    <xf numFmtId="0" fontId="71" fillId="21" borderId="42" xfId="0" applyFont="1" applyFill="1" applyBorder="1" applyAlignment="1">
      <alignment vertical="center" wrapText="1"/>
    </xf>
    <xf numFmtId="0" fontId="24" fillId="0" borderId="42" xfId="0" applyFont="1" applyFill="1" applyBorder="1" applyAlignment="1">
      <alignment horizontal="center" vertical="center" wrapText="1"/>
    </xf>
    <xf numFmtId="180" fontId="45" fillId="0" borderId="42" xfId="0" applyNumberFormat="1" applyFont="1" applyBorder="1" applyAlignment="1">
      <alignment horizontal="center" vertical="center" wrapText="1"/>
    </xf>
    <xf numFmtId="191" fontId="45" fillId="0" borderId="42" xfId="0" applyNumberFormat="1" applyFont="1" applyBorder="1" applyAlignment="1">
      <alignment horizontal="center" vertical="center" wrapText="1"/>
    </xf>
    <xf numFmtId="0" fontId="89" fillId="0" borderId="42" xfId="6" applyFont="1" applyBorder="1" applyAlignment="1">
      <alignment horizontal="left" vertical="center" wrapText="1"/>
    </xf>
    <xf numFmtId="0" fontId="45" fillId="0" borderId="42" xfId="0" applyFont="1" applyBorder="1" applyAlignment="1">
      <alignment horizontal="center" vertical="center" wrapText="1"/>
    </xf>
    <xf numFmtId="0" fontId="27" fillId="0" borderId="35" xfId="6" applyFont="1" applyBorder="1" applyAlignment="1">
      <alignment horizontal="left" vertical="center" wrapText="1"/>
    </xf>
    <xf numFmtId="0" fontId="27" fillId="0" borderId="42" xfId="6" applyFont="1" applyBorder="1" applyAlignment="1">
      <alignment horizontal="left" vertical="center" wrapText="1"/>
    </xf>
    <xf numFmtId="0" fontId="24" fillId="20" borderId="42" xfId="0" applyFont="1" applyFill="1" applyBorder="1" applyAlignment="1">
      <alignment horizontal="center" vertical="center" wrapText="1"/>
    </xf>
    <xf numFmtId="180" fontId="45" fillId="20" borderId="42" xfId="0" applyNumberFormat="1" applyFont="1" applyFill="1" applyBorder="1" applyAlignment="1">
      <alignment horizontal="center" vertical="center" wrapText="1"/>
    </xf>
    <xf numFmtId="191" fontId="45" fillId="20" borderId="42" xfId="0" applyNumberFormat="1" applyFont="1" applyFill="1" applyBorder="1" applyAlignment="1">
      <alignment horizontal="center" vertical="center" wrapText="1"/>
    </xf>
    <xf numFmtId="0" fontId="45" fillId="20" borderId="42" xfId="0" applyFont="1" applyFill="1" applyBorder="1" applyAlignment="1">
      <alignment horizontal="center" vertical="center" wrapText="1"/>
    </xf>
    <xf numFmtId="0" fontId="27" fillId="20" borderId="35" xfId="6" applyFont="1" applyFill="1" applyBorder="1" applyAlignment="1">
      <alignment horizontal="left" vertical="center" wrapText="1"/>
    </xf>
    <xf numFmtId="0" fontId="90" fillId="22" borderId="42" xfId="6" applyFont="1" applyFill="1" applyBorder="1" applyAlignment="1">
      <alignment vertical="center" wrapText="1"/>
    </xf>
    <xf numFmtId="0" fontId="91" fillId="22" borderId="42" xfId="6" applyFont="1" applyFill="1" applyBorder="1" applyAlignment="1">
      <alignment vertical="center" wrapText="1"/>
    </xf>
    <xf numFmtId="0" fontId="91" fillId="0" borderId="42" xfId="6" applyFont="1" applyBorder="1" applyAlignment="1">
      <alignment horizontal="left" vertical="center" wrapText="1"/>
    </xf>
    <xf numFmtId="0" fontId="92" fillId="0" borderId="42" xfId="6" applyFont="1" applyBorder="1" applyAlignment="1">
      <alignment horizontal="left" vertical="center" wrapText="1"/>
    </xf>
    <xf numFmtId="0" fontId="72" fillId="0" borderId="42" xfId="0" applyFont="1" applyBorder="1" applyAlignment="1">
      <alignment horizontal="left" vertical="center" wrapText="1"/>
    </xf>
    <xf numFmtId="0" fontId="24" fillId="24" borderId="42" xfId="0" applyFont="1" applyFill="1" applyBorder="1" applyAlignment="1">
      <alignment horizontal="center" vertical="center" wrapText="1"/>
    </xf>
    <xf numFmtId="0" fontId="93" fillId="0" borderId="42" xfId="6" applyFont="1" applyBorder="1" applyAlignment="1">
      <alignment horizontal="center" vertical="center" wrapText="1"/>
    </xf>
    <xf numFmtId="0" fontId="93" fillId="0" borderId="42" xfId="6" applyFont="1" applyBorder="1" applyAlignment="1">
      <alignment horizontal="left" vertical="center" wrapText="1"/>
    </xf>
    <xf numFmtId="0" fontId="70" fillId="0" borderId="42" xfId="6" applyBorder="1" applyAlignment="1">
      <alignment horizontal="left" vertical="center" wrapText="1"/>
    </xf>
    <xf numFmtId="0" fontId="93" fillId="0" borderId="42" xfId="6" applyFont="1" applyBorder="1" applyAlignment="1">
      <alignment vertical="center" wrapText="1" readingOrder="1"/>
    </xf>
    <xf numFmtId="0" fontId="94" fillId="0" borderId="42" xfId="6" applyFont="1" applyBorder="1" applyAlignment="1">
      <alignment horizontal="left" vertical="center" wrapText="1"/>
    </xf>
    <xf numFmtId="0" fontId="95" fillId="0" borderId="151" xfId="0" applyFont="1" applyBorder="1" applyAlignment="1">
      <alignment horizontal="center" vertical="center" wrapText="1"/>
    </xf>
    <xf numFmtId="0" fontId="94" fillId="0" borderId="42" xfId="6" applyFont="1" applyBorder="1" applyAlignment="1">
      <alignment vertical="center" wrapText="1"/>
    </xf>
    <xf numFmtId="0" fontId="92" fillId="0" borderId="42" xfId="6" applyFont="1" applyBorder="1" applyAlignment="1">
      <alignment vertical="center" wrapText="1"/>
    </xf>
    <xf numFmtId="0" fontId="70" fillId="0" borderId="36" xfId="6" applyBorder="1" applyAlignment="1">
      <alignment vertical="center" wrapText="1"/>
    </xf>
    <xf numFmtId="0" fontId="92" fillId="0" borderId="36" xfId="6" applyFont="1" applyBorder="1" applyAlignment="1">
      <alignment vertical="center" wrapText="1"/>
    </xf>
    <xf numFmtId="0" fontId="73" fillId="21" borderId="42" xfId="0" applyFont="1" applyFill="1" applyBorder="1" applyAlignment="1">
      <alignment vertical="center" wrapText="1"/>
    </xf>
    <xf numFmtId="0" fontId="71" fillId="0" borderId="102" xfId="0" applyFont="1" applyFill="1" applyBorder="1" applyAlignment="1">
      <alignment vertical="center"/>
    </xf>
    <xf numFmtId="0" fontId="45" fillId="0" borderId="42" xfId="0" applyNumberFormat="1" applyFont="1" applyBorder="1" applyAlignment="1">
      <alignment horizontal="left" vertical="center" wrapText="1"/>
    </xf>
    <xf numFmtId="0" fontId="45" fillId="0" borderId="36" xfId="0" applyFont="1" applyBorder="1" applyAlignment="1">
      <alignment horizontal="center" vertical="center" wrapText="1"/>
    </xf>
    <xf numFmtId="0" fontId="45" fillId="0" borderId="36" xfId="0" applyFont="1" applyFill="1" applyBorder="1" applyAlignment="1">
      <alignment horizontal="center" vertical="center" wrapText="1"/>
    </xf>
    <xf numFmtId="0" fontId="45" fillId="0" borderId="36" xfId="0" applyFont="1" applyFill="1" applyBorder="1" applyAlignment="1">
      <alignment horizontal="left" vertical="center" wrapText="1"/>
    </xf>
    <xf numFmtId="0" fontId="45" fillId="0" borderId="42" xfId="0" applyFont="1" applyFill="1" applyBorder="1" applyAlignment="1">
      <alignment horizontal="center" vertical="center" wrapText="1"/>
    </xf>
    <xf numFmtId="0" fontId="45" fillId="0" borderId="32" xfId="0" applyFont="1" applyBorder="1" applyAlignment="1">
      <alignment horizontal="center" vertical="center" wrapText="1"/>
    </xf>
    <xf numFmtId="0" fontId="45" fillId="0" borderId="32" xfId="0" applyFont="1" applyFill="1" applyBorder="1" applyAlignment="1">
      <alignment horizontal="center" vertical="center" wrapText="1"/>
    </xf>
    <xf numFmtId="0" fontId="45" fillId="0" borderId="32" xfId="0" applyFont="1" applyFill="1" applyBorder="1" applyAlignment="1">
      <alignment horizontal="left" vertical="center" wrapText="1"/>
    </xf>
    <xf numFmtId="0" fontId="45" fillId="20" borderId="42" xfId="0" applyNumberFormat="1" applyFont="1" applyFill="1" applyBorder="1" applyAlignment="1">
      <alignment horizontal="left" vertical="center" wrapText="1"/>
    </xf>
    <xf numFmtId="0" fontId="45" fillId="20" borderId="0" xfId="0" applyFont="1" applyFill="1" applyAlignment="1">
      <alignment horizontal="center" vertical="center" wrapText="1"/>
    </xf>
    <xf numFmtId="0" fontId="45" fillId="20" borderId="32" xfId="0" applyFont="1" applyFill="1" applyBorder="1" applyAlignment="1">
      <alignment horizontal="center" vertical="center" wrapText="1"/>
    </xf>
    <xf numFmtId="0" fontId="45" fillId="20" borderId="32" xfId="0" applyFont="1" applyFill="1" applyBorder="1" applyAlignment="1">
      <alignment horizontal="left" vertical="center" wrapText="1"/>
    </xf>
    <xf numFmtId="0" fontId="0" fillId="0" borderId="42" xfId="0" applyNumberFormat="1" applyBorder="1" applyAlignment="1">
      <alignment horizontal="left" vertical="center" wrapText="1"/>
    </xf>
    <xf numFmtId="0" fontId="94" fillId="0" borderId="0" xfId="6" applyFont="1">
      <alignment vertical="center"/>
    </xf>
    <xf numFmtId="0" fontId="1" fillId="0" borderId="42" xfId="0" applyFont="1" applyFill="1" applyBorder="1" applyAlignment="1">
      <alignment horizontal="left" vertical="center" wrapText="1"/>
    </xf>
    <xf numFmtId="0" fontId="0" fillId="0" borderId="42" xfId="0" applyFill="1" applyBorder="1" applyAlignment="1">
      <alignment horizontal="left" vertical="center" wrapText="1"/>
    </xf>
    <xf numFmtId="0" fontId="1" fillId="0" borderId="42" xfId="0" applyFont="1" applyFill="1" applyBorder="1" applyAlignment="1">
      <alignment vertical="center" wrapText="1"/>
    </xf>
    <xf numFmtId="0" fontId="70" fillId="0" borderId="42" xfId="6" applyNumberFormat="1" applyBorder="1" applyAlignment="1">
      <alignment horizontal="left" vertical="center" wrapText="1"/>
    </xf>
    <xf numFmtId="0" fontId="0" fillId="0" borderId="42" xfId="0" applyBorder="1" applyAlignment="1" applyProtection="1">
      <alignment horizontal="center" vertical="center" wrapText="1"/>
      <protection locked="0"/>
    </xf>
    <xf numFmtId="0" fontId="96" fillId="0" borderId="42" xfId="0" applyFont="1" applyBorder="1">
      <alignment vertical="center"/>
    </xf>
    <xf numFmtId="0" fontId="12" fillId="0" borderId="0" xfId="0" applyNumberFormat="1" applyFont="1" applyFill="1" applyBorder="1" applyAlignment="1">
      <alignment horizontal="left" vertical="center" wrapText="1"/>
    </xf>
    <xf numFmtId="0" fontId="0" fillId="0" borderId="0" xfId="0" applyBorder="1" applyAlignment="1" applyProtection="1">
      <alignment vertical="center" wrapText="1"/>
      <protection locked="0"/>
    </xf>
    <xf numFmtId="0" fontId="77" fillId="0" borderId="151" xfId="0" applyFont="1" applyBorder="1" applyAlignment="1">
      <alignment horizontal="center" vertical="center" wrapText="1"/>
    </xf>
    <xf numFmtId="0" fontId="97" fillId="0" borderId="42" xfId="0" applyFont="1" applyBorder="1" applyAlignment="1">
      <alignment vertical="center" wrapText="1"/>
    </xf>
    <xf numFmtId="0" fontId="77" fillId="0" borderId="42" xfId="0" applyFont="1" applyBorder="1" applyAlignment="1">
      <alignment horizontal="left" vertical="center" wrapText="1"/>
    </xf>
    <xf numFmtId="0" fontId="93" fillId="0" borderId="0" xfId="6" applyFont="1" applyBorder="1" applyAlignment="1">
      <alignment horizontal="left" vertical="center" wrapText="1"/>
    </xf>
    <xf numFmtId="0" fontId="90" fillId="0" borderId="151" xfId="6" applyFont="1" applyBorder="1" applyAlignment="1">
      <alignment horizontal="center" vertical="center" wrapText="1"/>
    </xf>
    <xf numFmtId="0" fontId="98" fillId="0" borderId="0" xfId="0" applyFont="1">
      <alignment vertical="center"/>
    </xf>
    <xf numFmtId="0" fontId="0" fillId="0" borderId="0" xfId="0" applyAlignment="1">
      <alignment horizontal="center" vertical="center"/>
    </xf>
    <xf numFmtId="180" fontId="0" fillId="0" borderId="0" xfId="0" applyNumberFormat="1">
      <alignment vertical="center"/>
    </xf>
    <xf numFmtId="0" fontId="0" fillId="0" borderId="0" xfId="0" applyBorder="1">
      <alignment vertical="center"/>
    </xf>
    <xf numFmtId="0" fontId="23" fillId="25" borderId="0" xfId="6" applyFont="1" applyFill="1" applyBorder="1" applyAlignment="1" applyProtection="1">
      <alignment horizontal="center" vertical="center"/>
    </xf>
    <xf numFmtId="189" fontId="4" fillId="0" borderId="0" xfId="0" applyNumberFormat="1" applyFont="1" applyBorder="1" applyAlignment="1">
      <alignment horizontal="left" vertical="center" wrapText="1"/>
    </xf>
    <xf numFmtId="0" fontId="23" fillId="26" borderId="0" xfId="6" applyFont="1" applyFill="1" applyBorder="1" applyAlignment="1" applyProtection="1">
      <alignment horizontal="center" vertical="center"/>
    </xf>
    <xf numFmtId="10" fontId="4" fillId="0" borderId="0" xfId="0" applyNumberFormat="1" applyFont="1" applyFill="1" applyBorder="1">
      <alignment vertical="center"/>
    </xf>
    <xf numFmtId="189" fontId="1" fillId="0" borderId="0" xfId="0" applyNumberFormat="1" applyFont="1" applyBorder="1" applyAlignment="1" applyProtection="1">
      <alignment horizontal="center" vertical="center" wrapText="1"/>
      <protection locked="0"/>
    </xf>
    <xf numFmtId="180" fontId="0" fillId="0" borderId="0" xfId="0" applyNumberFormat="1" applyBorder="1">
      <alignment vertical="center"/>
    </xf>
    <xf numFmtId="0" fontId="10" fillId="27" borderId="0" xfId="0" applyFont="1" applyFill="1" applyBorder="1" applyAlignment="1">
      <alignment vertical="center"/>
    </xf>
    <xf numFmtId="0" fontId="99" fillId="28" borderId="0" xfId="0" applyFont="1" applyFill="1" applyBorder="1" applyAlignment="1">
      <alignment horizontal="center" vertical="center"/>
    </xf>
    <xf numFmtId="192" fontId="31" fillId="0" borderId="0" xfId="0" applyNumberFormat="1" applyFont="1" applyFill="1" applyBorder="1">
      <alignment vertical="center"/>
    </xf>
    <xf numFmtId="193" fontId="98" fillId="0" borderId="0" xfId="0" applyNumberFormat="1" applyFont="1" applyFill="1" applyBorder="1">
      <alignment vertical="center"/>
    </xf>
    <xf numFmtId="0" fontId="99" fillId="29" borderId="0" xfId="0" applyFont="1" applyFill="1" applyBorder="1" applyAlignment="1">
      <alignment horizontal="center" vertical="center"/>
    </xf>
    <xf numFmtId="0" fontId="33" fillId="30" borderId="0" xfId="0" applyFont="1" applyFill="1" applyBorder="1" applyAlignment="1">
      <alignment horizontal="center" vertical="center"/>
    </xf>
    <xf numFmtId="0" fontId="98" fillId="0" borderId="0" xfId="0" applyFont="1" applyBorder="1">
      <alignment vertical="center"/>
    </xf>
    <xf numFmtId="0" fontId="68" fillId="0" borderId="0" xfId="0" applyFont="1" applyBorder="1">
      <alignment vertical="center"/>
    </xf>
    <xf numFmtId="0" fontId="1" fillId="0" borderId="0" xfId="0" applyFont="1" applyBorder="1">
      <alignment vertical="center"/>
    </xf>
    <xf numFmtId="7" fontId="98" fillId="0" borderId="0" xfId="0" applyNumberFormat="1" applyFont="1" applyBorder="1">
      <alignment vertical="center"/>
    </xf>
    <xf numFmtId="0" fontId="68" fillId="0" borderId="0" xfId="0" applyNumberFormat="1" applyFont="1" applyBorder="1">
      <alignment vertical="center"/>
    </xf>
    <xf numFmtId="0" fontId="1" fillId="0" borderId="0" xfId="0" applyFont="1" applyAlignment="1">
      <alignment vertical="center" wrapText="1"/>
    </xf>
    <xf numFmtId="189" fontId="73" fillId="0" borderId="42" xfId="0" applyNumberFormat="1" applyFont="1" applyBorder="1" applyAlignment="1">
      <alignment vertical="center"/>
    </xf>
    <xf numFmtId="180" fontId="0" fillId="0" borderId="0" xfId="0" applyNumberFormat="1" applyProtection="1">
      <alignment vertical="center"/>
      <protection locked="0"/>
    </xf>
    <xf numFmtId="0" fontId="0" fillId="0" borderId="0" xfId="0" applyProtection="1">
      <alignment vertical="center"/>
      <protection locked="0"/>
    </xf>
    <xf numFmtId="189" fontId="73" fillId="0" borderId="42" xfId="0" applyNumberFormat="1" applyFont="1" applyFill="1" applyBorder="1" applyAlignment="1">
      <alignment vertical="center" wrapText="1"/>
    </xf>
    <xf numFmtId="192" fontId="100" fillId="0" borderId="0" xfId="0" applyNumberFormat="1" applyFont="1" applyFill="1">
      <alignment vertical="center"/>
    </xf>
    <xf numFmtId="192" fontId="0" fillId="0" borderId="0" xfId="0" applyNumberFormat="1" applyAlignment="1">
      <alignment horizontal="center" vertical="center"/>
    </xf>
  </cellXfs>
  <cellStyles count="6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FZZXR-attaHyperStyleName3" xfId="49"/>
    <cellStyle name="常规 152" xfId="50"/>
    <cellStyle name="常规 110 2" xfId="51"/>
    <cellStyle name="9 2 3 2" xfId="52"/>
    <cellStyle name="标题 1 2 4" xfId="53"/>
    <cellStyle name="常规 153" xfId="54"/>
    <cellStyle name="常规 10" xfId="55"/>
    <cellStyle name="常规 2" xfId="56"/>
    <cellStyle name="Normal 2 2" xfId="57"/>
    <cellStyle name="常规 140" xfId="58"/>
    <cellStyle name="常规 117" xfId="59"/>
    <cellStyle name="常规 3" xfId="60"/>
  </cellStyles>
  <dxfs count="2">
    <dxf>
      <font>
        <color rgb="FFDCC776"/>
      </font>
      <fill>
        <patternFill patternType="solid">
          <bgColor rgb="FFFEEB9B"/>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cellimages.xml.rels><?xml version="1.0" encoding="UTF-8" standalone="yes"?>
<Relationships xmlns="http://schemas.openxmlformats.org/package/2006/relationships"><Relationship Id="rId9" Type="http://schemas.openxmlformats.org/officeDocument/2006/relationships/image" Target="https://www.kdocs.cn/office/weboffice-static/js/et_attachment_img.png?658eda59-83cc-457a-ab47-a6148d80f2eb=DMKY7YBAACAFO" TargetMode="External"/><Relationship Id="rId8" Type="http://schemas.openxmlformats.org/officeDocument/2006/relationships/image" Target="https://www.kdocs.cn/office/weboffice-static/js/et_attachment_img.png?658eda59-83cc-457a-ab47-a6148d80f2eb=2DKYRYBAABQHU" TargetMode="External"/><Relationship Id="rId72" Type="http://schemas.openxmlformats.org/officeDocument/2006/relationships/image" Target="https://www.kdocs.cn/office/weboffice-static/js/et_attachment_img.png?658eda59-83cc-457a-ab47-a6148d80f2eb=5KNMREZBADQG2" TargetMode="External"/><Relationship Id="rId71" Type="http://schemas.openxmlformats.org/officeDocument/2006/relationships/image" Target="https://www.kdocs.cn/office/weboffice-static/js/et_attachment_img.png?658eda59-83cc-457a-ab47-a6148d80f2eb=QJKNVEZBAAQAE" TargetMode="External"/><Relationship Id="rId70" Type="http://schemas.openxmlformats.org/officeDocument/2006/relationships/image" Target="https://www.kdocs.cn/office/weboffice-static/js/et_attachment_img.png?658eda59-83cc-457a-ab47-a6148d80f2eb=GND5VEZBABQBY" TargetMode="External"/><Relationship Id="rId7" Type="http://schemas.openxmlformats.org/officeDocument/2006/relationships/image" Target="https://www.kdocs.cn/office/weboffice-static/js/et_attachment_img.png?658eda59-83cc-457a-ab47-a6148d80f2eb=4H62VTZAAAQDC" TargetMode="External"/><Relationship Id="rId69" Type="http://schemas.openxmlformats.org/officeDocument/2006/relationships/image" Target="https://www.kdocs.cn/office/weboffice-static/js/et_attachment_img.png?658eda59-83cc-457a-ab47-a6148d80f2eb=M2NN3EZBADAGO" TargetMode="External"/><Relationship Id="rId68" Type="http://schemas.openxmlformats.org/officeDocument/2006/relationships/image" Target="https://www.kdocs.cn/office/weboffice-static/js/et_attachment_img.png?658eda59-83cc-457a-ab47-a6148d80f2eb=BOBFTCRBADAEY" TargetMode="External"/><Relationship Id="rId67" Type="http://schemas.openxmlformats.org/officeDocument/2006/relationships/image" Target="https://www.kdocs.cn/office/weboffice-static/js/et_attachment_img.png?658eda59-83cc-457a-ab47-a6148d80f2eb=7A72M4BBAAQGU" TargetMode="External"/><Relationship Id="rId66" Type="http://schemas.openxmlformats.org/officeDocument/2006/relationships/image" Target="https://www.kdocs.cn/office/weboffice-static/js/et_attachment_img.png?658eda59-83cc-457a-ab47-a6148d80f2eb=2N3H65BBACACY" TargetMode="External"/><Relationship Id="rId65" Type="http://schemas.openxmlformats.org/officeDocument/2006/relationships/image" Target="https://www.kdocs.cn/office/weboffice-static/js/et_attachment_img.png?658eda59-83cc-457a-ab47-a6148d80f2eb=SJWSKYBBACAGW" TargetMode="External"/><Relationship Id="rId64" Type="http://schemas.openxmlformats.org/officeDocument/2006/relationships/image" Target="https://www.kdocs.cn/office/weboffice-static/js/et_attachment_img.png?658eda59-83cc-457a-ab47-a6148d80f2eb=JAQSYYBBABQC2" TargetMode="External"/><Relationship Id="rId63" Type="http://schemas.openxmlformats.org/officeDocument/2006/relationships/image" Target="https://www.kdocs.cn/office/weboffice-static/js/et_attachment_img.png?658eda59-83cc-457a-ab47-a6148d80f2eb=HCMC2YBBADADC" TargetMode="External"/><Relationship Id="rId62" Type="http://schemas.openxmlformats.org/officeDocument/2006/relationships/image" Target="https://www.kdocs.cn/office/weboffice-static/js/et_attachment_img.png?658eda59-83cc-457a-ab47-a6148d80f2eb=GBDCYYBBABQHA" TargetMode="External"/><Relationship Id="rId61" Type="http://schemas.openxmlformats.org/officeDocument/2006/relationships/image" Target="https://www.kdocs.cn/office/weboffice-static/js/et_attachment_img.png?658eda59-83cc-457a-ab47-a6148d80f2eb=A5OCYYBBACQGS" TargetMode="External"/><Relationship Id="rId60" Type="http://schemas.openxmlformats.org/officeDocument/2006/relationships/image" Target="https://www.kdocs.cn/office/weboffice-static/js/et_attachment_img.png?658eda59-83cc-457a-ab47-a6148d80f2eb=UY3GQ4BBAAQCU" TargetMode="External"/><Relationship Id="rId6" Type="http://schemas.openxmlformats.org/officeDocument/2006/relationships/image" Target="https://www.kdocs.cn/office/weboffice-static/js/et_attachment_img.png?658eda59-83cc-457a-ab47-a6148d80f2eb=RMFLFTZAAAAH2" TargetMode="External"/><Relationship Id="rId59" Type="http://schemas.openxmlformats.org/officeDocument/2006/relationships/image" Target="https://www.kdocs.cn/office/weboffice-static/js/et_attachment_img.png?658eda59-83cc-457a-ab47-a6148d80f2eb=YXFYI4BBADAHQ" TargetMode="External"/><Relationship Id="rId58" Type="http://schemas.openxmlformats.org/officeDocument/2006/relationships/image" Target="https://www.kdocs.cn/office/weboffice-static/js/et_attachment_img.png?658eda59-83cc-457a-ab47-a6148d80f2eb=V4MZQVJBAAQAY" TargetMode="External"/><Relationship Id="rId57" Type="http://schemas.openxmlformats.org/officeDocument/2006/relationships/image" Target="https://www.kdocs.cn/office/weboffice-static/js/et_attachment_img.png?658eda59-83cc-457a-ab47-a6148d80f2eb=OMVZQVJBABQCQ" TargetMode="External"/><Relationship Id="rId56" Type="http://schemas.openxmlformats.org/officeDocument/2006/relationships/image" Target="https://www.kdocs.cn/office/weboffice-static/js/et_attachment_img.png?658eda59-83cc-457a-ab47-a6148d80f2eb=fuhXdvxgau35JVfKsFJC9L" TargetMode="External"/><Relationship Id="rId55" Type="http://schemas.openxmlformats.org/officeDocument/2006/relationships/image" Target="https://www.kdocs.cn/office/weboffice-static/js/et_attachment_img.png?658eda59-83cc-457a-ab47-a6148d80f2eb=XBN4uUA2CtqqFtnNL9fHhC" TargetMode="External"/><Relationship Id="rId54" Type="http://schemas.openxmlformats.org/officeDocument/2006/relationships/image" Target="https://www.kdocs.cn/office/weboffice-static/js/et_attachment_img.png?658eda59-83cc-457a-ab47-a6148d80f2eb=L4SPKVJBADQHO" TargetMode="External"/><Relationship Id="rId53" Type="http://schemas.openxmlformats.org/officeDocument/2006/relationships/image" Target="https://www.kdocs.cn/office/weboffice-static/js/et_attachment_img.png?658eda59-83cc-457a-ab47-a6148d80f2eb=PODA6VRBAAAF4" TargetMode="External"/><Relationship Id="rId52" Type="http://schemas.openxmlformats.org/officeDocument/2006/relationships/image" Target="https://www.kdocs.cn/office/weboffice-static/js/et_attachment_img.png?658eda59-83cc-457a-ab47-a6148d80f2eb=ESV2YPJBADAGO" TargetMode="External"/><Relationship Id="rId51" Type="http://schemas.openxmlformats.org/officeDocument/2006/relationships/image" Target="https://www.kdocs.cn/office/weboffice-static/js/et_attachment_img.png?658eda59-83cc-457a-ab47-a6148d80f2eb=KZ62YPJBACQB6" TargetMode="External"/><Relationship Id="rId50" Type="http://schemas.openxmlformats.org/officeDocument/2006/relationships/image" Target="https://www.kdocs.cn/office/weboffice-static/js/et_attachment_img.png?658eda59-83cc-457a-ab47-a6148d80f2eb=IAAA4PBBABAGK" TargetMode="External"/><Relationship Id="rId5" Type="http://schemas.openxmlformats.org/officeDocument/2006/relationships/image" Target="NULL" TargetMode="External"/><Relationship Id="rId49" Type="http://schemas.openxmlformats.org/officeDocument/2006/relationships/image" Target="https://www.kdocs.cn/office/weboffice-static/js/et_attachment_img.png?658eda59-83cc-457a-ab47-a6148d80f2eb=HUPBSPBBACQB6" TargetMode="External"/><Relationship Id="rId48" Type="http://schemas.openxmlformats.org/officeDocument/2006/relationships/image" Target="https://www.kdocs.cn/office/weboffice-static/js/et_attachment_img.png?658eda59-83cc-457a-ab47-a6148d80f2eb=MIZRSPBBACACK" TargetMode="External"/><Relationship Id="rId47" Type="http://schemas.openxmlformats.org/officeDocument/2006/relationships/image" Target="https://www.kdocs.cn/office/weboffice-static/js/et_attachment_img.png?658eda59-83cc-457a-ab47-a6148d80f2eb=JJIBSPBBAAQBW" TargetMode="External"/><Relationship Id="rId46" Type="http://schemas.openxmlformats.org/officeDocument/2006/relationships/image" Target="https://www.kdocs.cn/office/weboffice-static/js/et_attachment_img.png?658eda59-83cc-457a-ab47-a6148d80f2eb=3MCZ6NZBACAAC" TargetMode="External"/><Relationship Id="rId45" Type="http://schemas.openxmlformats.org/officeDocument/2006/relationships/image" Target="https://www.kdocs.cn/office/weboffice-static/js/et_attachment_img.png?658eda59-83cc-457a-ab47-a6148d80f2eb=ONKJ4NZBABAAU" TargetMode="External"/><Relationship Id="rId44" Type="http://schemas.openxmlformats.org/officeDocument/2006/relationships/image" Target="https://www.kdocs.cn/office/weboffice-static/js/et_attachment_img.png?658eda59-83cc-457a-ab47-a6148d80f2eb=JRC2UNZBADACC" TargetMode="External"/><Relationship Id="rId43" Type="http://schemas.openxmlformats.org/officeDocument/2006/relationships/image" Target="https://www.kdocs.cn/office/weboffice-static/js/et_attachment_img.png?658eda59-83cc-457a-ab47-a6148d80f2eb=YGI2KNZBADQBW" TargetMode="External"/><Relationship Id="rId42" Type="http://schemas.openxmlformats.org/officeDocument/2006/relationships/image" Target="https://www.kdocs.cn/office/weboffice-static/js/et_attachment_img.png?658eda59-83cc-457a-ab47-a6148d80f2eb=OT63GNZBABQBU" TargetMode="External"/><Relationship Id="rId41" Type="http://schemas.openxmlformats.org/officeDocument/2006/relationships/image" Target="https://www.kdocs.cn/office/weboffice-static/js/et_attachment_img.png?658eda59-83cc-457a-ab47-a6148d80f2eb=V763UNZBADQC2" TargetMode="External"/><Relationship Id="rId40" Type="http://schemas.openxmlformats.org/officeDocument/2006/relationships/image" Target="https://www.kdocs.cn/office/weboffice-static/js/et_attachment_img.png?658eda59-83cc-457a-ab47-a6148d80f2eb=BUZ3INZBACQEK" TargetMode="External"/><Relationship Id="rId4" Type="http://schemas.openxmlformats.org/officeDocument/2006/relationships/image" Target="media/image1.jpeg"/><Relationship Id="rId39" Type="http://schemas.openxmlformats.org/officeDocument/2006/relationships/image" Target="https://www.kdocs.cn/office/weboffice-static/js/et_attachment_img.png?658eda59-83cc-457a-ab47-a6148d80f2eb=EMF2AJZBABQAA" TargetMode="External"/><Relationship Id="rId38" Type="http://schemas.openxmlformats.org/officeDocument/2006/relationships/image" Target="https://www.kdocs.cn/office/weboffice-static/js/et_attachment_img.png?658eda59-83cc-457a-ab47-a6148d80f2eb=HECK7LJAADQD6" TargetMode="External"/><Relationship Id="rId37" Type="http://schemas.openxmlformats.org/officeDocument/2006/relationships/image" Target="https://www.kdocs.cn/office/weboffice-static/js/et_attachment_img.png?658eda59-83cc-457a-ab47-a6148d80f2eb=UL2AEHRBADQD6" TargetMode="External"/><Relationship Id="rId36" Type="http://schemas.openxmlformats.org/officeDocument/2006/relationships/image" Target="https://www.kdocs.cn/office/weboffice-static/js/et_attachment_img.png?658eda59-83cc-457a-ab47-a6148d80f2eb=XM25KCJBABQB4" TargetMode="External"/><Relationship Id="rId35" Type="http://schemas.openxmlformats.org/officeDocument/2006/relationships/image" Target="https://www.kdocs.cn/office/weboffice-static/js/et_attachment_img.png?658eda59-83cc-457a-ab47-a6148d80f2eb=VKSOACJBACAHE" TargetMode="External"/><Relationship Id="rId34" Type="http://schemas.openxmlformats.org/officeDocument/2006/relationships/image" Target="https://www.kdocs.cn/office/weboffice-static/js/et_attachment_img.png?658eda59-83cc-457a-ab47-a6148d80f2eb=YBLPECJBADQGK" TargetMode="External"/><Relationship Id="rId33" Type="http://schemas.openxmlformats.org/officeDocument/2006/relationships/image" Target="https://www.kdocs.cn/office/weboffice-static/js/et_attachment_img.png?658eda59-83cc-457a-ab47-a6148d80f2eb=LUZ4KGBBAAQBQ" TargetMode="External"/><Relationship Id="rId32" Type="http://schemas.openxmlformats.org/officeDocument/2006/relationships/image" Target="https://www.kdocs.cn/office/weboffice-static/js/et_attachment_img.png?658eda59-83cc-457a-ab47-a6148d80f2eb=EHJ6SGBBADQEY" TargetMode="External"/><Relationship Id="rId31" Type="http://schemas.openxmlformats.org/officeDocument/2006/relationships/image" Target="https://www.kdocs.cn/office/weboffice-static/js/et_attachment_img.png?658eda59-83cc-457a-ab47-a6148d80f2eb=HEUMMGBBAAQEE" TargetMode="External"/><Relationship Id="rId30" Type="http://schemas.openxmlformats.org/officeDocument/2006/relationships/image" Target="https://www.kdocs.cn/office/weboffice-static/js/et_attachment_img.png?658eda59-83cc-457a-ab47-a6148d80f2eb=HG6P4GBBACQHK" TargetMode="External"/><Relationship Id="rId3" Type="http://schemas.openxmlformats.org/officeDocument/2006/relationships/image" Target="https://www.kdocs.cn/office/weboffice-static/js/et_attachment_img.png?658eda59-83cc-457a-ab47-a6148d80f2eb=6IRGYZJAADQFS" TargetMode="External"/><Relationship Id="rId29" Type="http://schemas.openxmlformats.org/officeDocument/2006/relationships/image" Target="https://www.kdocs.cn/office/weboffice-static/js/et_attachment_img.png?658eda59-83cc-457a-ab47-a6148d80f2eb=QYAAAGJBADADC" TargetMode="External"/><Relationship Id="rId28" Type="http://schemas.openxmlformats.org/officeDocument/2006/relationships/image" Target="https://www.kdocs.cn/office/weboffice-static/js/et_attachment_img.png?658eda59-83cc-457a-ab47-a6148d80f2eb=TIKACGJBACQFG" TargetMode="External"/><Relationship Id="rId27" Type="http://schemas.openxmlformats.org/officeDocument/2006/relationships/image" Target="https://www.kdocs.cn/office/weboffice-static/js/et_attachment_img.png?658eda59-83cc-457a-ab47-a6148d80f2eb=Q67CUBBBAAQAI" TargetMode="External"/><Relationship Id="rId26" Type="http://schemas.openxmlformats.org/officeDocument/2006/relationships/image" Target="https://www.kdocs.cn/office/weboffice-static/js/et_attachment_img.png?658eda59-83cc-457a-ab47-a6148d80f2eb=QCF4H4ZAABABQ" TargetMode="External"/><Relationship Id="rId25" Type="http://schemas.openxmlformats.org/officeDocument/2006/relationships/image" Target="https://www.kdocs.cn/office/weboffice-static/js/et_attachment_img.png?658eda59-83cc-457a-ab47-a6148d80f2eb=EZDMJ4ZAAAADC" TargetMode="External"/><Relationship Id="rId24" Type="http://schemas.openxmlformats.org/officeDocument/2006/relationships/image" Target="https://www.kdocs.cn/office/weboffice-static/js/et_attachment_img.png?658eda59-83cc-457a-ab47-a6148d80f2eb=M6T4H4ZAACACA" TargetMode="External"/><Relationship Id="rId23" Type="http://schemas.openxmlformats.org/officeDocument/2006/relationships/image" Target="media/image4.png"/><Relationship Id="rId22" Type="http://schemas.openxmlformats.org/officeDocument/2006/relationships/image" Target="media/image3.png"/><Relationship Id="rId21" Type="http://schemas.openxmlformats.org/officeDocument/2006/relationships/image" Target="https://www.kdocs.cn/office/weboffice-static/js/et_attachment_img.png?658eda59-83cc-457a-ab47-a6148d80f2eb=JKY24DRBABAH4" TargetMode="External"/><Relationship Id="rId20" Type="http://schemas.openxmlformats.org/officeDocument/2006/relationships/image" Target="media/image2.png"/><Relationship Id="rId2" Type="http://schemas.openxmlformats.org/officeDocument/2006/relationships/image" Target="https://www.kdocs.cn/office/weboffice-static/js/et_attachment_img.png?658eda59-83cc-457a-ab47-a6148d80f2eb=WW7GYZJAACAFC" TargetMode="External"/><Relationship Id="rId19" Type="http://schemas.openxmlformats.org/officeDocument/2006/relationships/image" Target="https://www.kdocs.cn/office/weboffice-static/js/et_attachment_img.png?658eda59-83cc-457a-ab47-a6148d80f2eb=EAMJQDRBADAEU" TargetMode="External"/><Relationship Id="rId18" Type="http://schemas.openxmlformats.org/officeDocument/2006/relationships/image" Target="https://www.kdocs.cn/office/weboffice-static/js/et_attachment_img.png?658eda59-83cc-457a-ab47-a6148d80f2eb=AAWJQDRBADABA" TargetMode="External"/><Relationship Id="rId17" Type="http://schemas.openxmlformats.org/officeDocument/2006/relationships/image" Target="https://www.kdocs.cn/office/weboffice-static/js/et_attachment_img.png?658eda59-83cc-457a-ab47-a6148d80f2eb=VIZ5MBBBADAEC" TargetMode="External"/><Relationship Id="rId16" Type="http://schemas.openxmlformats.org/officeDocument/2006/relationships/image" Target="https://www.kdocs.cn/office/weboffice-static/js/et_attachment_img.png?658eda59-83cc-457a-ab47-a6148d80f2eb=L3A62BBBABQGS" TargetMode="External"/><Relationship Id="rId15" Type="http://schemas.openxmlformats.org/officeDocument/2006/relationships/image" Target="https://www.kdocs.cn/office/weboffice-static/js/et_attachment_img.png?658eda59-83cc-457a-ab47-a6148d80f2eb=NQHO4BBBAAQBY" TargetMode="External"/><Relationship Id="rId14" Type="http://schemas.openxmlformats.org/officeDocument/2006/relationships/image" Target="https://www.kdocs.cn/office/weboffice-static/js/et_attachment_img.png?658eda59-83cc-457a-ab47-a6148d80f2eb=MNO64BBBAAAE6" TargetMode="External"/><Relationship Id="rId13" Type="http://schemas.openxmlformats.org/officeDocument/2006/relationships/image" Target="https://www.kdocs.cn/office/weboffice-static/js/et_attachment_img.png?658eda59-83cc-457a-ab47-a6148d80f2eb=T44WXZBAAAAGS" TargetMode="External"/><Relationship Id="rId12" Type="http://schemas.openxmlformats.org/officeDocument/2006/relationships/image" Target="https://www.kdocs.cn/office/weboffice-static/js/et_attachment_img.png?658eda59-83cc-457a-ab47-a6148d80f2eb=MFKSN2ZAACADW" TargetMode="External"/><Relationship Id="rId11" Type="http://schemas.openxmlformats.org/officeDocument/2006/relationships/image" Target="https://www.kdocs.cn/office/weboffice-static/js/et_attachment_img.png?658eda59-83cc-457a-ab47-a6148d80f2eb=VARV3YBAAAAFO" TargetMode="External"/><Relationship Id="rId10" Type="http://schemas.openxmlformats.org/officeDocument/2006/relationships/image" Target="https://www.kdocs.cn/office/weboffice-static/js/et_attachment_img.png?658eda59-83cc-457a-ab47-a6148d80f2eb=EZRHTYBAADAES" TargetMode="External"/><Relationship Id="rId1" Type="http://schemas.openxmlformats.org/officeDocument/2006/relationships/image" Target="https://www.kdocs.cn/office/weboffice-static/js/et_attachment_img.png?658eda59-83cc-457a-ab47-a6148d80f2eb=FPTGYZJAAAQCC" TargetMode="External"/></Relationship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8" Type="http://schemas.openxmlformats.org/officeDocument/2006/relationships/styles" Target="styles.xml"/><Relationship Id="rId47" Type="http://www.wps.cn/officeDocument/2020/cellImage" Target="cellimages.xml"/><Relationship Id="rId46" Type="http://schemas.openxmlformats.org/officeDocument/2006/relationships/sheetMetadata" Target="metadata.xml"/><Relationship Id="rId45" Type="http://schemas.openxmlformats.org/officeDocument/2006/relationships/sharedStrings" Target="sharedStrings.xml"/><Relationship Id="rId44" Type="http://schemas.openxmlformats.org/officeDocument/2006/relationships/theme" Target="theme/theme1.xml"/><Relationship Id="rId43" Type="http://schemas.openxmlformats.org/officeDocument/2006/relationships/externalLink" Target="externalLinks/externalLink13.xml"/><Relationship Id="rId42" Type="http://schemas.openxmlformats.org/officeDocument/2006/relationships/externalLink" Target="externalLinks/externalLink12.xml"/><Relationship Id="rId41" Type="http://schemas.openxmlformats.org/officeDocument/2006/relationships/externalLink" Target="externalLinks/externalLink11.xml"/><Relationship Id="rId40" Type="http://schemas.openxmlformats.org/officeDocument/2006/relationships/externalLink" Target="externalLinks/externalLink10.xml"/><Relationship Id="rId4" Type="http://schemas.openxmlformats.org/officeDocument/2006/relationships/worksheet" Target="worksheets/sheet4.xml"/><Relationship Id="rId39" Type="http://schemas.openxmlformats.org/officeDocument/2006/relationships/externalLink" Target="externalLinks/externalLink9.xml"/><Relationship Id="rId38" Type="http://schemas.openxmlformats.org/officeDocument/2006/relationships/externalLink" Target="externalLinks/externalLink8.xml"/><Relationship Id="rId37" Type="http://schemas.openxmlformats.org/officeDocument/2006/relationships/externalLink" Target="externalLinks/externalLink7.xml"/><Relationship Id="rId36" Type="http://schemas.openxmlformats.org/officeDocument/2006/relationships/externalLink" Target="externalLinks/externalLink6.xml"/><Relationship Id="rId35" Type="http://schemas.openxmlformats.org/officeDocument/2006/relationships/externalLink" Target="externalLinks/externalLink5.xml"/><Relationship Id="rId34" Type="http://schemas.openxmlformats.org/officeDocument/2006/relationships/externalLink" Target="externalLinks/externalLink4.xml"/><Relationship Id="rId33" Type="http://schemas.openxmlformats.org/officeDocument/2006/relationships/externalLink" Target="externalLinks/externalLink3.xml"/><Relationship Id="rId32" Type="http://schemas.openxmlformats.org/officeDocument/2006/relationships/externalLink" Target="externalLinks/externalLink2.xml"/><Relationship Id="rId31" Type="http://schemas.openxmlformats.org/officeDocument/2006/relationships/externalLink" Target="externalLinks/externalLink1.xml"/><Relationship Id="rId30" Type="http://schemas.openxmlformats.org/officeDocument/2006/relationships/customXml" Target="../customXml/item5.xml"/><Relationship Id="rId3" Type="http://schemas.openxmlformats.org/officeDocument/2006/relationships/worksheet" Target="worksheets/sheet3.xml"/><Relationship Id="rId29" Type="http://schemas.openxmlformats.org/officeDocument/2006/relationships/customXml" Target="../customXml/item4.xml"/><Relationship Id="rId28" Type="http://schemas.openxmlformats.org/officeDocument/2006/relationships/customXml" Target="../customXml/item3.xml"/><Relationship Id="rId27" Type="http://schemas.openxmlformats.org/officeDocument/2006/relationships/customXml" Target="../customXml/item2.xml"/><Relationship Id="rId26" Type="http://schemas.openxmlformats.org/officeDocument/2006/relationships/customXml" Target="../customXml/item1.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https://www.kdocs.cn/office/weboffice-static/js/et_attachment_img.png?658eda59-83cc-457a-ab47-a6148d80f2eb=DMKY7YBAACAFO" TargetMode="External"/><Relationship Id="rId8" Type="http://schemas.openxmlformats.org/officeDocument/2006/relationships/image" Target="https://www.kdocs.cn/office/weboffice-static/js/et_attachment_img.png?658eda59-83cc-457a-ab47-a6148d80f2eb=2DKYRYBAABQHU" TargetMode="External"/><Relationship Id="rId72" Type="http://schemas.openxmlformats.org/officeDocument/2006/relationships/image" Target="https://www.kdocs.cn/office/weboffice-static/js/et_attachment_img.png?658eda59-83cc-457a-ab47-a6148d80f2eb=5KNMREZBADQG2" TargetMode="External"/><Relationship Id="rId71" Type="http://schemas.openxmlformats.org/officeDocument/2006/relationships/image" Target="https://www.kdocs.cn/office/weboffice-static/js/et_attachment_img.png?658eda59-83cc-457a-ab47-a6148d80f2eb=QJKNVEZBAAQAE" TargetMode="External"/><Relationship Id="rId70" Type="http://schemas.openxmlformats.org/officeDocument/2006/relationships/image" Target="https://www.kdocs.cn/office/weboffice-static/js/et_attachment_img.png?658eda59-83cc-457a-ab47-a6148d80f2eb=GND5VEZBABQBY" TargetMode="External"/><Relationship Id="rId7" Type="http://schemas.openxmlformats.org/officeDocument/2006/relationships/image" Target="https://www.kdocs.cn/office/weboffice-static/js/et_attachment_img.png?658eda59-83cc-457a-ab47-a6148d80f2eb=4H62VTZAAAQDC" TargetMode="External"/><Relationship Id="rId69" Type="http://schemas.openxmlformats.org/officeDocument/2006/relationships/image" Target="https://www.kdocs.cn/office/weboffice-static/js/et_attachment_img.png?658eda59-83cc-457a-ab47-a6148d80f2eb=M2NN3EZBADAGO" TargetMode="External"/><Relationship Id="rId68" Type="http://schemas.openxmlformats.org/officeDocument/2006/relationships/image" Target="https://www.kdocs.cn/office/weboffice-static/js/et_attachment_img.png?658eda59-83cc-457a-ab47-a6148d80f2eb=BOBFTCRBADAEY" TargetMode="External"/><Relationship Id="rId67" Type="http://schemas.openxmlformats.org/officeDocument/2006/relationships/image" Target="https://www.kdocs.cn/office/weboffice-static/js/et_attachment_img.png?658eda59-83cc-457a-ab47-a6148d80f2eb=7A72M4BBAAQGU" TargetMode="External"/><Relationship Id="rId66" Type="http://schemas.openxmlformats.org/officeDocument/2006/relationships/image" Target="https://www.kdocs.cn/office/weboffice-static/js/et_attachment_img.png?658eda59-83cc-457a-ab47-a6148d80f2eb=2N3H65BBACACY" TargetMode="External"/><Relationship Id="rId65" Type="http://schemas.openxmlformats.org/officeDocument/2006/relationships/image" Target="https://www.kdocs.cn/office/weboffice-static/js/et_attachment_img.png?658eda59-83cc-457a-ab47-a6148d80f2eb=SJWSKYBBACAGW" TargetMode="External"/><Relationship Id="rId64" Type="http://schemas.openxmlformats.org/officeDocument/2006/relationships/image" Target="https://www.kdocs.cn/office/weboffice-static/js/et_attachment_img.png?658eda59-83cc-457a-ab47-a6148d80f2eb=JAQSYYBBABQC2" TargetMode="External"/><Relationship Id="rId63" Type="http://schemas.openxmlformats.org/officeDocument/2006/relationships/image" Target="https://www.kdocs.cn/office/weboffice-static/js/et_attachment_img.png?658eda59-83cc-457a-ab47-a6148d80f2eb=HCMC2YBBADADC" TargetMode="External"/><Relationship Id="rId62" Type="http://schemas.openxmlformats.org/officeDocument/2006/relationships/image" Target="https://www.kdocs.cn/office/weboffice-static/js/et_attachment_img.png?658eda59-83cc-457a-ab47-a6148d80f2eb=GBDCYYBBABQHA" TargetMode="External"/><Relationship Id="rId61" Type="http://schemas.openxmlformats.org/officeDocument/2006/relationships/image" Target="https://www.kdocs.cn/office/weboffice-static/js/et_attachment_img.png?658eda59-83cc-457a-ab47-a6148d80f2eb=A5OCYYBBACQGS" TargetMode="External"/><Relationship Id="rId60" Type="http://schemas.openxmlformats.org/officeDocument/2006/relationships/image" Target="https://www.kdocs.cn/office/weboffice-static/js/et_attachment_img.png?658eda59-83cc-457a-ab47-a6148d80f2eb=UY3GQ4BBAAQCU" TargetMode="External"/><Relationship Id="rId6" Type="http://schemas.openxmlformats.org/officeDocument/2006/relationships/image" Target="https://www.kdocs.cn/office/weboffice-static/js/et_attachment_img.png?658eda59-83cc-457a-ab47-a6148d80f2eb=RMFLFTZAAAAH2" TargetMode="External"/><Relationship Id="rId59" Type="http://schemas.openxmlformats.org/officeDocument/2006/relationships/image" Target="https://www.kdocs.cn/office/weboffice-static/js/et_attachment_img.png?658eda59-83cc-457a-ab47-a6148d80f2eb=YXFYI4BBADAHQ" TargetMode="External"/><Relationship Id="rId58" Type="http://schemas.openxmlformats.org/officeDocument/2006/relationships/image" Target="https://www.kdocs.cn/office/weboffice-static/js/et_attachment_img.png?658eda59-83cc-457a-ab47-a6148d80f2eb=V4MZQVJBAAQAY" TargetMode="External"/><Relationship Id="rId57" Type="http://schemas.openxmlformats.org/officeDocument/2006/relationships/image" Target="https://www.kdocs.cn/office/weboffice-static/js/et_attachment_img.png?658eda59-83cc-457a-ab47-a6148d80f2eb=OMVZQVJBABQCQ" TargetMode="External"/><Relationship Id="rId56" Type="http://schemas.openxmlformats.org/officeDocument/2006/relationships/image" Target="https://www.kdocs.cn/office/weboffice-static/js/et_attachment_img.png?658eda59-83cc-457a-ab47-a6148d80f2eb=fuhXdvxgau35JVfKsFJC9L" TargetMode="External"/><Relationship Id="rId55" Type="http://schemas.openxmlformats.org/officeDocument/2006/relationships/image" Target="https://www.kdocs.cn/office/weboffice-static/js/et_attachment_img.png?658eda59-83cc-457a-ab47-a6148d80f2eb=XBN4uUA2CtqqFtnNL9fHhC" TargetMode="External"/><Relationship Id="rId54" Type="http://schemas.openxmlformats.org/officeDocument/2006/relationships/image" Target="https://www.kdocs.cn/office/weboffice-static/js/et_attachment_img.png?658eda59-83cc-457a-ab47-a6148d80f2eb=L4SPKVJBADQHO" TargetMode="External"/><Relationship Id="rId53" Type="http://schemas.openxmlformats.org/officeDocument/2006/relationships/image" Target="https://www.kdocs.cn/office/weboffice-static/js/et_attachment_img.png?658eda59-83cc-457a-ab47-a6148d80f2eb=PODA6VRBAAAF4" TargetMode="External"/><Relationship Id="rId52" Type="http://schemas.openxmlformats.org/officeDocument/2006/relationships/image" Target="https://www.kdocs.cn/office/weboffice-static/js/et_attachment_img.png?658eda59-83cc-457a-ab47-a6148d80f2eb=ESV2YPJBADAGO" TargetMode="External"/><Relationship Id="rId51" Type="http://schemas.openxmlformats.org/officeDocument/2006/relationships/image" Target="https://www.kdocs.cn/office/weboffice-static/js/et_attachment_img.png?658eda59-83cc-457a-ab47-a6148d80f2eb=KZ62YPJBACQB6" TargetMode="External"/><Relationship Id="rId50" Type="http://schemas.openxmlformats.org/officeDocument/2006/relationships/image" Target="https://www.kdocs.cn/office/weboffice-static/js/et_attachment_img.png?658eda59-83cc-457a-ab47-a6148d80f2eb=IAAA4PBBABAGK" TargetMode="External"/><Relationship Id="rId5" Type="http://schemas.openxmlformats.org/officeDocument/2006/relationships/image" Target="NULL" TargetMode="External"/><Relationship Id="rId49" Type="http://schemas.openxmlformats.org/officeDocument/2006/relationships/image" Target="https://www.kdocs.cn/office/weboffice-static/js/et_attachment_img.png?658eda59-83cc-457a-ab47-a6148d80f2eb=HUPBSPBBACQB6" TargetMode="External"/><Relationship Id="rId48" Type="http://schemas.openxmlformats.org/officeDocument/2006/relationships/image" Target="https://www.kdocs.cn/office/weboffice-static/js/et_attachment_img.png?658eda59-83cc-457a-ab47-a6148d80f2eb=MIZRSPBBACACK" TargetMode="External"/><Relationship Id="rId47" Type="http://schemas.openxmlformats.org/officeDocument/2006/relationships/image" Target="https://www.kdocs.cn/office/weboffice-static/js/et_attachment_img.png?658eda59-83cc-457a-ab47-a6148d80f2eb=JJIBSPBBAAQBW" TargetMode="External"/><Relationship Id="rId46" Type="http://schemas.openxmlformats.org/officeDocument/2006/relationships/image" Target="https://www.kdocs.cn/office/weboffice-static/js/et_attachment_img.png?658eda59-83cc-457a-ab47-a6148d80f2eb=3MCZ6NZBACAAC" TargetMode="External"/><Relationship Id="rId45" Type="http://schemas.openxmlformats.org/officeDocument/2006/relationships/image" Target="https://www.kdocs.cn/office/weboffice-static/js/et_attachment_img.png?658eda59-83cc-457a-ab47-a6148d80f2eb=ONKJ4NZBABAAU" TargetMode="External"/><Relationship Id="rId44" Type="http://schemas.openxmlformats.org/officeDocument/2006/relationships/image" Target="https://www.kdocs.cn/office/weboffice-static/js/et_attachment_img.png?658eda59-83cc-457a-ab47-a6148d80f2eb=JRC2UNZBADACC" TargetMode="External"/><Relationship Id="rId43" Type="http://schemas.openxmlformats.org/officeDocument/2006/relationships/image" Target="https://www.kdocs.cn/office/weboffice-static/js/et_attachment_img.png?658eda59-83cc-457a-ab47-a6148d80f2eb=YGI2KNZBADQBW" TargetMode="External"/><Relationship Id="rId42" Type="http://schemas.openxmlformats.org/officeDocument/2006/relationships/image" Target="https://www.kdocs.cn/office/weboffice-static/js/et_attachment_img.png?658eda59-83cc-457a-ab47-a6148d80f2eb=OT63GNZBABQBU" TargetMode="External"/><Relationship Id="rId41" Type="http://schemas.openxmlformats.org/officeDocument/2006/relationships/image" Target="https://www.kdocs.cn/office/weboffice-static/js/et_attachment_img.png?658eda59-83cc-457a-ab47-a6148d80f2eb=V763UNZBADQC2" TargetMode="External"/><Relationship Id="rId40" Type="http://schemas.openxmlformats.org/officeDocument/2006/relationships/image" Target="https://www.kdocs.cn/office/weboffice-static/js/et_attachment_img.png?658eda59-83cc-457a-ab47-a6148d80f2eb=BUZ3INZBACQEK" TargetMode="External"/><Relationship Id="rId4" Type="http://schemas.openxmlformats.org/officeDocument/2006/relationships/image" Target="../media/image1.jpeg"/><Relationship Id="rId39" Type="http://schemas.openxmlformats.org/officeDocument/2006/relationships/image" Target="https://www.kdocs.cn/office/weboffice-static/js/et_attachment_img.png?658eda59-83cc-457a-ab47-a6148d80f2eb=EMF2AJZBABQAA" TargetMode="External"/><Relationship Id="rId38" Type="http://schemas.openxmlformats.org/officeDocument/2006/relationships/image" Target="https://www.kdocs.cn/office/weboffice-static/js/et_attachment_img.png?658eda59-83cc-457a-ab47-a6148d80f2eb=HECK7LJAADQD6" TargetMode="External"/><Relationship Id="rId37" Type="http://schemas.openxmlformats.org/officeDocument/2006/relationships/image" Target="https://www.kdocs.cn/office/weboffice-static/js/et_attachment_img.png?658eda59-83cc-457a-ab47-a6148d80f2eb=UL2AEHRBADQD6" TargetMode="External"/><Relationship Id="rId36" Type="http://schemas.openxmlformats.org/officeDocument/2006/relationships/image" Target="https://www.kdocs.cn/office/weboffice-static/js/et_attachment_img.png?658eda59-83cc-457a-ab47-a6148d80f2eb=XM25KCJBABQB4" TargetMode="External"/><Relationship Id="rId35" Type="http://schemas.openxmlformats.org/officeDocument/2006/relationships/image" Target="https://www.kdocs.cn/office/weboffice-static/js/et_attachment_img.png?658eda59-83cc-457a-ab47-a6148d80f2eb=VKSOACJBACAHE" TargetMode="External"/><Relationship Id="rId34" Type="http://schemas.openxmlformats.org/officeDocument/2006/relationships/image" Target="https://www.kdocs.cn/office/weboffice-static/js/et_attachment_img.png?658eda59-83cc-457a-ab47-a6148d80f2eb=YBLPECJBADQGK" TargetMode="External"/><Relationship Id="rId33" Type="http://schemas.openxmlformats.org/officeDocument/2006/relationships/image" Target="https://www.kdocs.cn/office/weboffice-static/js/et_attachment_img.png?658eda59-83cc-457a-ab47-a6148d80f2eb=LUZ4KGBBAAQBQ" TargetMode="External"/><Relationship Id="rId32" Type="http://schemas.openxmlformats.org/officeDocument/2006/relationships/image" Target="https://www.kdocs.cn/office/weboffice-static/js/et_attachment_img.png?658eda59-83cc-457a-ab47-a6148d80f2eb=EHJ6SGBBADQEY" TargetMode="External"/><Relationship Id="rId31" Type="http://schemas.openxmlformats.org/officeDocument/2006/relationships/image" Target="https://www.kdocs.cn/office/weboffice-static/js/et_attachment_img.png?658eda59-83cc-457a-ab47-a6148d80f2eb=HEUMMGBBAAQEE" TargetMode="External"/><Relationship Id="rId30" Type="http://schemas.openxmlformats.org/officeDocument/2006/relationships/image" Target="https://www.kdocs.cn/office/weboffice-static/js/et_attachment_img.png?658eda59-83cc-457a-ab47-a6148d80f2eb=HG6P4GBBACQHK" TargetMode="External"/><Relationship Id="rId3" Type="http://schemas.openxmlformats.org/officeDocument/2006/relationships/image" Target="https://www.kdocs.cn/office/weboffice-static/js/et_attachment_img.png?658eda59-83cc-457a-ab47-a6148d80f2eb=6IRGYZJAADQFS" TargetMode="External"/><Relationship Id="rId29" Type="http://schemas.openxmlformats.org/officeDocument/2006/relationships/image" Target="https://www.kdocs.cn/office/weboffice-static/js/et_attachment_img.png?658eda59-83cc-457a-ab47-a6148d80f2eb=QYAAAGJBADADC" TargetMode="External"/><Relationship Id="rId28" Type="http://schemas.openxmlformats.org/officeDocument/2006/relationships/image" Target="https://www.kdocs.cn/office/weboffice-static/js/et_attachment_img.png?658eda59-83cc-457a-ab47-a6148d80f2eb=TIKACGJBACQFG" TargetMode="External"/><Relationship Id="rId27" Type="http://schemas.openxmlformats.org/officeDocument/2006/relationships/image" Target="https://www.kdocs.cn/office/weboffice-static/js/et_attachment_img.png?658eda59-83cc-457a-ab47-a6148d80f2eb=Q67CUBBBAAQAI" TargetMode="External"/><Relationship Id="rId26" Type="http://schemas.openxmlformats.org/officeDocument/2006/relationships/image" Target="https://www.kdocs.cn/office/weboffice-static/js/et_attachment_img.png?658eda59-83cc-457a-ab47-a6148d80f2eb=QCF4H4ZAABABQ" TargetMode="External"/><Relationship Id="rId25" Type="http://schemas.openxmlformats.org/officeDocument/2006/relationships/image" Target="https://www.kdocs.cn/office/weboffice-static/js/et_attachment_img.png?658eda59-83cc-457a-ab47-a6148d80f2eb=EZDMJ4ZAAAADC" TargetMode="External"/><Relationship Id="rId24" Type="http://schemas.openxmlformats.org/officeDocument/2006/relationships/image" Target="https://www.kdocs.cn/office/weboffice-static/js/et_attachment_img.png?658eda59-83cc-457a-ab47-a6148d80f2eb=M6T4H4ZAACACA" TargetMode="External"/><Relationship Id="rId23" Type="http://schemas.openxmlformats.org/officeDocument/2006/relationships/image" Target="../media/image4.png"/><Relationship Id="rId22" Type="http://schemas.openxmlformats.org/officeDocument/2006/relationships/image" Target="../media/image3.png"/><Relationship Id="rId21" Type="http://schemas.openxmlformats.org/officeDocument/2006/relationships/image" Target="https://www.kdocs.cn/office/weboffice-static/js/et_attachment_img.png?658eda59-83cc-457a-ab47-a6148d80f2eb=JKY24DRBABAH4" TargetMode="External"/><Relationship Id="rId20" Type="http://schemas.openxmlformats.org/officeDocument/2006/relationships/image" Target="../media/image2.png"/><Relationship Id="rId2" Type="http://schemas.openxmlformats.org/officeDocument/2006/relationships/image" Target="https://www.kdocs.cn/office/weboffice-static/js/et_attachment_img.png?658eda59-83cc-457a-ab47-a6148d80f2eb=WW7GYZJAACAFC" TargetMode="External"/><Relationship Id="rId19" Type="http://schemas.openxmlformats.org/officeDocument/2006/relationships/image" Target="https://www.kdocs.cn/office/weboffice-static/js/et_attachment_img.png?658eda59-83cc-457a-ab47-a6148d80f2eb=EAMJQDRBADAEU" TargetMode="External"/><Relationship Id="rId18" Type="http://schemas.openxmlformats.org/officeDocument/2006/relationships/image" Target="https://www.kdocs.cn/office/weboffice-static/js/et_attachment_img.png?658eda59-83cc-457a-ab47-a6148d80f2eb=AAWJQDRBADABA" TargetMode="External"/><Relationship Id="rId17" Type="http://schemas.openxmlformats.org/officeDocument/2006/relationships/image" Target="https://www.kdocs.cn/office/weboffice-static/js/et_attachment_img.png?658eda59-83cc-457a-ab47-a6148d80f2eb=VIZ5MBBBADAEC" TargetMode="External"/><Relationship Id="rId16" Type="http://schemas.openxmlformats.org/officeDocument/2006/relationships/image" Target="https://www.kdocs.cn/office/weboffice-static/js/et_attachment_img.png?658eda59-83cc-457a-ab47-a6148d80f2eb=L3A62BBBABQGS" TargetMode="External"/><Relationship Id="rId15" Type="http://schemas.openxmlformats.org/officeDocument/2006/relationships/image" Target="https://www.kdocs.cn/office/weboffice-static/js/et_attachment_img.png?658eda59-83cc-457a-ab47-a6148d80f2eb=NQHO4BBBAAQBY" TargetMode="External"/><Relationship Id="rId14" Type="http://schemas.openxmlformats.org/officeDocument/2006/relationships/image" Target="https://www.kdocs.cn/office/weboffice-static/js/et_attachment_img.png?658eda59-83cc-457a-ab47-a6148d80f2eb=MNO64BBBAAAE6" TargetMode="External"/><Relationship Id="rId13" Type="http://schemas.openxmlformats.org/officeDocument/2006/relationships/image" Target="https://www.kdocs.cn/office/weboffice-static/js/et_attachment_img.png?658eda59-83cc-457a-ab47-a6148d80f2eb=T44WXZBAAAAGS" TargetMode="External"/><Relationship Id="rId12" Type="http://schemas.openxmlformats.org/officeDocument/2006/relationships/image" Target="https://www.kdocs.cn/office/weboffice-static/js/et_attachment_img.png?658eda59-83cc-457a-ab47-a6148d80f2eb=MFKSN2ZAACADW" TargetMode="External"/><Relationship Id="rId11" Type="http://schemas.openxmlformats.org/officeDocument/2006/relationships/image" Target="https://www.kdocs.cn/office/weboffice-static/js/et_attachment_img.png?658eda59-83cc-457a-ab47-a6148d80f2eb=VARV3YBAAAAFO" TargetMode="External"/><Relationship Id="rId10" Type="http://schemas.openxmlformats.org/officeDocument/2006/relationships/image" Target="https://www.kdocs.cn/office/weboffice-static/js/et_attachment_img.png?658eda59-83cc-457a-ab47-a6148d80f2eb=EZRHTYBAADAES" TargetMode="External"/><Relationship Id="rId1" Type="http://schemas.openxmlformats.org/officeDocument/2006/relationships/image" Target="https://www.kdocs.cn/office/weboffice-static/js/et_attachment_img.png?658eda59-83cc-457a-ab47-a6148d80f2eb=FPTGYZJAAAQCC" TargetMode="Externa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8</xdr:col>
      <xdr:colOff>323850</xdr:colOff>
      <xdr:row>25</xdr:row>
      <xdr:rowOff>66675</xdr:rowOff>
    </xdr:to>
    <xdr:pic>
      <xdr:nvPicPr>
        <xdr:cNvPr id="2863" name="ID_0489DDD773654DA19EF5D2F7E6CFF583" descr="core_image_url__exec_download_935964854"/>
        <xdr:cNvPicPr/>
      </xdr:nvPicPr>
      <xdr:blipFill>
        <a:blip r:link="rId1"/>
        <a:stretch>
          <a:fillRect/>
        </a:stretch>
      </xdr:blipFill>
      <xdr:spPr>
        <a:xfrm>
          <a:off x="0" y="0"/>
          <a:ext cx="5810250" cy="4352925"/>
        </a:xfrm>
        <a:prstGeom prst="rect">
          <a:avLst/>
        </a:prstGeom>
      </xdr:spPr>
    </xdr:pic>
    <xdr:clientData/>
  </xdr:twoCellAnchor>
  <xdr:twoCellAnchor editAs="oneCell">
    <xdr:from>
      <xdr:col>0</xdr:col>
      <xdr:colOff>0</xdr:colOff>
      <xdr:row>0</xdr:row>
      <xdr:rowOff>0</xdr:rowOff>
    </xdr:from>
    <xdr:to>
      <xdr:col>8</xdr:col>
      <xdr:colOff>323850</xdr:colOff>
      <xdr:row>25</xdr:row>
      <xdr:rowOff>66675</xdr:rowOff>
    </xdr:to>
    <xdr:pic>
      <xdr:nvPicPr>
        <xdr:cNvPr id="2862" name="ID_9060D06700234D73A40A37F2370E2234" descr="core_image_url__exec_download_2804513923"/>
        <xdr:cNvPicPr/>
      </xdr:nvPicPr>
      <xdr:blipFill>
        <a:blip r:link="rId2"/>
        <a:stretch>
          <a:fillRect/>
        </a:stretch>
      </xdr:blipFill>
      <xdr:spPr>
        <a:xfrm>
          <a:off x="0" y="0"/>
          <a:ext cx="5810250" cy="4352925"/>
        </a:xfrm>
        <a:prstGeom prst="rect">
          <a:avLst/>
        </a:prstGeom>
      </xdr:spPr>
    </xdr:pic>
    <xdr:clientData/>
  </xdr:twoCellAnchor>
  <xdr:twoCellAnchor editAs="oneCell">
    <xdr:from>
      <xdr:col>0</xdr:col>
      <xdr:colOff>0</xdr:colOff>
      <xdr:row>0</xdr:row>
      <xdr:rowOff>0</xdr:rowOff>
    </xdr:from>
    <xdr:to>
      <xdr:col>8</xdr:col>
      <xdr:colOff>323850</xdr:colOff>
      <xdr:row>25</xdr:row>
      <xdr:rowOff>66675</xdr:rowOff>
    </xdr:to>
    <xdr:pic>
      <xdr:nvPicPr>
        <xdr:cNvPr id="2861" name="ID_E506C151F08B445E982424171EA278F5" descr="core_image_url__exec_download_3364860876"/>
        <xdr:cNvPicPr/>
      </xdr:nvPicPr>
      <xdr:blipFill>
        <a:blip r:link="rId3"/>
        <a:stretch>
          <a:fillRect/>
        </a:stretch>
      </xdr:blipFill>
      <xdr:spPr>
        <a:xfrm>
          <a:off x="0" y="0"/>
          <a:ext cx="5810250" cy="4352925"/>
        </a:xfrm>
        <a:prstGeom prst="rect">
          <a:avLst/>
        </a:prstGeom>
      </xdr:spPr>
    </xdr:pic>
    <xdr:clientData/>
  </xdr:twoCellAnchor>
  <xdr:twoCellAnchor editAs="oneCell">
    <xdr:from>
      <xdr:col>0</xdr:col>
      <xdr:colOff>0</xdr:colOff>
      <xdr:row>0</xdr:row>
      <xdr:rowOff>0</xdr:rowOff>
    </xdr:from>
    <xdr:to>
      <xdr:col>6</xdr:col>
      <xdr:colOff>19050</xdr:colOff>
      <xdr:row>39</xdr:row>
      <xdr:rowOff>76200</xdr:rowOff>
    </xdr:to>
    <xdr:pic>
      <xdr:nvPicPr>
        <xdr:cNvPr id="2859" name="ID_3364B878065D4633BFDA16464000B2C5"/>
        <xdr:cNvPicPr>
          <a:picLocks noChangeAspect="1"/>
        </xdr:cNvPicPr>
      </xdr:nvPicPr>
      <xdr:blipFill>
        <a:blip r:embed="rId4" r:link="rId5"/>
        <a:stretch>
          <a:fillRect/>
        </a:stretch>
      </xdr:blipFill>
      <xdr:spPr>
        <a:xfrm>
          <a:off x="6097905" y="-1369550871"/>
          <a:ext cx="4133850" cy="6762750"/>
        </a:xfrm>
        <a:prstGeom prst="rect">
          <a:avLst/>
        </a:prstGeom>
        <a:noFill/>
        <a:ln w="9525">
          <a:noFill/>
        </a:ln>
      </xdr:spPr>
    </xdr:pic>
    <xdr:clientData/>
  </xdr:twoCellAnchor>
  <xdr:twoCellAnchor editAs="oneCell">
    <xdr:from>
      <xdr:col>0</xdr:col>
      <xdr:colOff>0</xdr:colOff>
      <xdr:row>0</xdr:row>
      <xdr:rowOff>0</xdr:rowOff>
    </xdr:from>
    <xdr:to>
      <xdr:col>7</xdr:col>
      <xdr:colOff>295275</xdr:colOff>
      <xdr:row>39</xdr:row>
      <xdr:rowOff>19050</xdr:rowOff>
    </xdr:to>
    <xdr:pic>
      <xdr:nvPicPr>
        <xdr:cNvPr id="3235" name="ID_C09B1D0D3170446FA4B66A36A8211A98" descr="core_image_url__exec_download_3141069395"/>
        <xdr:cNvPicPr/>
      </xdr:nvPicPr>
      <xdr:blipFill>
        <a:blip r:link="rId6"/>
        <a:stretch>
          <a:fillRect/>
        </a:stretch>
      </xdr:blipFill>
      <xdr:spPr>
        <a:xfrm>
          <a:off x="0" y="0"/>
          <a:ext cx="5095875" cy="6705600"/>
        </a:xfrm>
        <a:prstGeom prst="rect">
          <a:avLst/>
        </a:prstGeom>
      </xdr:spPr>
    </xdr:pic>
    <xdr:clientData/>
  </xdr:twoCellAnchor>
  <xdr:twoCellAnchor editAs="oneCell">
    <xdr:from>
      <xdr:col>0</xdr:col>
      <xdr:colOff>0</xdr:colOff>
      <xdr:row>0</xdr:row>
      <xdr:rowOff>0</xdr:rowOff>
    </xdr:from>
    <xdr:to>
      <xdr:col>13</xdr:col>
      <xdr:colOff>514350</xdr:colOff>
      <xdr:row>51</xdr:row>
      <xdr:rowOff>85725</xdr:rowOff>
    </xdr:to>
    <xdr:pic>
      <xdr:nvPicPr>
        <xdr:cNvPr id="3234" name="ID_4CEC0291335C40FEA5F4AE73D1DA7B81" descr="core_image_url__exec_download_4294629289"/>
        <xdr:cNvPicPr/>
      </xdr:nvPicPr>
      <xdr:blipFill>
        <a:blip r:link="rId7"/>
        <a:stretch>
          <a:fillRect/>
        </a:stretch>
      </xdr:blipFill>
      <xdr:spPr>
        <a:xfrm>
          <a:off x="0" y="0"/>
          <a:ext cx="9429750" cy="8829675"/>
        </a:xfrm>
        <a:prstGeom prst="rect">
          <a:avLst/>
        </a:prstGeom>
      </xdr:spPr>
    </xdr:pic>
    <xdr:clientData/>
  </xdr:twoCellAnchor>
  <xdr:twoCellAnchor editAs="oneCell">
    <xdr:from>
      <xdr:col>0</xdr:col>
      <xdr:colOff>0</xdr:colOff>
      <xdr:row>0</xdr:row>
      <xdr:rowOff>0</xdr:rowOff>
    </xdr:from>
    <xdr:to>
      <xdr:col>8</xdr:col>
      <xdr:colOff>171450</xdr:colOff>
      <xdr:row>58</xdr:row>
      <xdr:rowOff>114300</xdr:rowOff>
    </xdr:to>
    <xdr:pic>
      <xdr:nvPicPr>
        <xdr:cNvPr id="8730" name="ID_BB0EFDFF97E64B3FB5389E91B896FF87" descr="core_image_url__exec_download_762505602"/>
        <xdr:cNvPicPr/>
      </xdr:nvPicPr>
      <xdr:blipFill>
        <a:blip r:link="rId8"/>
        <a:stretch>
          <a:fillRect/>
        </a:stretch>
      </xdr:blipFill>
      <xdr:spPr>
        <a:xfrm>
          <a:off x="0" y="0"/>
          <a:ext cx="5657850" cy="10058400"/>
        </a:xfrm>
        <a:prstGeom prst="rect">
          <a:avLst/>
        </a:prstGeom>
      </xdr:spPr>
    </xdr:pic>
    <xdr:clientData/>
  </xdr:twoCellAnchor>
  <xdr:twoCellAnchor editAs="oneCell">
    <xdr:from>
      <xdr:col>0</xdr:col>
      <xdr:colOff>0</xdr:colOff>
      <xdr:row>0</xdr:row>
      <xdr:rowOff>0</xdr:rowOff>
    </xdr:from>
    <xdr:to>
      <xdr:col>10</xdr:col>
      <xdr:colOff>200025</xdr:colOff>
      <xdr:row>39</xdr:row>
      <xdr:rowOff>161925</xdr:rowOff>
    </xdr:to>
    <xdr:pic>
      <xdr:nvPicPr>
        <xdr:cNvPr id="8731" name="ID_43E8A72E216946CD9CCF379A4D4FD3B1" descr="core_image_url__exec_download_3968188436"/>
        <xdr:cNvPicPr/>
      </xdr:nvPicPr>
      <xdr:blipFill>
        <a:blip r:link="rId9"/>
        <a:stretch>
          <a:fillRect/>
        </a:stretch>
      </xdr:blipFill>
      <xdr:spPr>
        <a:xfrm>
          <a:off x="0" y="0"/>
          <a:ext cx="7058025" cy="6848475"/>
        </a:xfrm>
        <a:prstGeom prst="rect">
          <a:avLst/>
        </a:prstGeom>
      </xdr:spPr>
    </xdr:pic>
    <xdr:clientData/>
  </xdr:twoCellAnchor>
  <xdr:twoCellAnchor editAs="oneCell">
    <xdr:from>
      <xdr:col>0</xdr:col>
      <xdr:colOff>0</xdr:colOff>
      <xdr:row>0</xdr:row>
      <xdr:rowOff>0</xdr:rowOff>
    </xdr:from>
    <xdr:to>
      <xdr:col>8</xdr:col>
      <xdr:colOff>590550</xdr:colOff>
      <xdr:row>35</xdr:row>
      <xdr:rowOff>104775</xdr:rowOff>
    </xdr:to>
    <xdr:pic>
      <xdr:nvPicPr>
        <xdr:cNvPr id="8732" name="ID_D346022E158E415E8753332547B85756" descr="core_image_url__exec_download_1032774546"/>
        <xdr:cNvPicPr/>
      </xdr:nvPicPr>
      <xdr:blipFill>
        <a:blip r:link="rId10"/>
        <a:stretch>
          <a:fillRect/>
        </a:stretch>
      </xdr:blipFill>
      <xdr:spPr>
        <a:xfrm>
          <a:off x="0" y="0"/>
          <a:ext cx="6076950" cy="6105525"/>
        </a:xfrm>
        <a:prstGeom prst="rect">
          <a:avLst/>
        </a:prstGeom>
      </xdr:spPr>
    </xdr:pic>
    <xdr:clientData/>
  </xdr:twoCellAnchor>
  <xdr:twoCellAnchor editAs="oneCell">
    <xdr:from>
      <xdr:col>0</xdr:col>
      <xdr:colOff>0</xdr:colOff>
      <xdr:row>0</xdr:row>
      <xdr:rowOff>0</xdr:rowOff>
    </xdr:from>
    <xdr:to>
      <xdr:col>8</xdr:col>
      <xdr:colOff>457200</xdr:colOff>
      <xdr:row>33</xdr:row>
      <xdr:rowOff>57150</xdr:rowOff>
    </xdr:to>
    <xdr:pic>
      <xdr:nvPicPr>
        <xdr:cNvPr id="9524" name="ID_CA728C4165EF4B59886C0000AA4B8871" descr="core_image_url__exec_download_3885431431"/>
        <xdr:cNvPicPr/>
      </xdr:nvPicPr>
      <xdr:blipFill>
        <a:blip r:link="rId11"/>
        <a:stretch>
          <a:fillRect/>
        </a:stretch>
      </xdr:blipFill>
      <xdr:spPr>
        <a:xfrm>
          <a:off x="0" y="0"/>
          <a:ext cx="5943600" cy="5715000"/>
        </a:xfrm>
        <a:prstGeom prst="rect">
          <a:avLst/>
        </a:prstGeom>
      </xdr:spPr>
    </xdr:pic>
    <xdr:clientData/>
  </xdr:twoCellAnchor>
  <xdr:twoCellAnchor editAs="oneCell">
    <xdr:from>
      <xdr:col>0</xdr:col>
      <xdr:colOff>0</xdr:colOff>
      <xdr:row>0</xdr:row>
      <xdr:rowOff>0</xdr:rowOff>
    </xdr:from>
    <xdr:to>
      <xdr:col>10</xdr:col>
      <xdr:colOff>619125</xdr:colOff>
      <xdr:row>38</xdr:row>
      <xdr:rowOff>76200</xdr:rowOff>
    </xdr:to>
    <xdr:pic>
      <xdr:nvPicPr>
        <xdr:cNvPr id="9522" name="ID_1AAD8B113C5F40939CCB0D9A51D1A44E" descr="core_image_url__exec_download_3100438032"/>
        <xdr:cNvPicPr/>
      </xdr:nvPicPr>
      <xdr:blipFill>
        <a:blip r:link="rId12"/>
        <a:stretch>
          <a:fillRect/>
        </a:stretch>
      </xdr:blipFill>
      <xdr:spPr>
        <a:xfrm>
          <a:off x="0" y="0"/>
          <a:ext cx="7477125" cy="6591300"/>
        </a:xfrm>
        <a:prstGeom prst="rect">
          <a:avLst/>
        </a:prstGeom>
      </xdr:spPr>
    </xdr:pic>
    <xdr:clientData/>
  </xdr:twoCellAnchor>
  <xdr:twoCellAnchor editAs="oneCell">
    <xdr:from>
      <xdr:col>0</xdr:col>
      <xdr:colOff>0</xdr:colOff>
      <xdr:row>0</xdr:row>
      <xdr:rowOff>0</xdr:rowOff>
    </xdr:from>
    <xdr:to>
      <xdr:col>1</xdr:col>
      <xdr:colOff>276225</xdr:colOff>
      <xdr:row>5</xdr:row>
      <xdr:rowOff>66675</xdr:rowOff>
    </xdr:to>
    <xdr:pic>
      <xdr:nvPicPr>
        <xdr:cNvPr id="8880" name="ID_1C9B3D3D817644D4B78D65D02A3FCDC7" descr="core_image_url__exec_download_963801629"/>
        <xdr:cNvPicPr/>
      </xdr:nvPicPr>
      <xdr:blipFill>
        <a:blip r:link="rId13"/>
        <a:stretch>
          <a:fillRect/>
        </a:stretch>
      </xdr:blipFill>
      <xdr:spPr>
        <a:xfrm>
          <a:off x="0" y="0"/>
          <a:ext cx="962025" cy="923925"/>
        </a:xfrm>
        <a:prstGeom prst="rect">
          <a:avLst/>
        </a:prstGeom>
      </xdr:spPr>
    </xdr:pic>
    <xdr:clientData/>
  </xdr:twoCellAnchor>
  <xdr:twoCellAnchor editAs="oneCell">
    <xdr:from>
      <xdr:col>0</xdr:col>
      <xdr:colOff>0</xdr:colOff>
      <xdr:row>0</xdr:row>
      <xdr:rowOff>0</xdr:rowOff>
    </xdr:from>
    <xdr:to>
      <xdr:col>7</xdr:col>
      <xdr:colOff>295275</xdr:colOff>
      <xdr:row>36</xdr:row>
      <xdr:rowOff>9525</xdr:rowOff>
    </xdr:to>
    <xdr:pic>
      <xdr:nvPicPr>
        <xdr:cNvPr id="181" name="ID_2598C4EDDE854AAEAAB7E65068067D87" descr="core_image_url__exec_download_1373619888"/>
        <xdr:cNvPicPr/>
      </xdr:nvPicPr>
      <xdr:blipFill>
        <a:blip r:link="rId14"/>
        <a:stretch>
          <a:fillRect/>
        </a:stretch>
      </xdr:blipFill>
      <xdr:spPr>
        <a:xfrm>
          <a:off x="0" y="0"/>
          <a:ext cx="5095875" cy="6181725"/>
        </a:xfrm>
        <a:prstGeom prst="rect">
          <a:avLst/>
        </a:prstGeom>
      </xdr:spPr>
    </xdr:pic>
    <xdr:clientData/>
  </xdr:twoCellAnchor>
  <xdr:twoCellAnchor editAs="oneCell">
    <xdr:from>
      <xdr:col>0</xdr:col>
      <xdr:colOff>0</xdr:colOff>
      <xdr:row>0</xdr:row>
      <xdr:rowOff>0</xdr:rowOff>
    </xdr:from>
    <xdr:to>
      <xdr:col>7</xdr:col>
      <xdr:colOff>304800</xdr:colOff>
      <xdr:row>36</xdr:row>
      <xdr:rowOff>104775</xdr:rowOff>
    </xdr:to>
    <xdr:pic>
      <xdr:nvPicPr>
        <xdr:cNvPr id="179" name="ID_54B898D5F6A64BE89EAF26AC2C7026BF" descr="core_image_url__exec_download_662523494"/>
        <xdr:cNvPicPr/>
      </xdr:nvPicPr>
      <xdr:blipFill>
        <a:blip r:link="rId15"/>
        <a:stretch>
          <a:fillRect/>
        </a:stretch>
      </xdr:blipFill>
      <xdr:spPr>
        <a:xfrm>
          <a:off x="0" y="0"/>
          <a:ext cx="5105400" cy="6276975"/>
        </a:xfrm>
        <a:prstGeom prst="rect">
          <a:avLst/>
        </a:prstGeom>
      </xdr:spPr>
    </xdr:pic>
    <xdr:clientData/>
  </xdr:twoCellAnchor>
  <xdr:twoCellAnchor editAs="oneCell">
    <xdr:from>
      <xdr:col>0</xdr:col>
      <xdr:colOff>0</xdr:colOff>
      <xdr:row>0</xdr:row>
      <xdr:rowOff>0</xdr:rowOff>
    </xdr:from>
    <xdr:to>
      <xdr:col>10</xdr:col>
      <xdr:colOff>682625</xdr:colOff>
      <xdr:row>58</xdr:row>
      <xdr:rowOff>114300</xdr:rowOff>
    </xdr:to>
    <xdr:pic>
      <xdr:nvPicPr>
        <xdr:cNvPr id="177" name="ID_E00E39BEDCA14554BDB0F00C36D2FA85" descr="core_image_url__exec_download_925232996"/>
        <xdr:cNvPicPr/>
      </xdr:nvPicPr>
      <xdr:blipFill>
        <a:blip r:link="rId16"/>
        <a:stretch>
          <a:fillRect/>
        </a:stretch>
      </xdr:blipFill>
      <xdr:spPr>
        <a:xfrm>
          <a:off x="0" y="0"/>
          <a:ext cx="7540625" cy="10058400"/>
        </a:xfrm>
        <a:prstGeom prst="rect">
          <a:avLst/>
        </a:prstGeom>
      </xdr:spPr>
    </xdr:pic>
    <xdr:clientData/>
  </xdr:twoCellAnchor>
  <xdr:twoCellAnchor editAs="oneCell">
    <xdr:from>
      <xdr:col>0</xdr:col>
      <xdr:colOff>0</xdr:colOff>
      <xdr:row>0</xdr:row>
      <xdr:rowOff>0</xdr:rowOff>
    </xdr:from>
    <xdr:to>
      <xdr:col>5</xdr:col>
      <xdr:colOff>209550</xdr:colOff>
      <xdr:row>22</xdr:row>
      <xdr:rowOff>104775</xdr:rowOff>
    </xdr:to>
    <xdr:pic>
      <xdr:nvPicPr>
        <xdr:cNvPr id="169" name="ID_76C88E4864A1475AAEDF103B5BDFD722" descr="core_image_url__exec_download_2696134926"/>
        <xdr:cNvPicPr/>
      </xdr:nvPicPr>
      <xdr:blipFill>
        <a:blip r:link="rId17"/>
        <a:stretch>
          <a:fillRect/>
        </a:stretch>
      </xdr:blipFill>
      <xdr:spPr>
        <a:xfrm>
          <a:off x="0" y="0"/>
          <a:ext cx="3638550" cy="3876675"/>
        </a:xfrm>
        <a:prstGeom prst="rect">
          <a:avLst/>
        </a:prstGeom>
      </xdr:spPr>
    </xdr:pic>
    <xdr:clientData/>
  </xdr:twoCellAnchor>
  <xdr:twoCellAnchor editAs="oneCell">
    <xdr:from>
      <xdr:col>0</xdr:col>
      <xdr:colOff>0</xdr:colOff>
      <xdr:row>0</xdr:row>
      <xdr:rowOff>0</xdr:rowOff>
    </xdr:from>
    <xdr:to>
      <xdr:col>13</xdr:col>
      <xdr:colOff>619125</xdr:colOff>
      <xdr:row>46</xdr:row>
      <xdr:rowOff>123825</xdr:rowOff>
    </xdr:to>
    <xdr:pic>
      <xdr:nvPicPr>
        <xdr:cNvPr id="251" name="ID_04BAE11DCE934B8FA61B08075A755D2A" descr="core_image_url__exec_download_3045609056"/>
        <xdr:cNvPicPr/>
      </xdr:nvPicPr>
      <xdr:blipFill>
        <a:blip r:link="rId18"/>
        <a:stretch>
          <a:fillRect/>
        </a:stretch>
      </xdr:blipFill>
      <xdr:spPr>
        <a:xfrm>
          <a:off x="0" y="0"/>
          <a:ext cx="9534525" cy="8010525"/>
        </a:xfrm>
        <a:prstGeom prst="rect">
          <a:avLst/>
        </a:prstGeom>
      </xdr:spPr>
    </xdr:pic>
    <xdr:clientData/>
  </xdr:twoCellAnchor>
  <xdr:twoCellAnchor editAs="oneCell">
    <xdr:from>
      <xdr:col>0</xdr:col>
      <xdr:colOff>0</xdr:colOff>
      <xdr:row>0</xdr:row>
      <xdr:rowOff>0</xdr:rowOff>
    </xdr:from>
    <xdr:to>
      <xdr:col>14</xdr:col>
      <xdr:colOff>457200</xdr:colOff>
      <xdr:row>41</xdr:row>
      <xdr:rowOff>67310</xdr:rowOff>
    </xdr:to>
    <xdr:pic>
      <xdr:nvPicPr>
        <xdr:cNvPr id="250" name="ID_A9FB0D7102DA4F0A8B4AB78C8A981922" descr="core_image_url__exec_download_2433982229"/>
        <xdr:cNvPicPr/>
      </xdr:nvPicPr>
      <xdr:blipFill>
        <a:blip r:link="rId19"/>
        <a:stretch>
          <a:fillRect/>
        </a:stretch>
      </xdr:blipFill>
      <xdr:spPr>
        <a:xfrm>
          <a:off x="0" y="0"/>
          <a:ext cx="10058400" cy="7096760"/>
        </a:xfrm>
        <a:prstGeom prst="rect">
          <a:avLst/>
        </a:prstGeom>
      </xdr:spPr>
    </xdr:pic>
    <xdr:clientData/>
  </xdr:twoCellAnchor>
  <xdr:twoCellAnchor editAs="oneCell">
    <xdr:from>
      <xdr:col>0</xdr:col>
      <xdr:colOff>0</xdr:colOff>
      <xdr:row>0</xdr:row>
      <xdr:rowOff>0</xdr:rowOff>
    </xdr:from>
    <xdr:to>
      <xdr:col>3</xdr:col>
      <xdr:colOff>581025</xdr:colOff>
      <xdr:row>19</xdr:row>
      <xdr:rowOff>142875</xdr:rowOff>
    </xdr:to>
    <xdr:pic>
      <xdr:nvPicPr>
        <xdr:cNvPr id="165" name="ID_21427AE04695476D86E80F4D9BA814FA"/>
        <xdr:cNvPicPr>
          <a:picLocks noChangeAspect="1"/>
        </xdr:cNvPicPr>
      </xdr:nvPicPr>
      <xdr:blipFill>
        <a:blip r:embed="rId20"/>
        <a:stretch>
          <a:fillRect/>
        </a:stretch>
      </xdr:blipFill>
      <xdr:spPr>
        <a:xfrm>
          <a:off x="4423410" y="-1366014556"/>
          <a:ext cx="2638425" cy="3400425"/>
        </a:xfrm>
        <a:prstGeom prst="rect">
          <a:avLst/>
        </a:prstGeom>
        <a:noFill/>
        <a:ln>
          <a:noFill/>
        </a:ln>
      </xdr:spPr>
    </xdr:pic>
    <xdr:clientData/>
  </xdr:twoCellAnchor>
  <xdr:twoCellAnchor editAs="oneCell">
    <xdr:from>
      <xdr:col>0</xdr:col>
      <xdr:colOff>0</xdr:colOff>
      <xdr:row>0</xdr:row>
      <xdr:rowOff>0</xdr:rowOff>
    </xdr:from>
    <xdr:to>
      <xdr:col>10</xdr:col>
      <xdr:colOff>0</xdr:colOff>
      <xdr:row>40</xdr:row>
      <xdr:rowOff>114300</xdr:rowOff>
    </xdr:to>
    <xdr:pic>
      <xdr:nvPicPr>
        <xdr:cNvPr id="285" name="ID_95B666FFAE3449AFA339E29AA544F9C8" descr="core_image_url__exec_download_184351896"/>
        <xdr:cNvPicPr/>
      </xdr:nvPicPr>
      <xdr:blipFill>
        <a:blip r:link="rId21"/>
        <a:stretch>
          <a:fillRect/>
        </a:stretch>
      </xdr:blipFill>
      <xdr:spPr>
        <a:xfrm>
          <a:off x="0" y="0"/>
          <a:ext cx="6858000" cy="6972300"/>
        </a:xfrm>
        <a:prstGeom prst="rect">
          <a:avLst/>
        </a:prstGeom>
      </xdr:spPr>
    </xdr:pic>
    <xdr:clientData/>
  </xdr:twoCellAnchor>
  <xdr:twoCellAnchor editAs="oneCell">
    <xdr:from>
      <xdr:col>0</xdr:col>
      <xdr:colOff>0</xdr:colOff>
      <xdr:row>0</xdr:row>
      <xdr:rowOff>0</xdr:rowOff>
    </xdr:from>
    <xdr:to>
      <xdr:col>5</xdr:col>
      <xdr:colOff>476250</xdr:colOff>
      <xdr:row>23</xdr:row>
      <xdr:rowOff>9525</xdr:rowOff>
    </xdr:to>
    <xdr:pic>
      <xdr:nvPicPr>
        <xdr:cNvPr id="2" name="ID_75473907AF9F4913A71673C19029E4A6"/>
        <xdr:cNvPicPr>
          <a:picLocks noChangeAspect="1"/>
        </xdr:cNvPicPr>
      </xdr:nvPicPr>
      <xdr:blipFill>
        <a:blip r:embed="rId22"/>
        <a:stretch>
          <a:fillRect/>
        </a:stretch>
      </xdr:blipFill>
      <xdr:spPr>
        <a:xfrm>
          <a:off x="4733925" y="18094325"/>
          <a:ext cx="3905250" cy="3952875"/>
        </a:xfrm>
        <a:prstGeom prst="rect">
          <a:avLst/>
        </a:prstGeom>
        <a:noFill/>
        <a:ln>
          <a:noFill/>
        </a:ln>
      </xdr:spPr>
    </xdr:pic>
    <xdr:clientData/>
  </xdr:twoCellAnchor>
  <xdr:twoCellAnchor editAs="oneCell">
    <xdr:from>
      <xdr:col>0</xdr:col>
      <xdr:colOff>0</xdr:colOff>
      <xdr:row>0</xdr:row>
      <xdr:rowOff>0</xdr:rowOff>
    </xdr:from>
    <xdr:to>
      <xdr:col>3</xdr:col>
      <xdr:colOff>581025</xdr:colOff>
      <xdr:row>19</xdr:row>
      <xdr:rowOff>142875</xdr:rowOff>
    </xdr:to>
    <xdr:pic>
      <xdr:nvPicPr>
        <xdr:cNvPr id="3" name="ID_CE8BDEC5B531425692465B8395A482C6"/>
        <xdr:cNvPicPr>
          <a:picLocks noChangeAspect="1"/>
        </xdr:cNvPicPr>
      </xdr:nvPicPr>
      <xdr:blipFill>
        <a:blip r:embed="rId23"/>
        <a:stretch>
          <a:fillRect/>
        </a:stretch>
      </xdr:blipFill>
      <xdr:spPr>
        <a:xfrm>
          <a:off x="4743450" y="19681825"/>
          <a:ext cx="2638425" cy="3400425"/>
        </a:xfrm>
        <a:prstGeom prst="rect">
          <a:avLst/>
        </a:prstGeom>
        <a:noFill/>
        <a:ln>
          <a:noFill/>
        </a:ln>
      </xdr:spPr>
    </xdr:pic>
    <xdr:clientData/>
  </xdr:twoCellAnchor>
  <xdr:twoCellAnchor editAs="oneCell">
    <xdr:from>
      <xdr:col>0</xdr:col>
      <xdr:colOff>0</xdr:colOff>
      <xdr:row>0</xdr:row>
      <xdr:rowOff>0</xdr:rowOff>
    </xdr:from>
    <xdr:to>
      <xdr:col>11</xdr:col>
      <xdr:colOff>26035</xdr:colOff>
      <xdr:row>58</xdr:row>
      <xdr:rowOff>114300</xdr:rowOff>
    </xdr:to>
    <xdr:pic>
      <xdr:nvPicPr>
        <xdr:cNvPr id="9549" name="ID_7356946B3CE94C59A46BC715F7EBDA5A" descr="core_image_url__exec_download_1115763075"/>
        <xdr:cNvPicPr/>
      </xdr:nvPicPr>
      <xdr:blipFill>
        <a:blip r:link="rId24"/>
        <a:stretch>
          <a:fillRect/>
        </a:stretch>
      </xdr:blipFill>
      <xdr:spPr>
        <a:xfrm>
          <a:off x="0" y="0"/>
          <a:ext cx="7569835" cy="10058400"/>
        </a:xfrm>
        <a:prstGeom prst="rect">
          <a:avLst/>
        </a:prstGeom>
      </xdr:spPr>
    </xdr:pic>
    <xdr:clientData/>
  </xdr:twoCellAnchor>
  <xdr:twoCellAnchor editAs="oneCell">
    <xdr:from>
      <xdr:col>0</xdr:col>
      <xdr:colOff>0</xdr:colOff>
      <xdr:row>0</xdr:row>
      <xdr:rowOff>0</xdr:rowOff>
    </xdr:from>
    <xdr:to>
      <xdr:col>8</xdr:col>
      <xdr:colOff>590550</xdr:colOff>
      <xdr:row>22</xdr:row>
      <xdr:rowOff>0</xdr:rowOff>
    </xdr:to>
    <xdr:pic>
      <xdr:nvPicPr>
        <xdr:cNvPr id="9550" name="ID_FD0C7A6F1AE848D5A76DC77FFDDCB939" descr="core_image_url__exec_download_374345945"/>
        <xdr:cNvPicPr/>
      </xdr:nvPicPr>
      <xdr:blipFill>
        <a:blip r:link="rId25"/>
        <a:stretch>
          <a:fillRect/>
        </a:stretch>
      </xdr:blipFill>
      <xdr:spPr>
        <a:xfrm>
          <a:off x="0" y="0"/>
          <a:ext cx="6076950" cy="3771900"/>
        </a:xfrm>
        <a:prstGeom prst="rect">
          <a:avLst/>
        </a:prstGeom>
      </xdr:spPr>
    </xdr:pic>
    <xdr:clientData/>
  </xdr:twoCellAnchor>
  <xdr:twoCellAnchor editAs="oneCell">
    <xdr:from>
      <xdr:col>0</xdr:col>
      <xdr:colOff>0</xdr:colOff>
      <xdr:row>0</xdr:row>
      <xdr:rowOff>0</xdr:rowOff>
    </xdr:from>
    <xdr:to>
      <xdr:col>11</xdr:col>
      <xdr:colOff>26035</xdr:colOff>
      <xdr:row>58</xdr:row>
      <xdr:rowOff>114300</xdr:rowOff>
    </xdr:to>
    <xdr:pic>
      <xdr:nvPicPr>
        <xdr:cNvPr id="9551" name="ID_572AA8229B8947EEA4DC327D48824A52" descr="core_image_url__exec_download_3455576456"/>
        <xdr:cNvPicPr/>
      </xdr:nvPicPr>
      <xdr:blipFill>
        <a:blip r:link="rId26"/>
        <a:stretch>
          <a:fillRect/>
        </a:stretch>
      </xdr:blipFill>
      <xdr:spPr>
        <a:xfrm>
          <a:off x="0" y="0"/>
          <a:ext cx="7569835" cy="10058400"/>
        </a:xfrm>
        <a:prstGeom prst="rect">
          <a:avLst/>
        </a:prstGeom>
      </xdr:spPr>
    </xdr:pic>
    <xdr:clientData/>
  </xdr:twoCellAnchor>
  <xdr:twoCellAnchor editAs="oneCell">
    <xdr:from>
      <xdr:col>0</xdr:col>
      <xdr:colOff>0</xdr:colOff>
      <xdr:row>0</xdr:row>
      <xdr:rowOff>0</xdr:rowOff>
    </xdr:from>
    <xdr:to>
      <xdr:col>11</xdr:col>
      <xdr:colOff>76200</xdr:colOff>
      <xdr:row>44</xdr:row>
      <xdr:rowOff>76200</xdr:rowOff>
    </xdr:to>
    <xdr:pic>
      <xdr:nvPicPr>
        <xdr:cNvPr id="9559" name="ID_14BF4798DFA84B5785D7BC65DF159EFB" descr="core_image_url__exec_download_3555298123"/>
        <xdr:cNvPicPr/>
      </xdr:nvPicPr>
      <xdr:blipFill>
        <a:blip r:link="rId27"/>
        <a:stretch>
          <a:fillRect/>
        </a:stretch>
      </xdr:blipFill>
      <xdr:spPr>
        <a:xfrm>
          <a:off x="0" y="0"/>
          <a:ext cx="7620000" cy="7620000"/>
        </a:xfrm>
        <a:prstGeom prst="rect">
          <a:avLst/>
        </a:prstGeom>
      </xdr:spPr>
    </xdr:pic>
    <xdr:clientData/>
  </xdr:twoCellAnchor>
  <xdr:twoCellAnchor editAs="oneCell">
    <xdr:from>
      <xdr:col>0</xdr:col>
      <xdr:colOff>0</xdr:colOff>
      <xdr:row>0</xdr:row>
      <xdr:rowOff>0</xdr:rowOff>
    </xdr:from>
    <xdr:to>
      <xdr:col>5</xdr:col>
      <xdr:colOff>205740</xdr:colOff>
      <xdr:row>18</xdr:row>
      <xdr:rowOff>60960</xdr:rowOff>
    </xdr:to>
    <xdr:pic>
      <xdr:nvPicPr>
        <xdr:cNvPr id="3343" name="ID_60F1B1166DC54D779765B4C1751E1719" descr="core_image_url__exec_download_1505802914"/>
        <xdr:cNvPicPr/>
      </xdr:nvPicPr>
      <xdr:blipFill>
        <a:blip r:link="rId28"/>
        <a:stretch>
          <a:fillRect/>
        </a:stretch>
      </xdr:blipFill>
      <xdr:spPr>
        <a:xfrm>
          <a:off x="0" y="0"/>
          <a:ext cx="3634740" cy="3147060"/>
        </a:xfrm>
        <a:prstGeom prst="rect">
          <a:avLst/>
        </a:prstGeom>
      </xdr:spPr>
    </xdr:pic>
    <xdr:clientData/>
  </xdr:twoCellAnchor>
  <xdr:twoCellAnchor editAs="oneCell">
    <xdr:from>
      <xdr:col>0</xdr:col>
      <xdr:colOff>0</xdr:colOff>
      <xdr:row>0</xdr:row>
      <xdr:rowOff>0</xdr:rowOff>
    </xdr:from>
    <xdr:to>
      <xdr:col>5</xdr:col>
      <xdr:colOff>60960</xdr:colOff>
      <xdr:row>19</xdr:row>
      <xdr:rowOff>156210</xdr:rowOff>
    </xdr:to>
    <xdr:pic>
      <xdr:nvPicPr>
        <xdr:cNvPr id="3342" name="ID_0AF784A6CAF3413B822300EF04A04A47" descr="core_image_url__exec_download_1610829000"/>
        <xdr:cNvPicPr/>
      </xdr:nvPicPr>
      <xdr:blipFill>
        <a:blip r:link="rId29"/>
        <a:stretch>
          <a:fillRect/>
        </a:stretch>
      </xdr:blipFill>
      <xdr:spPr>
        <a:xfrm>
          <a:off x="0" y="0"/>
          <a:ext cx="3489960" cy="3413760"/>
        </a:xfrm>
        <a:prstGeom prst="rect">
          <a:avLst/>
        </a:prstGeom>
      </xdr:spPr>
    </xdr:pic>
    <xdr:clientData/>
  </xdr:twoCellAnchor>
  <xdr:twoCellAnchor editAs="oneCell">
    <xdr:from>
      <xdr:col>0</xdr:col>
      <xdr:colOff>0</xdr:colOff>
      <xdr:row>0</xdr:row>
      <xdr:rowOff>0</xdr:rowOff>
    </xdr:from>
    <xdr:to>
      <xdr:col>14</xdr:col>
      <xdr:colOff>457200</xdr:colOff>
      <xdr:row>44</xdr:row>
      <xdr:rowOff>0</xdr:rowOff>
    </xdr:to>
    <xdr:pic>
      <xdr:nvPicPr>
        <xdr:cNvPr id="3341" name="ID_2EC640006AC249F28395191C91F577C5" descr="core_image_url__exec_download_1865030475"/>
        <xdr:cNvPicPr/>
      </xdr:nvPicPr>
      <xdr:blipFill>
        <a:blip r:link="rId30"/>
        <a:stretch>
          <a:fillRect/>
        </a:stretch>
      </xdr:blipFill>
      <xdr:spPr>
        <a:xfrm>
          <a:off x="0" y="0"/>
          <a:ext cx="10058400" cy="7543800"/>
        </a:xfrm>
        <a:prstGeom prst="rect">
          <a:avLst/>
        </a:prstGeom>
      </xdr:spPr>
    </xdr:pic>
    <xdr:clientData/>
  </xdr:twoCellAnchor>
  <xdr:twoCellAnchor editAs="oneCell">
    <xdr:from>
      <xdr:col>0</xdr:col>
      <xdr:colOff>0</xdr:colOff>
      <xdr:row>0</xdr:row>
      <xdr:rowOff>0</xdr:rowOff>
    </xdr:from>
    <xdr:to>
      <xdr:col>9</xdr:col>
      <xdr:colOff>552450</xdr:colOff>
      <xdr:row>17</xdr:row>
      <xdr:rowOff>47625</xdr:rowOff>
    </xdr:to>
    <xdr:pic>
      <xdr:nvPicPr>
        <xdr:cNvPr id="3307" name="ID_AAD7A73DDA1D423F825C1855D92CC428" descr="core_image_url__exec_download_486733943"/>
        <xdr:cNvPicPr/>
      </xdr:nvPicPr>
      <xdr:blipFill>
        <a:blip r:link="rId31"/>
        <a:stretch>
          <a:fillRect/>
        </a:stretch>
      </xdr:blipFill>
      <xdr:spPr>
        <a:xfrm>
          <a:off x="0" y="0"/>
          <a:ext cx="6724650" cy="2962275"/>
        </a:xfrm>
        <a:prstGeom prst="rect">
          <a:avLst/>
        </a:prstGeom>
      </xdr:spPr>
    </xdr:pic>
    <xdr:clientData/>
  </xdr:twoCellAnchor>
  <xdr:twoCellAnchor editAs="oneCell">
    <xdr:from>
      <xdr:col>0</xdr:col>
      <xdr:colOff>0</xdr:colOff>
      <xdr:row>0</xdr:row>
      <xdr:rowOff>0</xdr:rowOff>
    </xdr:from>
    <xdr:to>
      <xdr:col>14</xdr:col>
      <xdr:colOff>457200</xdr:colOff>
      <xdr:row>33</xdr:row>
      <xdr:rowOff>0</xdr:rowOff>
    </xdr:to>
    <xdr:pic>
      <xdr:nvPicPr>
        <xdr:cNvPr id="3339" name="ID_39945D1A5A6545A3ABD202123D81E155" descr="core_image_url__exec_download_414847185"/>
        <xdr:cNvPicPr/>
      </xdr:nvPicPr>
      <xdr:blipFill>
        <a:blip r:link="rId32"/>
        <a:stretch>
          <a:fillRect/>
        </a:stretch>
      </xdr:blipFill>
      <xdr:spPr>
        <a:xfrm>
          <a:off x="0" y="0"/>
          <a:ext cx="10058400" cy="5657850"/>
        </a:xfrm>
        <a:prstGeom prst="rect">
          <a:avLst/>
        </a:prstGeom>
      </xdr:spPr>
    </xdr:pic>
    <xdr:clientData/>
  </xdr:twoCellAnchor>
  <xdr:twoCellAnchor editAs="oneCell">
    <xdr:from>
      <xdr:col>0</xdr:col>
      <xdr:colOff>0</xdr:colOff>
      <xdr:row>0</xdr:row>
      <xdr:rowOff>0</xdr:rowOff>
    </xdr:from>
    <xdr:to>
      <xdr:col>9</xdr:col>
      <xdr:colOff>561975</xdr:colOff>
      <xdr:row>15</xdr:row>
      <xdr:rowOff>104775</xdr:rowOff>
    </xdr:to>
    <xdr:pic>
      <xdr:nvPicPr>
        <xdr:cNvPr id="3305" name="ID_C4A42FC3D53B4BA3AB401C08AE428EC3" descr="core_image_url__exec_download_2810339069"/>
        <xdr:cNvPicPr/>
      </xdr:nvPicPr>
      <xdr:blipFill>
        <a:blip r:link="rId33"/>
        <a:stretch>
          <a:fillRect/>
        </a:stretch>
      </xdr:blipFill>
      <xdr:spPr>
        <a:xfrm>
          <a:off x="0" y="0"/>
          <a:ext cx="6734175" cy="2676525"/>
        </a:xfrm>
        <a:prstGeom prst="rect">
          <a:avLst/>
        </a:prstGeom>
      </xdr:spPr>
    </xdr:pic>
    <xdr:clientData/>
  </xdr:twoCellAnchor>
  <xdr:twoCellAnchor editAs="oneCell">
    <xdr:from>
      <xdr:col>0</xdr:col>
      <xdr:colOff>0</xdr:colOff>
      <xdr:row>0</xdr:row>
      <xdr:rowOff>0</xdr:rowOff>
    </xdr:from>
    <xdr:to>
      <xdr:col>11</xdr:col>
      <xdr:colOff>0</xdr:colOff>
      <xdr:row>58</xdr:row>
      <xdr:rowOff>114300</xdr:rowOff>
    </xdr:to>
    <xdr:pic>
      <xdr:nvPicPr>
        <xdr:cNvPr id="186" name="ID_4DA28032E1BD46689A030CF0A57D145E" descr="core_image_url__exec_download_811214243"/>
        <xdr:cNvPicPr/>
      </xdr:nvPicPr>
      <xdr:blipFill>
        <a:blip r:link="rId34"/>
        <a:stretch>
          <a:fillRect/>
        </a:stretch>
      </xdr:blipFill>
      <xdr:spPr>
        <a:xfrm>
          <a:off x="0" y="0"/>
          <a:ext cx="7543800" cy="10058400"/>
        </a:xfrm>
        <a:prstGeom prst="rect">
          <a:avLst/>
        </a:prstGeom>
      </xdr:spPr>
    </xdr:pic>
    <xdr:clientData/>
  </xdr:twoCellAnchor>
  <xdr:twoCellAnchor editAs="oneCell">
    <xdr:from>
      <xdr:col>0</xdr:col>
      <xdr:colOff>0</xdr:colOff>
      <xdr:row>0</xdr:row>
      <xdr:rowOff>0</xdr:rowOff>
    </xdr:from>
    <xdr:to>
      <xdr:col>14</xdr:col>
      <xdr:colOff>457200</xdr:colOff>
      <xdr:row>43</xdr:row>
      <xdr:rowOff>170180</xdr:rowOff>
    </xdr:to>
    <xdr:pic>
      <xdr:nvPicPr>
        <xdr:cNvPr id="159" name="ID_7175BCD418C2414AACA0056E28950A44" descr="core_image_url__exec_download_2485265098"/>
        <xdr:cNvPicPr/>
      </xdr:nvPicPr>
      <xdr:blipFill>
        <a:blip r:link="rId35"/>
        <a:stretch>
          <a:fillRect/>
        </a:stretch>
      </xdr:blipFill>
      <xdr:spPr>
        <a:xfrm>
          <a:off x="0" y="0"/>
          <a:ext cx="10058400" cy="7542530"/>
        </a:xfrm>
        <a:prstGeom prst="rect">
          <a:avLst/>
        </a:prstGeom>
      </xdr:spPr>
    </xdr:pic>
    <xdr:clientData/>
  </xdr:twoCellAnchor>
  <xdr:twoCellAnchor editAs="oneCell">
    <xdr:from>
      <xdr:col>0</xdr:col>
      <xdr:colOff>0</xdr:colOff>
      <xdr:row>0</xdr:row>
      <xdr:rowOff>0</xdr:rowOff>
    </xdr:from>
    <xdr:to>
      <xdr:col>8</xdr:col>
      <xdr:colOff>228600</xdr:colOff>
      <xdr:row>33</xdr:row>
      <xdr:rowOff>57150</xdr:rowOff>
    </xdr:to>
    <xdr:pic>
      <xdr:nvPicPr>
        <xdr:cNvPr id="154" name="ID_BE6697E8A4CB47F28626B1E77AF26C3A" descr="core_image_url__exec_download_3306325472"/>
        <xdr:cNvPicPr/>
      </xdr:nvPicPr>
      <xdr:blipFill>
        <a:blip r:link="rId36"/>
        <a:stretch>
          <a:fillRect/>
        </a:stretch>
      </xdr:blipFill>
      <xdr:spPr>
        <a:xfrm>
          <a:off x="0" y="0"/>
          <a:ext cx="5715000" cy="5715000"/>
        </a:xfrm>
        <a:prstGeom prst="rect">
          <a:avLst/>
        </a:prstGeom>
      </xdr:spPr>
    </xdr:pic>
    <xdr:clientData/>
  </xdr:twoCellAnchor>
  <xdr:twoCellAnchor editAs="oneCell">
    <xdr:from>
      <xdr:col>0</xdr:col>
      <xdr:colOff>0</xdr:colOff>
      <xdr:row>0</xdr:row>
      <xdr:rowOff>0</xdr:rowOff>
    </xdr:from>
    <xdr:to>
      <xdr:col>4</xdr:col>
      <xdr:colOff>171450</xdr:colOff>
      <xdr:row>20</xdr:row>
      <xdr:rowOff>142875</xdr:rowOff>
    </xdr:to>
    <xdr:pic>
      <xdr:nvPicPr>
        <xdr:cNvPr id="15" name="ID_D902EE39A49543B9AA53DFA515BE5DB7" descr="core_image_url__exec_download_1980713375"/>
        <xdr:cNvPicPr/>
      </xdr:nvPicPr>
      <xdr:blipFill>
        <a:blip r:link="rId37"/>
        <a:stretch>
          <a:fillRect/>
        </a:stretch>
      </xdr:blipFill>
      <xdr:spPr>
        <a:xfrm>
          <a:off x="0" y="0"/>
          <a:ext cx="2914650" cy="3571875"/>
        </a:xfrm>
        <a:prstGeom prst="rect">
          <a:avLst/>
        </a:prstGeom>
      </xdr:spPr>
    </xdr:pic>
    <xdr:clientData/>
  </xdr:twoCellAnchor>
  <xdr:twoCellAnchor editAs="oneCell">
    <xdr:from>
      <xdr:col>0</xdr:col>
      <xdr:colOff>0</xdr:colOff>
      <xdr:row>0</xdr:row>
      <xdr:rowOff>0</xdr:rowOff>
    </xdr:from>
    <xdr:to>
      <xdr:col>8</xdr:col>
      <xdr:colOff>495300</xdr:colOff>
      <xdr:row>34</xdr:row>
      <xdr:rowOff>123825</xdr:rowOff>
    </xdr:to>
    <xdr:pic>
      <xdr:nvPicPr>
        <xdr:cNvPr id="3105" name="ID_C5BBE678C8854EC89E00FAE9B8048231" descr="core_image_url__exec_download_2408290423"/>
        <xdr:cNvPicPr/>
      </xdr:nvPicPr>
      <xdr:blipFill>
        <a:blip r:link="rId38"/>
        <a:stretch>
          <a:fillRect/>
        </a:stretch>
      </xdr:blipFill>
      <xdr:spPr>
        <a:xfrm>
          <a:off x="0" y="0"/>
          <a:ext cx="5981700" cy="5953125"/>
        </a:xfrm>
        <a:prstGeom prst="rect">
          <a:avLst/>
        </a:prstGeom>
      </xdr:spPr>
    </xdr:pic>
    <xdr:clientData/>
  </xdr:twoCellAnchor>
  <xdr:twoCellAnchor editAs="oneCell">
    <xdr:from>
      <xdr:col>0</xdr:col>
      <xdr:colOff>0</xdr:colOff>
      <xdr:row>0</xdr:row>
      <xdr:rowOff>0</xdr:rowOff>
    </xdr:from>
    <xdr:to>
      <xdr:col>8</xdr:col>
      <xdr:colOff>314325</xdr:colOff>
      <xdr:row>33</xdr:row>
      <xdr:rowOff>66675</xdr:rowOff>
    </xdr:to>
    <xdr:pic>
      <xdr:nvPicPr>
        <xdr:cNvPr id="9998" name="ID_C4077B97B263427BBA186A35B843B500" descr="core_image_url__exec_download_2888489338"/>
        <xdr:cNvPicPr/>
      </xdr:nvPicPr>
      <xdr:blipFill>
        <a:blip r:link="rId39"/>
        <a:stretch>
          <a:fillRect/>
        </a:stretch>
      </xdr:blipFill>
      <xdr:spPr>
        <a:xfrm>
          <a:off x="0" y="0"/>
          <a:ext cx="5800725" cy="5724525"/>
        </a:xfrm>
        <a:prstGeom prst="rect">
          <a:avLst/>
        </a:prstGeom>
      </xdr:spPr>
    </xdr:pic>
    <xdr:clientData/>
  </xdr:twoCellAnchor>
  <xdr:twoCellAnchor editAs="oneCell">
    <xdr:from>
      <xdr:col>0</xdr:col>
      <xdr:colOff>0</xdr:colOff>
      <xdr:row>0</xdr:row>
      <xdr:rowOff>0</xdr:rowOff>
    </xdr:from>
    <xdr:to>
      <xdr:col>5</xdr:col>
      <xdr:colOff>0</xdr:colOff>
      <xdr:row>15</xdr:row>
      <xdr:rowOff>0</xdr:rowOff>
    </xdr:to>
    <xdr:pic>
      <xdr:nvPicPr>
        <xdr:cNvPr id="51" name="ID_D18AA79784214D3E99E917705F48C21B" descr="core_image_url__exec_download_3721414166"/>
        <xdr:cNvPicPr/>
      </xdr:nvPicPr>
      <xdr:blipFill>
        <a:blip r:link="rId40"/>
        <a:stretch>
          <a:fillRect/>
        </a:stretch>
      </xdr:blipFill>
      <xdr:spPr>
        <a:xfrm>
          <a:off x="0" y="0"/>
          <a:ext cx="3429000" cy="2571750"/>
        </a:xfrm>
        <a:prstGeom prst="rect">
          <a:avLst/>
        </a:prstGeom>
      </xdr:spPr>
    </xdr:pic>
    <xdr:clientData/>
  </xdr:twoCellAnchor>
  <xdr:twoCellAnchor editAs="oneCell">
    <xdr:from>
      <xdr:col>0</xdr:col>
      <xdr:colOff>0</xdr:colOff>
      <xdr:row>0</xdr:row>
      <xdr:rowOff>0</xdr:rowOff>
    </xdr:from>
    <xdr:to>
      <xdr:col>8</xdr:col>
      <xdr:colOff>171450</xdr:colOff>
      <xdr:row>58</xdr:row>
      <xdr:rowOff>114300</xdr:rowOff>
    </xdr:to>
    <xdr:pic>
      <xdr:nvPicPr>
        <xdr:cNvPr id="209" name="ID_F380C3ECF3B84B579FE1A6465074CDD4" descr="core_image_url__exec_download_251583503"/>
        <xdr:cNvPicPr/>
      </xdr:nvPicPr>
      <xdr:blipFill>
        <a:blip r:link="rId41"/>
        <a:stretch>
          <a:fillRect/>
        </a:stretch>
      </xdr:blipFill>
      <xdr:spPr>
        <a:xfrm>
          <a:off x="0" y="0"/>
          <a:ext cx="5657850" cy="10058400"/>
        </a:xfrm>
        <a:prstGeom prst="rect">
          <a:avLst/>
        </a:prstGeom>
      </xdr:spPr>
    </xdr:pic>
    <xdr:clientData/>
  </xdr:twoCellAnchor>
  <xdr:twoCellAnchor editAs="oneCell">
    <xdr:from>
      <xdr:col>0</xdr:col>
      <xdr:colOff>0</xdr:colOff>
      <xdr:row>0</xdr:row>
      <xdr:rowOff>0</xdr:rowOff>
    </xdr:from>
    <xdr:to>
      <xdr:col>5</xdr:col>
      <xdr:colOff>0</xdr:colOff>
      <xdr:row>15</xdr:row>
      <xdr:rowOff>0</xdr:rowOff>
    </xdr:to>
    <xdr:pic>
      <xdr:nvPicPr>
        <xdr:cNvPr id="46" name="ID_C475F6D6817C48CE9CABA2AB02ED92B7" descr="core_image_url__exec_download_3282075730"/>
        <xdr:cNvPicPr/>
      </xdr:nvPicPr>
      <xdr:blipFill>
        <a:blip r:link="rId42"/>
        <a:stretch>
          <a:fillRect/>
        </a:stretch>
      </xdr:blipFill>
      <xdr:spPr>
        <a:xfrm>
          <a:off x="0" y="0"/>
          <a:ext cx="3429000" cy="2571750"/>
        </a:xfrm>
        <a:prstGeom prst="rect">
          <a:avLst/>
        </a:prstGeom>
      </xdr:spPr>
    </xdr:pic>
    <xdr:clientData/>
  </xdr:twoCellAnchor>
  <xdr:twoCellAnchor editAs="oneCell">
    <xdr:from>
      <xdr:col>0</xdr:col>
      <xdr:colOff>0</xdr:colOff>
      <xdr:row>0</xdr:row>
      <xdr:rowOff>0</xdr:rowOff>
    </xdr:from>
    <xdr:to>
      <xdr:col>4</xdr:col>
      <xdr:colOff>19050</xdr:colOff>
      <xdr:row>25</xdr:row>
      <xdr:rowOff>0</xdr:rowOff>
    </xdr:to>
    <xdr:pic>
      <xdr:nvPicPr>
        <xdr:cNvPr id="24" name="ID_9337B89E9C2F4635B8340D139D8CE280" descr="core_image_url__exec_download_863524993"/>
        <xdr:cNvPicPr/>
      </xdr:nvPicPr>
      <xdr:blipFill>
        <a:blip r:link="rId43"/>
        <a:stretch>
          <a:fillRect/>
        </a:stretch>
      </xdr:blipFill>
      <xdr:spPr>
        <a:xfrm>
          <a:off x="0" y="0"/>
          <a:ext cx="2762250" cy="4286250"/>
        </a:xfrm>
        <a:prstGeom prst="rect">
          <a:avLst/>
        </a:prstGeom>
      </xdr:spPr>
    </xdr:pic>
    <xdr:clientData/>
  </xdr:twoCellAnchor>
  <xdr:twoCellAnchor editAs="oneCell">
    <xdr:from>
      <xdr:col>0</xdr:col>
      <xdr:colOff>0</xdr:colOff>
      <xdr:row>0</xdr:row>
      <xdr:rowOff>0</xdr:rowOff>
    </xdr:from>
    <xdr:to>
      <xdr:col>7</xdr:col>
      <xdr:colOff>276225</xdr:colOff>
      <xdr:row>38</xdr:row>
      <xdr:rowOff>0</xdr:rowOff>
    </xdr:to>
    <xdr:pic>
      <xdr:nvPicPr>
        <xdr:cNvPr id="26" name="ID_A8ABD764D79F4B21A2F144C31495781B" descr="core_image_url__exec_download_3618884368"/>
        <xdr:cNvPicPr/>
      </xdr:nvPicPr>
      <xdr:blipFill>
        <a:blip r:link="rId44"/>
        <a:stretch>
          <a:fillRect/>
        </a:stretch>
      </xdr:blipFill>
      <xdr:spPr>
        <a:xfrm>
          <a:off x="0" y="0"/>
          <a:ext cx="5076825" cy="6515100"/>
        </a:xfrm>
        <a:prstGeom prst="rect">
          <a:avLst/>
        </a:prstGeom>
      </xdr:spPr>
    </xdr:pic>
    <xdr:clientData/>
  </xdr:twoCellAnchor>
  <xdr:twoCellAnchor editAs="oneCell">
    <xdr:from>
      <xdr:col>0</xdr:col>
      <xdr:colOff>0</xdr:colOff>
      <xdr:row>0</xdr:row>
      <xdr:rowOff>0</xdr:rowOff>
    </xdr:from>
    <xdr:to>
      <xdr:col>7</xdr:col>
      <xdr:colOff>628650</xdr:colOff>
      <xdr:row>33</xdr:row>
      <xdr:rowOff>47625</xdr:rowOff>
    </xdr:to>
    <xdr:pic>
      <xdr:nvPicPr>
        <xdr:cNvPr id="18" name="ID_420C09C623E64483A5D121CFC5CD72A7" descr="core_image_url__exec_download_5656633"/>
        <xdr:cNvPicPr/>
      </xdr:nvPicPr>
      <xdr:blipFill>
        <a:blip r:link="rId45"/>
        <a:stretch>
          <a:fillRect/>
        </a:stretch>
      </xdr:blipFill>
      <xdr:spPr>
        <a:xfrm>
          <a:off x="0" y="0"/>
          <a:ext cx="5429250" cy="5705475"/>
        </a:xfrm>
        <a:prstGeom prst="rect">
          <a:avLst/>
        </a:prstGeom>
      </xdr:spPr>
    </xdr:pic>
    <xdr:clientData/>
  </xdr:twoCellAnchor>
  <xdr:twoCellAnchor editAs="oneCell">
    <xdr:from>
      <xdr:col>0</xdr:col>
      <xdr:colOff>0</xdr:colOff>
      <xdr:row>0</xdr:row>
      <xdr:rowOff>0</xdr:rowOff>
    </xdr:from>
    <xdr:to>
      <xdr:col>5</xdr:col>
      <xdr:colOff>342900</xdr:colOff>
      <xdr:row>28</xdr:row>
      <xdr:rowOff>114300</xdr:rowOff>
    </xdr:to>
    <xdr:pic>
      <xdr:nvPicPr>
        <xdr:cNvPr id="22" name="ID_6975375882594AF3AE9ED6E8409E1269" descr="core_image_url__exec_download_3328699276"/>
        <xdr:cNvPicPr/>
      </xdr:nvPicPr>
      <xdr:blipFill>
        <a:blip r:link="rId46"/>
        <a:stretch>
          <a:fillRect/>
        </a:stretch>
      </xdr:blipFill>
      <xdr:spPr>
        <a:xfrm>
          <a:off x="0" y="0"/>
          <a:ext cx="3771900" cy="4914900"/>
        </a:xfrm>
        <a:prstGeom prst="rect">
          <a:avLst/>
        </a:prstGeom>
      </xdr:spPr>
    </xdr:pic>
    <xdr:clientData/>
  </xdr:twoCellAnchor>
  <xdr:twoCellAnchor editAs="oneCell">
    <xdr:from>
      <xdr:col>0</xdr:col>
      <xdr:colOff>0</xdr:colOff>
      <xdr:row>0</xdr:row>
      <xdr:rowOff>0</xdr:rowOff>
    </xdr:from>
    <xdr:to>
      <xdr:col>10</xdr:col>
      <xdr:colOff>682625</xdr:colOff>
      <xdr:row>58</xdr:row>
      <xdr:rowOff>114300</xdr:rowOff>
    </xdr:to>
    <xdr:pic>
      <xdr:nvPicPr>
        <xdr:cNvPr id="5" name="ID_5F33ADF5F8EC45C983F85F84A55EBF7A" descr="core_image_url__exec_download_1699263398"/>
        <xdr:cNvPicPr/>
      </xdr:nvPicPr>
      <xdr:blipFill>
        <a:blip r:link="rId47"/>
        <a:stretch>
          <a:fillRect/>
        </a:stretch>
      </xdr:blipFill>
      <xdr:spPr>
        <a:xfrm>
          <a:off x="0" y="0"/>
          <a:ext cx="7540625" cy="10058400"/>
        </a:xfrm>
        <a:prstGeom prst="rect">
          <a:avLst/>
        </a:prstGeom>
      </xdr:spPr>
    </xdr:pic>
    <xdr:clientData/>
  </xdr:twoCellAnchor>
  <xdr:twoCellAnchor editAs="oneCell">
    <xdr:from>
      <xdr:col>0</xdr:col>
      <xdr:colOff>0</xdr:colOff>
      <xdr:row>0</xdr:row>
      <xdr:rowOff>0</xdr:rowOff>
    </xdr:from>
    <xdr:to>
      <xdr:col>8</xdr:col>
      <xdr:colOff>428625</xdr:colOff>
      <xdr:row>25</xdr:row>
      <xdr:rowOff>95250</xdr:rowOff>
    </xdr:to>
    <xdr:pic>
      <xdr:nvPicPr>
        <xdr:cNvPr id="6" name="ID_D5975EF83C634A479E3C892C2E934141" descr="core_image_url__exec_download_3423002502"/>
        <xdr:cNvPicPr/>
      </xdr:nvPicPr>
      <xdr:blipFill>
        <a:blip r:link="rId48"/>
        <a:stretch>
          <a:fillRect/>
        </a:stretch>
      </xdr:blipFill>
      <xdr:spPr>
        <a:xfrm>
          <a:off x="0" y="0"/>
          <a:ext cx="5915025" cy="4381500"/>
        </a:xfrm>
        <a:prstGeom prst="rect">
          <a:avLst/>
        </a:prstGeom>
      </xdr:spPr>
    </xdr:pic>
    <xdr:clientData/>
  </xdr:twoCellAnchor>
  <xdr:twoCellAnchor editAs="oneCell">
    <xdr:from>
      <xdr:col>0</xdr:col>
      <xdr:colOff>0</xdr:colOff>
      <xdr:row>0</xdr:row>
      <xdr:rowOff>0</xdr:rowOff>
    </xdr:from>
    <xdr:to>
      <xdr:col>14</xdr:col>
      <xdr:colOff>457200</xdr:colOff>
      <xdr:row>44</xdr:row>
      <xdr:rowOff>0</xdr:rowOff>
    </xdr:to>
    <xdr:pic>
      <xdr:nvPicPr>
        <xdr:cNvPr id="64" name="ID_5C99D4E210ED4C77BDA4CE5DA9BA36FF" descr="core_image_url__exec_download_2879170228"/>
        <xdr:cNvPicPr/>
      </xdr:nvPicPr>
      <xdr:blipFill>
        <a:blip r:link="rId49"/>
        <a:stretch>
          <a:fillRect/>
        </a:stretch>
      </xdr:blipFill>
      <xdr:spPr>
        <a:xfrm>
          <a:off x="0" y="0"/>
          <a:ext cx="10058400" cy="7543800"/>
        </a:xfrm>
        <a:prstGeom prst="rect">
          <a:avLst/>
        </a:prstGeom>
      </xdr:spPr>
    </xdr:pic>
    <xdr:clientData/>
  </xdr:twoCellAnchor>
  <xdr:twoCellAnchor editAs="oneCell">
    <xdr:from>
      <xdr:col>0</xdr:col>
      <xdr:colOff>0</xdr:colOff>
      <xdr:row>0</xdr:row>
      <xdr:rowOff>0</xdr:rowOff>
    </xdr:from>
    <xdr:to>
      <xdr:col>6</xdr:col>
      <xdr:colOff>561975</xdr:colOff>
      <xdr:row>30</xdr:row>
      <xdr:rowOff>57150</xdr:rowOff>
    </xdr:to>
    <xdr:pic>
      <xdr:nvPicPr>
        <xdr:cNvPr id="7" name="ID_E5259E0B57EA459997EA04E98B4C6C0F" descr="core_image_url__exec_download_3996759470"/>
        <xdr:cNvPicPr/>
      </xdr:nvPicPr>
      <xdr:blipFill>
        <a:blip r:link="rId50"/>
        <a:stretch>
          <a:fillRect/>
        </a:stretch>
      </xdr:blipFill>
      <xdr:spPr>
        <a:xfrm>
          <a:off x="0" y="0"/>
          <a:ext cx="4676775" cy="5200650"/>
        </a:xfrm>
        <a:prstGeom prst="rect">
          <a:avLst/>
        </a:prstGeom>
      </xdr:spPr>
    </xdr:pic>
    <xdr:clientData/>
  </xdr:twoCellAnchor>
  <xdr:twoCellAnchor editAs="oneCell">
    <xdr:from>
      <xdr:col>0</xdr:col>
      <xdr:colOff>0</xdr:colOff>
      <xdr:row>0</xdr:row>
      <xdr:rowOff>0</xdr:rowOff>
    </xdr:from>
    <xdr:to>
      <xdr:col>10</xdr:col>
      <xdr:colOff>457200</xdr:colOff>
      <xdr:row>56</xdr:row>
      <xdr:rowOff>152400</xdr:rowOff>
    </xdr:to>
    <xdr:pic>
      <xdr:nvPicPr>
        <xdr:cNvPr id="8" name="ID_B7BC898FA2054130A42677CEB5B42E91" descr="core_image_url__exec_download_4225154897"/>
        <xdr:cNvPicPr/>
      </xdr:nvPicPr>
      <xdr:blipFill>
        <a:blip r:link="rId51"/>
        <a:stretch>
          <a:fillRect/>
        </a:stretch>
      </xdr:blipFill>
      <xdr:spPr>
        <a:xfrm>
          <a:off x="0" y="0"/>
          <a:ext cx="7315200" cy="9753600"/>
        </a:xfrm>
        <a:prstGeom prst="rect">
          <a:avLst/>
        </a:prstGeom>
      </xdr:spPr>
    </xdr:pic>
    <xdr:clientData/>
  </xdr:twoCellAnchor>
  <xdr:twoCellAnchor editAs="oneCell">
    <xdr:from>
      <xdr:col>0</xdr:col>
      <xdr:colOff>0</xdr:colOff>
      <xdr:row>0</xdr:row>
      <xdr:rowOff>0</xdr:rowOff>
    </xdr:from>
    <xdr:to>
      <xdr:col>6</xdr:col>
      <xdr:colOff>457200</xdr:colOff>
      <xdr:row>26</xdr:row>
      <xdr:rowOff>19050</xdr:rowOff>
    </xdr:to>
    <xdr:pic>
      <xdr:nvPicPr>
        <xdr:cNvPr id="9" name="ID_B500202392044D0A97FAF18CB428C8D2" descr="core_image_url__exec_download_2639957854"/>
        <xdr:cNvPicPr/>
      </xdr:nvPicPr>
      <xdr:blipFill>
        <a:blip r:link="rId52"/>
        <a:stretch>
          <a:fillRect/>
        </a:stretch>
      </xdr:blipFill>
      <xdr:spPr>
        <a:xfrm>
          <a:off x="0" y="0"/>
          <a:ext cx="4572000" cy="4476750"/>
        </a:xfrm>
        <a:prstGeom prst="rect">
          <a:avLst/>
        </a:prstGeom>
      </xdr:spPr>
    </xdr:pic>
    <xdr:clientData/>
  </xdr:twoCellAnchor>
  <xdr:twoCellAnchor editAs="oneCell">
    <xdr:from>
      <xdr:col>0</xdr:col>
      <xdr:colOff>0</xdr:colOff>
      <xdr:row>0</xdr:row>
      <xdr:rowOff>0</xdr:rowOff>
    </xdr:from>
    <xdr:to>
      <xdr:col>7</xdr:col>
      <xdr:colOff>342900</xdr:colOff>
      <xdr:row>37</xdr:row>
      <xdr:rowOff>47625</xdr:rowOff>
    </xdr:to>
    <xdr:pic>
      <xdr:nvPicPr>
        <xdr:cNvPr id="2931" name="ID_15FB24CF06BD4BFD8CE795C58A23A234" descr="core_image_url__exec_download_1030584734"/>
        <xdr:cNvPicPr/>
      </xdr:nvPicPr>
      <xdr:blipFill>
        <a:blip r:link="rId53"/>
        <a:stretch>
          <a:fillRect/>
        </a:stretch>
      </xdr:blipFill>
      <xdr:spPr>
        <a:xfrm>
          <a:off x="0" y="0"/>
          <a:ext cx="5143500" cy="6391275"/>
        </a:xfrm>
        <a:prstGeom prst="rect">
          <a:avLst/>
        </a:prstGeom>
      </xdr:spPr>
    </xdr:pic>
    <xdr:clientData/>
  </xdr:twoCellAnchor>
  <xdr:twoCellAnchor editAs="oneCell">
    <xdr:from>
      <xdr:col>0</xdr:col>
      <xdr:colOff>0</xdr:colOff>
      <xdr:row>0</xdr:row>
      <xdr:rowOff>0</xdr:rowOff>
    </xdr:from>
    <xdr:to>
      <xdr:col>4</xdr:col>
      <xdr:colOff>428625</xdr:colOff>
      <xdr:row>40</xdr:row>
      <xdr:rowOff>0</xdr:rowOff>
    </xdr:to>
    <xdr:pic>
      <xdr:nvPicPr>
        <xdr:cNvPr id="779" name="ID_D06E46378C2140E7B1179D985A5F8967" descr="core_image_url__exec_download_598957894"/>
        <xdr:cNvPicPr/>
      </xdr:nvPicPr>
      <xdr:blipFill>
        <a:blip r:link="rId54"/>
        <a:stretch>
          <a:fillRect/>
        </a:stretch>
      </xdr:blipFill>
      <xdr:spPr>
        <a:xfrm>
          <a:off x="0" y="0"/>
          <a:ext cx="3171825" cy="6858000"/>
        </a:xfrm>
        <a:prstGeom prst="rect">
          <a:avLst/>
        </a:prstGeom>
      </xdr:spPr>
    </xdr:pic>
    <xdr:clientData/>
  </xdr:twoCellAnchor>
  <xdr:twoCellAnchor editAs="oneCell">
    <xdr:from>
      <xdr:col>0</xdr:col>
      <xdr:colOff>0</xdr:colOff>
      <xdr:row>0</xdr:row>
      <xdr:rowOff>0</xdr:rowOff>
    </xdr:from>
    <xdr:to>
      <xdr:col>6</xdr:col>
      <xdr:colOff>247650</xdr:colOff>
      <xdr:row>39</xdr:row>
      <xdr:rowOff>114300</xdr:rowOff>
    </xdr:to>
    <xdr:pic>
      <xdr:nvPicPr>
        <xdr:cNvPr id="3333" name="ID_B817E1AB811244D8B82BC7B728D11702"/>
        <xdr:cNvPicPr>
          <a:picLocks noChangeAspect="1"/>
        </xdr:cNvPicPr>
      </xdr:nvPicPr>
      <xdr:blipFill>
        <a:blip r:link="rId55"/>
        <a:stretch>
          <a:fillRect/>
        </a:stretch>
      </xdr:blipFill>
      <xdr:spPr>
        <a:xfrm>
          <a:off x="4423410" y="-1374541971"/>
          <a:ext cx="4362450" cy="6800850"/>
        </a:xfrm>
        <a:prstGeom prst="rect">
          <a:avLst/>
        </a:prstGeom>
        <a:noFill/>
        <a:ln>
          <a:noFill/>
        </a:ln>
      </xdr:spPr>
    </xdr:pic>
    <xdr:clientData/>
  </xdr:twoCellAnchor>
  <xdr:twoCellAnchor editAs="oneCell">
    <xdr:from>
      <xdr:col>0</xdr:col>
      <xdr:colOff>0</xdr:colOff>
      <xdr:row>0</xdr:row>
      <xdr:rowOff>0</xdr:rowOff>
    </xdr:from>
    <xdr:to>
      <xdr:col>16</xdr:col>
      <xdr:colOff>457200</xdr:colOff>
      <xdr:row>88</xdr:row>
      <xdr:rowOff>152400</xdr:rowOff>
    </xdr:to>
    <xdr:pic>
      <xdr:nvPicPr>
        <xdr:cNvPr id="3301" name="ID_772591A67D0E4438AB37EE468B7E1DC4"/>
        <xdr:cNvPicPr>
          <a:picLocks noChangeAspect="1"/>
        </xdr:cNvPicPr>
      </xdr:nvPicPr>
      <xdr:blipFill>
        <a:blip r:link="rId56"/>
        <a:stretch>
          <a:fillRect/>
        </a:stretch>
      </xdr:blipFill>
      <xdr:spPr>
        <a:xfrm>
          <a:off x="4423410" y="-1376129471"/>
          <a:ext cx="11430000" cy="15240000"/>
        </a:xfrm>
        <a:prstGeom prst="rect">
          <a:avLst/>
        </a:prstGeom>
        <a:noFill/>
        <a:ln>
          <a:noFill/>
        </a:ln>
      </xdr:spPr>
    </xdr:pic>
    <xdr:clientData/>
  </xdr:twoCellAnchor>
  <xdr:twoCellAnchor editAs="oneCell">
    <xdr:from>
      <xdr:col>0</xdr:col>
      <xdr:colOff>0</xdr:colOff>
      <xdr:row>0</xdr:row>
      <xdr:rowOff>0</xdr:rowOff>
    </xdr:from>
    <xdr:to>
      <xdr:col>11</xdr:col>
      <xdr:colOff>0</xdr:colOff>
      <xdr:row>58</xdr:row>
      <xdr:rowOff>114300</xdr:rowOff>
    </xdr:to>
    <xdr:pic>
      <xdr:nvPicPr>
        <xdr:cNvPr id="235" name="ID_72FDABDE3529434D9BFF70A8F4A319E8" descr="core_image_url__exec_download_1467119284"/>
        <xdr:cNvPicPr/>
      </xdr:nvPicPr>
      <xdr:blipFill>
        <a:blip r:link="rId57"/>
        <a:stretch>
          <a:fillRect/>
        </a:stretch>
      </xdr:blipFill>
      <xdr:spPr>
        <a:xfrm>
          <a:off x="0" y="0"/>
          <a:ext cx="7543800" cy="10058400"/>
        </a:xfrm>
        <a:prstGeom prst="rect">
          <a:avLst/>
        </a:prstGeom>
      </xdr:spPr>
    </xdr:pic>
    <xdr:clientData/>
  </xdr:twoCellAnchor>
  <xdr:twoCellAnchor editAs="oneCell">
    <xdr:from>
      <xdr:col>0</xdr:col>
      <xdr:colOff>0</xdr:colOff>
      <xdr:row>0</xdr:row>
      <xdr:rowOff>0</xdr:rowOff>
    </xdr:from>
    <xdr:to>
      <xdr:col>11</xdr:col>
      <xdr:colOff>0</xdr:colOff>
      <xdr:row>58</xdr:row>
      <xdr:rowOff>114300</xdr:rowOff>
    </xdr:to>
    <xdr:pic>
      <xdr:nvPicPr>
        <xdr:cNvPr id="211" name="ID_E2EA151EF37844BA96C057C701B207FA" descr="core_image_url__exec_download_4155331838"/>
        <xdr:cNvPicPr/>
      </xdr:nvPicPr>
      <xdr:blipFill>
        <a:blip r:link="rId58"/>
        <a:stretch>
          <a:fillRect/>
        </a:stretch>
      </xdr:blipFill>
      <xdr:spPr>
        <a:xfrm>
          <a:off x="0" y="0"/>
          <a:ext cx="7543800" cy="10058400"/>
        </a:xfrm>
        <a:prstGeom prst="rect">
          <a:avLst/>
        </a:prstGeom>
      </xdr:spPr>
    </xdr:pic>
    <xdr:clientData/>
  </xdr:twoCellAnchor>
  <xdr:twoCellAnchor editAs="oneCell">
    <xdr:from>
      <xdr:col>0</xdr:col>
      <xdr:colOff>0</xdr:colOff>
      <xdr:row>0</xdr:row>
      <xdr:rowOff>0</xdr:rowOff>
    </xdr:from>
    <xdr:to>
      <xdr:col>9</xdr:col>
      <xdr:colOff>314325</xdr:colOff>
      <xdr:row>35</xdr:row>
      <xdr:rowOff>0</xdr:rowOff>
    </xdr:to>
    <xdr:pic>
      <xdr:nvPicPr>
        <xdr:cNvPr id="3641" name="ID_0E376FB57C9049DB9A9583B996B7D37C" descr="core_image_url__exec_download_3675959273"/>
        <xdr:cNvPicPr/>
      </xdr:nvPicPr>
      <xdr:blipFill>
        <a:blip r:link="rId59"/>
        <a:stretch>
          <a:fillRect/>
        </a:stretch>
      </xdr:blipFill>
      <xdr:spPr>
        <a:xfrm>
          <a:off x="0" y="0"/>
          <a:ext cx="6486525" cy="6000750"/>
        </a:xfrm>
        <a:prstGeom prst="rect">
          <a:avLst/>
        </a:prstGeom>
      </xdr:spPr>
    </xdr:pic>
    <xdr:clientData/>
  </xdr:twoCellAnchor>
  <xdr:twoCellAnchor editAs="oneCell">
    <xdr:from>
      <xdr:col>0</xdr:col>
      <xdr:colOff>0</xdr:colOff>
      <xdr:row>0</xdr:row>
      <xdr:rowOff>0</xdr:rowOff>
    </xdr:from>
    <xdr:to>
      <xdr:col>10</xdr:col>
      <xdr:colOff>285750</xdr:colOff>
      <xdr:row>32</xdr:row>
      <xdr:rowOff>19050</xdr:rowOff>
    </xdr:to>
    <xdr:pic>
      <xdr:nvPicPr>
        <xdr:cNvPr id="3549" name="ID_DDFB55C539E0485C9EAF7A75E2C0651F" descr="core_image_url__exec_download_1556233285"/>
        <xdr:cNvPicPr/>
      </xdr:nvPicPr>
      <xdr:blipFill>
        <a:blip r:link="rId60"/>
        <a:stretch>
          <a:fillRect/>
        </a:stretch>
      </xdr:blipFill>
      <xdr:spPr>
        <a:xfrm>
          <a:off x="0" y="0"/>
          <a:ext cx="7143750" cy="5505450"/>
        </a:xfrm>
        <a:prstGeom prst="rect">
          <a:avLst/>
        </a:prstGeom>
      </xdr:spPr>
    </xdr:pic>
    <xdr:clientData/>
  </xdr:twoCellAnchor>
  <xdr:twoCellAnchor editAs="oneCell">
    <xdr:from>
      <xdr:col>0</xdr:col>
      <xdr:colOff>0</xdr:colOff>
      <xdr:row>0</xdr:row>
      <xdr:rowOff>0</xdr:rowOff>
    </xdr:from>
    <xdr:to>
      <xdr:col>8</xdr:col>
      <xdr:colOff>361950</xdr:colOff>
      <xdr:row>19</xdr:row>
      <xdr:rowOff>28575</xdr:rowOff>
    </xdr:to>
    <xdr:pic>
      <xdr:nvPicPr>
        <xdr:cNvPr id="11355" name="ID_E99860DBF94249AEAC78C28C8C5A120C" descr="core_image_url__exec_download_4062362708"/>
        <xdr:cNvPicPr/>
      </xdr:nvPicPr>
      <xdr:blipFill>
        <a:blip r:link="rId61"/>
        <a:stretch>
          <a:fillRect/>
        </a:stretch>
      </xdr:blipFill>
      <xdr:spPr>
        <a:xfrm>
          <a:off x="0" y="0"/>
          <a:ext cx="5848350" cy="3286125"/>
        </a:xfrm>
        <a:prstGeom prst="rect">
          <a:avLst/>
        </a:prstGeom>
      </xdr:spPr>
    </xdr:pic>
    <xdr:clientData/>
  </xdr:twoCellAnchor>
  <xdr:twoCellAnchor editAs="oneCell">
    <xdr:from>
      <xdr:col>0</xdr:col>
      <xdr:colOff>0</xdr:colOff>
      <xdr:row>0</xdr:row>
      <xdr:rowOff>0</xdr:rowOff>
    </xdr:from>
    <xdr:to>
      <xdr:col>8</xdr:col>
      <xdr:colOff>173990</xdr:colOff>
      <xdr:row>58</xdr:row>
      <xdr:rowOff>114300</xdr:rowOff>
    </xdr:to>
    <xdr:pic>
      <xdr:nvPicPr>
        <xdr:cNvPr id="11356" name="ID_6BB762CFB1944ADA8C7DA14E8BB60B18" descr="core_image_url__exec_download_3500935060"/>
        <xdr:cNvPicPr/>
      </xdr:nvPicPr>
      <xdr:blipFill>
        <a:blip r:link="rId62"/>
        <a:stretch>
          <a:fillRect/>
        </a:stretch>
      </xdr:blipFill>
      <xdr:spPr>
        <a:xfrm>
          <a:off x="0" y="0"/>
          <a:ext cx="5660390" cy="10058400"/>
        </a:xfrm>
        <a:prstGeom prst="rect">
          <a:avLst/>
        </a:prstGeom>
      </xdr:spPr>
    </xdr:pic>
    <xdr:clientData/>
  </xdr:twoCellAnchor>
  <xdr:twoCellAnchor editAs="oneCell">
    <xdr:from>
      <xdr:col>0</xdr:col>
      <xdr:colOff>0</xdr:colOff>
      <xdr:row>0</xdr:row>
      <xdr:rowOff>0</xdr:rowOff>
    </xdr:from>
    <xdr:to>
      <xdr:col>10</xdr:col>
      <xdr:colOff>647700</xdr:colOff>
      <xdr:row>19</xdr:row>
      <xdr:rowOff>28575</xdr:rowOff>
    </xdr:to>
    <xdr:pic>
      <xdr:nvPicPr>
        <xdr:cNvPr id="11378" name="ID_D4612AEE91E145179DB430514C337B1A" descr="core_image_url__exec_download_3532459060"/>
        <xdr:cNvPicPr/>
      </xdr:nvPicPr>
      <xdr:blipFill>
        <a:blip r:link="rId63"/>
        <a:stretch>
          <a:fillRect/>
        </a:stretch>
      </xdr:blipFill>
      <xdr:spPr>
        <a:xfrm>
          <a:off x="0" y="0"/>
          <a:ext cx="7505700" cy="3286125"/>
        </a:xfrm>
        <a:prstGeom prst="rect">
          <a:avLst/>
        </a:prstGeom>
      </xdr:spPr>
    </xdr:pic>
    <xdr:clientData/>
  </xdr:twoCellAnchor>
  <xdr:twoCellAnchor editAs="oneCell">
    <xdr:from>
      <xdr:col>0</xdr:col>
      <xdr:colOff>0</xdr:colOff>
      <xdr:row>0</xdr:row>
      <xdr:rowOff>0</xdr:rowOff>
    </xdr:from>
    <xdr:to>
      <xdr:col>8</xdr:col>
      <xdr:colOff>173990</xdr:colOff>
      <xdr:row>58</xdr:row>
      <xdr:rowOff>114300</xdr:rowOff>
    </xdr:to>
    <xdr:pic>
      <xdr:nvPicPr>
        <xdr:cNvPr id="11379" name="ID_40A367C16CEA4AFCAAF7DC948B949A8B" descr="core_image_url__exec_download_2146510412"/>
        <xdr:cNvPicPr/>
      </xdr:nvPicPr>
      <xdr:blipFill>
        <a:blip r:link="rId64"/>
        <a:stretch>
          <a:fillRect/>
        </a:stretch>
      </xdr:blipFill>
      <xdr:spPr>
        <a:xfrm>
          <a:off x="0" y="0"/>
          <a:ext cx="5660390" cy="10058400"/>
        </a:xfrm>
        <a:prstGeom prst="rect">
          <a:avLst/>
        </a:prstGeom>
      </xdr:spPr>
    </xdr:pic>
    <xdr:clientData/>
  </xdr:twoCellAnchor>
  <xdr:twoCellAnchor editAs="oneCell">
    <xdr:from>
      <xdr:col>0</xdr:col>
      <xdr:colOff>0</xdr:colOff>
      <xdr:row>0</xdr:row>
      <xdr:rowOff>0</xdr:rowOff>
    </xdr:from>
    <xdr:to>
      <xdr:col>4</xdr:col>
      <xdr:colOff>657225</xdr:colOff>
      <xdr:row>14</xdr:row>
      <xdr:rowOff>28575</xdr:rowOff>
    </xdr:to>
    <xdr:pic>
      <xdr:nvPicPr>
        <xdr:cNvPr id="11380" name="ID_EE91F2562288438993EA519ADA118D74" descr="core_image_url__exec_download_3848127324"/>
        <xdr:cNvPicPr/>
      </xdr:nvPicPr>
      <xdr:blipFill>
        <a:blip r:link="rId65"/>
        <a:stretch>
          <a:fillRect/>
        </a:stretch>
      </xdr:blipFill>
      <xdr:spPr>
        <a:xfrm>
          <a:off x="0" y="0"/>
          <a:ext cx="3400425" cy="2428875"/>
        </a:xfrm>
        <a:prstGeom prst="rect">
          <a:avLst/>
        </a:prstGeom>
      </xdr:spPr>
    </xdr:pic>
    <xdr:clientData/>
  </xdr:twoCellAnchor>
  <xdr:twoCellAnchor editAs="oneCell">
    <xdr:from>
      <xdr:col>0</xdr:col>
      <xdr:colOff>0</xdr:colOff>
      <xdr:row>0</xdr:row>
      <xdr:rowOff>0</xdr:rowOff>
    </xdr:from>
    <xdr:to>
      <xdr:col>8</xdr:col>
      <xdr:colOff>19050</xdr:colOff>
      <xdr:row>30</xdr:row>
      <xdr:rowOff>9525</xdr:rowOff>
    </xdr:to>
    <xdr:pic>
      <xdr:nvPicPr>
        <xdr:cNvPr id="162" name="ID_95CF092AF6354F5B90A3B85D2900A0BB" descr="core_image_url__exec_download_4014613210"/>
        <xdr:cNvPicPr/>
      </xdr:nvPicPr>
      <xdr:blipFill>
        <a:blip r:link="rId66"/>
        <a:stretch>
          <a:fillRect/>
        </a:stretch>
      </xdr:blipFill>
      <xdr:spPr>
        <a:xfrm>
          <a:off x="0" y="0"/>
          <a:ext cx="5505450" cy="5153025"/>
        </a:xfrm>
        <a:prstGeom prst="rect">
          <a:avLst/>
        </a:prstGeom>
      </xdr:spPr>
    </xdr:pic>
    <xdr:clientData/>
  </xdr:twoCellAnchor>
  <xdr:twoCellAnchor editAs="oneCell">
    <xdr:from>
      <xdr:col>0</xdr:col>
      <xdr:colOff>0</xdr:colOff>
      <xdr:row>0</xdr:row>
      <xdr:rowOff>0</xdr:rowOff>
    </xdr:from>
    <xdr:to>
      <xdr:col>8</xdr:col>
      <xdr:colOff>333375</xdr:colOff>
      <xdr:row>35</xdr:row>
      <xdr:rowOff>114300</xdr:rowOff>
    </xdr:to>
    <xdr:pic>
      <xdr:nvPicPr>
        <xdr:cNvPr id="3655" name="ID_BDFF7536221F487BB1CBE2CCDC29ABE7" descr="core_image_url__exec_download_2336174148"/>
        <xdr:cNvPicPr/>
      </xdr:nvPicPr>
      <xdr:blipFill>
        <a:blip r:link="rId67"/>
        <a:stretch>
          <a:fillRect/>
        </a:stretch>
      </xdr:blipFill>
      <xdr:spPr>
        <a:xfrm>
          <a:off x="0" y="0"/>
          <a:ext cx="5819775" cy="6115050"/>
        </a:xfrm>
        <a:prstGeom prst="rect">
          <a:avLst/>
        </a:prstGeom>
      </xdr:spPr>
    </xdr:pic>
    <xdr:clientData/>
  </xdr:twoCellAnchor>
  <xdr:twoCellAnchor editAs="oneCell">
    <xdr:from>
      <xdr:col>0</xdr:col>
      <xdr:colOff>0</xdr:colOff>
      <xdr:row>0</xdr:row>
      <xdr:rowOff>0</xdr:rowOff>
    </xdr:from>
    <xdr:to>
      <xdr:col>5</xdr:col>
      <xdr:colOff>342900</xdr:colOff>
      <xdr:row>21</xdr:row>
      <xdr:rowOff>19050</xdr:rowOff>
    </xdr:to>
    <xdr:pic>
      <xdr:nvPicPr>
        <xdr:cNvPr id="3321" name="ID_538AAC7817464E6AA436B94D24DB2E26" descr="core_image_url__exec_download_2342982544"/>
        <xdr:cNvPicPr/>
      </xdr:nvPicPr>
      <xdr:blipFill>
        <a:blip r:link="rId68"/>
        <a:stretch>
          <a:fillRect/>
        </a:stretch>
      </xdr:blipFill>
      <xdr:spPr>
        <a:xfrm>
          <a:off x="0" y="0"/>
          <a:ext cx="3771900" cy="3619500"/>
        </a:xfrm>
        <a:prstGeom prst="rect">
          <a:avLst/>
        </a:prstGeom>
      </xdr:spPr>
    </xdr:pic>
    <xdr:clientData/>
  </xdr:twoCellAnchor>
  <xdr:twoCellAnchor editAs="oneCell">
    <xdr:from>
      <xdr:col>0</xdr:col>
      <xdr:colOff>0</xdr:colOff>
      <xdr:row>0</xdr:row>
      <xdr:rowOff>0</xdr:rowOff>
    </xdr:from>
    <xdr:to>
      <xdr:col>4</xdr:col>
      <xdr:colOff>180975</xdr:colOff>
      <xdr:row>18</xdr:row>
      <xdr:rowOff>95250</xdr:rowOff>
    </xdr:to>
    <xdr:pic>
      <xdr:nvPicPr>
        <xdr:cNvPr id="3820" name="ID_8BBDADBCF9B04E6FA8DAD22FB8E935BD" descr="core_image_url__exec_download_868038000"/>
        <xdr:cNvPicPr/>
      </xdr:nvPicPr>
      <xdr:blipFill>
        <a:blip r:link="rId69"/>
        <a:stretch>
          <a:fillRect/>
        </a:stretch>
      </xdr:blipFill>
      <xdr:spPr>
        <a:xfrm>
          <a:off x="0" y="0"/>
          <a:ext cx="2924175" cy="3181350"/>
        </a:xfrm>
        <a:prstGeom prst="rect">
          <a:avLst/>
        </a:prstGeom>
      </xdr:spPr>
    </xdr:pic>
    <xdr:clientData/>
  </xdr:twoCellAnchor>
  <xdr:twoCellAnchor editAs="oneCell">
    <xdr:from>
      <xdr:col>0</xdr:col>
      <xdr:colOff>0</xdr:colOff>
      <xdr:row>0</xdr:row>
      <xdr:rowOff>0</xdr:rowOff>
    </xdr:from>
    <xdr:to>
      <xdr:col>11</xdr:col>
      <xdr:colOff>0</xdr:colOff>
      <xdr:row>58</xdr:row>
      <xdr:rowOff>114300</xdr:rowOff>
    </xdr:to>
    <xdr:pic>
      <xdr:nvPicPr>
        <xdr:cNvPr id="3815" name="ID_50660AAA265A41749499C9B382D5A617" descr="core_image_url__exec_download_540853559"/>
        <xdr:cNvPicPr/>
      </xdr:nvPicPr>
      <xdr:blipFill>
        <a:blip r:link="rId70"/>
        <a:stretch>
          <a:fillRect/>
        </a:stretch>
      </xdr:blipFill>
      <xdr:spPr>
        <a:xfrm>
          <a:off x="0" y="0"/>
          <a:ext cx="7543800" cy="10058400"/>
        </a:xfrm>
        <a:prstGeom prst="rect">
          <a:avLst/>
        </a:prstGeom>
      </xdr:spPr>
    </xdr:pic>
    <xdr:clientData/>
  </xdr:twoCellAnchor>
  <xdr:twoCellAnchor editAs="oneCell">
    <xdr:from>
      <xdr:col>0</xdr:col>
      <xdr:colOff>0</xdr:colOff>
      <xdr:row>0</xdr:row>
      <xdr:rowOff>0</xdr:rowOff>
    </xdr:from>
    <xdr:to>
      <xdr:col>11</xdr:col>
      <xdr:colOff>0</xdr:colOff>
      <xdr:row>58</xdr:row>
      <xdr:rowOff>113665</xdr:rowOff>
    </xdr:to>
    <xdr:pic>
      <xdr:nvPicPr>
        <xdr:cNvPr id="3817" name="ID_E0DB5B8A9AEC4C40AF33D88443253694" descr="core_image_url__exec_download_3953108376"/>
        <xdr:cNvPicPr/>
      </xdr:nvPicPr>
      <xdr:blipFill>
        <a:blip r:link="rId71"/>
        <a:stretch>
          <a:fillRect/>
        </a:stretch>
      </xdr:blipFill>
      <xdr:spPr>
        <a:xfrm>
          <a:off x="0" y="0"/>
          <a:ext cx="7543800" cy="10057765"/>
        </a:xfrm>
        <a:prstGeom prst="rect">
          <a:avLst/>
        </a:prstGeom>
      </xdr:spPr>
    </xdr:pic>
    <xdr:clientData/>
  </xdr:twoCellAnchor>
  <xdr:twoCellAnchor editAs="oneCell">
    <xdr:from>
      <xdr:col>0</xdr:col>
      <xdr:colOff>0</xdr:colOff>
      <xdr:row>0</xdr:row>
      <xdr:rowOff>0</xdr:rowOff>
    </xdr:from>
    <xdr:to>
      <xdr:col>10</xdr:col>
      <xdr:colOff>0</xdr:colOff>
      <xdr:row>40</xdr:row>
      <xdr:rowOff>0</xdr:rowOff>
    </xdr:to>
    <xdr:pic>
      <xdr:nvPicPr>
        <xdr:cNvPr id="3808" name="ID_DD794363D77F483ABDFADBBFAA669195" descr="core_image_url__exec_download_342344272"/>
        <xdr:cNvPicPr/>
      </xdr:nvPicPr>
      <xdr:blipFill>
        <a:blip r:link="rId72"/>
        <a:stretch>
          <a:fillRect/>
        </a:stretch>
      </xdr:blipFill>
      <xdr:spPr>
        <a:xfrm>
          <a:off x="0" y="0"/>
          <a:ext cx="6858000" cy="6858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Sy01-04\&#20849;&#20139;\A-G&#25972;&#21512;\A-G&#25972;&#21512;%2005-30\RecoveredExternalLink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1"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Sy01-04\&#20849;&#20139;\A-G&#25972;&#21512;\A-G&#25972;&#21512;%2005-30\RecoveredExternalLink5"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4"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5"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6"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7"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Sy01-04\&#20849;&#20139;\A-G&#25972;&#21512;\A-G&#25972;&#21512;%2005-30\RecoveredExternalLink17"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8"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9"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terryzhang\Library\Containers\com.kingsoft.wpsoffice.mac\Data\Library\Application%20Support\Kingsoft\WPS%20Cloud%20Files\userdata\qing\filecache\208189988\&#22242;&#38431;&#25991;&#26723;\DSA_1\&#25253;&#20215;&#30456;&#20851;&#36164;&#26009;\\Users\admin\Library\Containers\com.tencent.xinWeChat\Data\Library\Application%20Support\com.tencent.xinWeChat\2.0b4.0.9\0863c6a7a83cea0301c6ffefe1b8b23a\Message\MessageTemp\74aa7bf05b8b89f1f0ca760d59867694\File\\Users\dell\&#28145;&#22323;&#21069;&#28023;&#20113;&#36884;&#29289;&#27969;&#28192;&#36947;&#25972;&#21512;&#25253;&#20215;A-C&#20215;2021-4-25\Users\Administrator\Desktop\A-G&#25972;&#21512;%2006-13\RecoveredExternalLink10"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ile:///C:\Users\78792\WPSDrive\448473761_1\WPS&#20113;&#30424;\&#20849;&#20139;&#25991;&#20214;&#22841;&#8197;\DSA\&#20013;&#22269;&#25253;&#20215;&#30456;&#20851;&#36164;&#26009;\Calculation table-&#20113;&#36884;&#19987;&#2999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REF!"/>
      <sheetName val="control"/>
      <sheetName val="model_flows"/>
      <sheetName val="rates_input"/>
      <sheetName val="zones_input"/>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报价总目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Summary"/>
      <sheetName val="Shipment Data"/>
      <sheetName val="Pivot"/>
      <sheetName val="Unit Rates"/>
      <sheetName val="Rate Lookup"/>
      <sheetName val="Rate Sheet"/>
      <sheetName val="挂号 HKDGM-BQ 旧"/>
      <sheetName val="挂号 HKDGM-UDF新"/>
      <sheetName val="Express"/>
      <sheetName val="Expedited"/>
      <sheetName val="Rates Mar"/>
      <sheetName val="Average"/>
      <sheetName val="#REF!"/>
      <sheetName val="control"/>
      <sheetName val="model_flows"/>
      <sheetName val="rates_input"/>
      <sheetName val="zones_input"/>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Rates Mar"/>
      <sheetName val="Average"/>
      <sheetName val="#REF!"/>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Rates Mar"/>
      <sheetName val="Average"/>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2004 Rate Lookup"/>
      <sheetName val="2005 Rate Lookup"/>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ates Mar"/>
      <sheetName val="Average"/>
      <sheetName val="Customer Info"/>
      <sheetName val="SURCHAR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Pivot"/>
      <sheetName val="Unit Rates"/>
      <sheetName val="Rate Lookup"/>
      <sheetName val="Rate 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Rates Mar"/>
      <sheetName val="Average"/>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destinations and services"/>
      <sheetName val="Canada 1- Zipcod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Rates Mar"/>
      <sheetName val="Average"/>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Rate Lookup"/>
      <sheetName val="Rate Sheet"/>
      <sheetName val="挂号 HKDGM-BQ 旧"/>
      <sheetName val="挂号 HKDGM-UDF新"/>
      <sheetName val="Express"/>
      <sheetName val="Expedited"/>
      <sheetName val="Rates Mar"/>
      <sheetName val="Average"/>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EF!"/>
      <sheetName val="Discounts"/>
      <sheetName val="Express Export Ratesheet"/>
      <sheetName val="Economy Export Ratesheet"/>
      <sheetName val="Express Import Ratesheet"/>
      <sheetName val="Economy Import Ratesheet"/>
      <sheetName val="destinations and services"/>
      <sheetName val="Canada 1- Zipco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Sheet1"/>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ates Mar"/>
      <sheetName val="Average"/>
      <sheetName val="zones_input"/>
      <sheetName val="control"/>
      <sheetName val="rates_input"/>
      <sheetName val="model_flow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Portfolio Discount"/>
      <sheetName val="Cover"/>
      <sheetName val="Zone Discount"/>
      <sheetName val="Express Export Net Rates"/>
      <sheetName val="Economy Export Net Rates"/>
      <sheetName val="Express Import Net Rates"/>
      <sheetName val="Economy Import Net Rates"/>
      <sheetName val="Express Export Gross Rates"/>
      <sheetName val="Economy Export Gross Rates"/>
      <sheetName val="Express Import Gross Rates"/>
      <sheetName val="Economy Import Gross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Discounts"/>
      <sheetName val="Express Export Ratesheet"/>
      <sheetName val="Economy Export Ratesheet"/>
      <sheetName val="Express Import Ratesheet"/>
      <sheetName val="Economy Import Ratesheet"/>
      <sheetName val="destinations and services"/>
      <sheetName val="Canada 1- Zipcodes"/>
      <sheetName val="Summary"/>
      <sheetName val="Shipment Data"/>
      <sheetName val="Pivot"/>
      <sheetName val="Unit Rates"/>
      <sheetName val="Rate Lookup"/>
      <sheetName val="Rate Sheet"/>
      <sheetName val="DATA"/>
      <sheetName val="RERATE"/>
      <sheetName val="ZONES"/>
      <sheetName val="RATES"/>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Sheet1"/>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ates Mar"/>
      <sheetName val="Average"/>
      <sheetName val="zones_input"/>
      <sheetName val="control"/>
      <sheetName val="rates_input"/>
      <sheetName val="#REF!"/>
      <sheetName val="model_flow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2004 Rate Lookup"/>
      <sheetName val="2005 Rate Lookup"/>
      <sheetName val="Summary Import"/>
      <sheetName val="Shipment data import"/>
      <sheetName val="Portfolio Discount"/>
      <sheetName val="Cover"/>
      <sheetName val="Zone Discount"/>
      <sheetName val="Express Export Net Rates"/>
      <sheetName val="Economy Export Net Rates"/>
      <sheetName val="Express Import Net Rates"/>
      <sheetName val="Economy Import Net Rates"/>
      <sheetName val="Express Export Gross Rates"/>
      <sheetName val="Economy Export Gross Rates"/>
      <sheetName val="Express Import Gross Rates"/>
      <sheetName val="Economy Import Gross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Summary"/>
      <sheetName val="Shipment data"/>
      <sheetName val="Unit Rates"/>
      <sheetName val="2004 Rate Lookup"/>
      <sheetName val="2005 Rate Lookup"/>
      <sheetName val="Pivot"/>
      <sheetName val="Summary Import"/>
      <sheetName val="Shipment data import"/>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Discounts"/>
      <sheetName val="Express Export Ratesheet"/>
      <sheetName val="Economy Export Ratesheet"/>
      <sheetName val="Express Import Ratesheet"/>
      <sheetName val="Economy Import Ratesheet"/>
      <sheetName val="Rate Lookup"/>
      <sheetName val="Rate Shee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Portfolio Discount"/>
      <sheetName val="Cover"/>
      <sheetName val="Zone Discount"/>
      <sheetName val="Express Export Net Rates"/>
      <sheetName val="Economy Export Net Rates"/>
      <sheetName val="Express Import Net Rates"/>
      <sheetName val="Economy Import Net Rates"/>
      <sheetName val="destinations and services"/>
      <sheetName val="Canada 1- Zipcodes"/>
      <sheetName val="Express Export Gross Rates"/>
      <sheetName val="Economy Export Gross Rates"/>
      <sheetName val="Express Import Gross Rates"/>
      <sheetName val="Economy Import Gross Rates"/>
      <sheetName val="map"/>
      <sheetName val="Checking"/>
      <sheetName val="EXPT IP BCP % U"/>
      <sheetName val="EXPT IE BCP % U"/>
      <sheetName val="IP EXPT 0638"/>
      <sheetName val="IE EXPT 0638"/>
      <sheetName val="2013 IP"/>
      <sheetName val="2013 IE"/>
      <sheetName val="2013 IP平台销售价"/>
      <sheetName val="2013 IE平台销售价"/>
      <sheetName val="IE Zone"/>
      <sheetName val="IP Zone"/>
      <sheetName val="Band Discount Matrix"/>
      <sheetName val="IMPT IP BCP %"/>
      <sheetName val="IMPT IE BCP %"/>
      <sheetName val="IP IMPT 001D"/>
      <sheetName val="IE IMPT 001D"/>
      <sheetName val="Default Pricing"/>
      <sheetName val="Default Billing Flag"/>
      <sheetName val="Expt Zone Pricing"/>
      <sheetName val="Impt Zone Pricing"/>
      <sheetName val="G3P Zone Pricing"/>
      <sheetName val="Billing Flag By Zone"/>
      <sheetName val="Account Summary"/>
      <sheetName val="Clone Global"/>
      <sheetName val="EXPT BD"/>
      <sheetName val="Expt Disc prepaid"/>
      <sheetName val="Impt Disc 638"/>
      <sheetName val="IMPT BD"/>
      <sheetName val="header"/>
      <sheetName val="G3P_Disc"/>
      <sheetName val="G3P_IP_IE_Rationality"/>
      <sheetName val="G3P_IPF_IEF_Rationality"/>
      <sheetName val="Impt G3P"/>
      <sheetName val="IMPT Rationality Check 638"/>
      <sheetName val="EXPT Rationality Check prepaid"/>
      <sheetName val="Summary"/>
      <sheetName val="Shipment data"/>
      <sheetName val="Unit Rates"/>
      <sheetName val="2004 Rate Lookup"/>
      <sheetName val="2005 Rate Lookup"/>
      <sheetName val="Pivot"/>
      <sheetName val="Summary Import"/>
      <sheetName val="Shipment data import"/>
      <sheetName val="control"/>
      <sheetName val="model_flows"/>
      <sheetName val="zones"/>
      <sheetName val="rates_input"/>
      <sheetName val="zones_input"/>
      <sheetName val="rates"/>
      <sheetName val="rs-cover1"/>
      <sheetName val="rs-cover2"/>
      <sheetName val="rs-cover3"/>
      <sheetName val="rs-cover4"/>
      <sheetName val="rs-cover5"/>
      <sheetName val="rs-express"/>
      <sheetName val="rs-express imports"/>
      <sheetName val="rs-economy express"/>
      <sheetName val="rs-economy express imports"/>
      <sheetName val="rs-destination table"/>
      <sheetName val="rs-additional information"/>
      <sheetName val="pr"/>
      <sheetName val="to"/>
      <sheetName val="sa"/>
      <sheetName val="di"/>
      <sheetName val="in"/>
      <sheetName val="fsi"/>
      <sheetName val="mpc"/>
      <sheetName val="ooa"/>
      <sheetName val="res"/>
      <sheetName val="gm"/>
      <sheetName val="itl"/>
      <sheetName val="sc"/>
      <sheetName val="vo"/>
      <sheetName val="ccf"/>
      <sheetName val="AR@Rating Setup"/>
      <sheetName val="ARI@RATES"/>
      <sheetName val="ARE@RATES"/>
      <sheetName val="Sheet1"/>
      <sheetName val="Discounts"/>
      <sheetName val="Express Export Ratesheet"/>
      <sheetName val="Economy Export Ratesheet"/>
      <sheetName val="Express Import Ratesheet"/>
      <sheetName val="Economy Import Ratesheet"/>
      <sheetName val="Customer Info"/>
      <sheetName val="Next Day Comm Chart"/>
      <sheetName val="Next Day Resi Chart"/>
      <sheetName val="Saver Comm Chart"/>
      <sheetName val="Saver Resi Chart"/>
      <sheetName val="2nd Day AM Comm Chart"/>
      <sheetName val="2nd Day AM Resi Chart"/>
      <sheetName val="2nd Day Comm Chart"/>
      <sheetName val="2nd Day Resi Chart"/>
      <sheetName val="3 Day Select Comm Chart"/>
      <sheetName val="3 Day Select Resi Chart"/>
      <sheetName val="Ground Comm Chart"/>
      <sheetName val="Ground Resi Chart"/>
      <sheetName val="Ground CWT Chart"/>
      <sheetName val="SURCHARGES"/>
      <sheetName val="Ground CWT List"/>
      <sheetName val="1DA List Rates"/>
      <sheetName val="Saver List Rates"/>
      <sheetName val="2DA AM List Rates"/>
      <sheetName val="2DA List Rates"/>
      <sheetName val="3DS List Rates"/>
      <sheetName val="Ground Comm List Rates"/>
      <sheetName val="Ground Resi List Rates"/>
      <sheetName val="Rate Lookup"/>
      <sheetName val="Rate Sheet"/>
      <sheetName val="DATA"/>
      <sheetName val="RERATE"/>
      <sheetName val="TARIFF"/>
      <sheetName val="LOOKUP"/>
      <sheetName val="Instructions"/>
      <sheetName val="Request"/>
      <sheetName val="Shipments - lb"/>
      <sheetName val="Shipments - kg"/>
      <sheetName val="Discounts - lb"/>
      <sheetName val="Discounts - kg"/>
      <sheetName val="Shipments - lb current"/>
      <sheetName val="Shipments - lb total"/>
      <sheetName val="Approved Discts-lb"/>
      <sheetName val="Shipments - kg current"/>
      <sheetName val="Shipments - kg total"/>
      <sheetName val="Approved Discts-kg"/>
      <sheetName val="Countries"/>
      <sheetName val="TempVariables"/>
      <sheetName val="Shipments - current"/>
      <sheetName val="挂号 HKDGM-BQ 旧"/>
      <sheetName val="挂号 HKDGM-UDF新"/>
      <sheetName val="Express"/>
      <sheetName val="Expedited"/>
      <sheetName val="Rates Mar"/>
      <sheetName val="Average"/>
      <sheetName val="Sheet2"/>
      <sheetName val="Sheet3"/>
      <sheetName val="纵腾"/>
      <sheetName val="林竹"/>
      <sheetName val="鸿捷"/>
      <sheetName val="云途"/>
      <sheetName val="B2B"/>
      <sheetName val="中邮海外仓"/>
      <sheetName val="汇总表"/>
      <sheetName val="大陆DHL"/>
      <sheetName val="新加坡DHL"/>
      <sheetName val="香港DHL"/>
      <sheetName val="UPS"/>
      <sheetName val="中澳专线"/>
      <sheetName val="新西兰专线"/>
      <sheetName val="TNT"/>
      <sheetName val="欧洲专线"/>
      <sheetName val="中邮EMS-深圳"/>
      <sheetName val="中美专线"/>
      <sheetName val="系统明细美、澳、英、法"/>
      <sheetName val="未出账单"/>
      <sheetName val="乐讯"/>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Detailed Calculation table"/>
      <sheetName val="Product Procurement Sheet"/>
      <sheetName val="CneForClothes"/>
      <sheetName val="CneForGeneral"/>
      <sheetName val="4PXForCosmetic"/>
      <sheetName val="4PXForElectric"/>
      <sheetName val="4PXForGeneral"/>
      <sheetName val="4PXForClothes"/>
      <sheetName val="YwenForElectric"/>
      <sheetName val="CNE带电化妆品"/>
      <sheetName val="CNE全球优先"/>
      <sheetName val="华翰纯电"/>
      <sheetName val="华翰食品"/>
      <sheetName val="华翰特货"/>
      <sheetName val="云途特货"/>
      <sheetName val="云途华南小包普货"/>
      <sheetName val="CNE全球特惠"/>
      <sheetName val="云途到门带电"/>
      <sheetName val="云途到门普货"/>
      <sheetName val="云途特惠普货"/>
      <sheetName val="云途服装专线"/>
      <sheetName val="云途精选普货"/>
      <sheetName val="云途化妆品类"/>
      <sheetName val="YwenForGeneral"/>
      <sheetName val="YwenForCosmetic"/>
      <sheetName val="云途标快带电"/>
      <sheetName val="云途精选带电"/>
      <sheetName val="云途标快普货"/>
      <sheetName val="云途特惠带电"/>
      <sheetName val="华翰智慧选特惠"/>
      <sheetName val="WpsReserved_CellImgList"/>
    </sheetNames>
    <sheetDataSet>
      <sheetData sheetId="0">
        <row r="1">
          <cell r="A1" t="str">
            <v>产品编码 (Product Original RMB Cost)</v>
          </cell>
          <cell r="B1" t="str">
            <v>EQU0530001D</v>
          </cell>
        </row>
        <row r="3">
          <cell r="A3" t="str">
            <v>国家/地区Country</v>
          </cell>
          <cell r="B3" t="str">
            <v>缩写Country abbreviation</v>
          </cell>
        </row>
        <row r="4">
          <cell r="A4" t="str">
            <v>美国</v>
          </cell>
          <cell r="B4" t="str">
            <v>US</v>
          </cell>
        </row>
        <row r="5">
          <cell r="A5" t="str">
            <v>英国</v>
          </cell>
          <cell r="B5" t="str">
            <v>UK/GB</v>
          </cell>
        </row>
        <row r="6">
          <cell r="A6" t="str">
            <v>法国</v>
          </cell>
          <cell r="B6" t="str">
            <v>FR</v>
          </cell>
        </row>
        <row r="7">
          <cell r="A7" t="str">
            <v>奥地利</v>
          </cell>
          <cell r="B7" t="str">
            <v>AT</v>
          </cell>
        </row>
        <row r="8">
          <cell r="A8" t="str">
            <v>意大利</v>
          </cell>
          <cell r="B8" t="str">
            <v>IT</v>
          </cell>
        </row>
        <row r="9">
          <cell r="A9" t="str">
            <v>西班牙</v>
          </cell>
          <cell r="B9" t="str">
            <v>ES</v>
          </cell>
        </row>
        <row r="10">
          <cell r="A10" t="str">
            <v>比利时</v>
          </cell>
          <cell r="B10" t="str">
            <v>BE</v>
          </cell>
        </row>
        <row r="11">
          <cell r="A11" t="str">
            <v>瑞士</v>
          </cell>
          <cell r="B11" t="str">
            <v>CH</v>
          </cell>
        </row>
        <row r="12">
          <cell r="A12" t="str">
            <v>卢森堡</v>
          </cell>
          <cell r="B12" t="str">
            <v>LU</v>
          </cell>
        </row>
        <row r="13">
          <cell r="A13" t="str">
            <v>爱尔兰</v>
          </cell>
          <cell r="B13" t="str">
            <v>IE</v>
          </cell>
        </row>
        <row r="14">
          <cell r="A14" t="str">
            <v>保加利亚</v>
          </cell>
          <cell r="B14" t="str">
            <v>BG</v>
          </cell>
        </row>
        <row r="15">
          <cell r="A15" t="str">
            <v>克罗地亚</v>
          </cell>
          <cell r="B15" t="str">
            <v>CRO</v>
          </cell>
        </row>
        <row r="16">
          <cell r="A16" t="str">
            <v>捷克</v>
          </cell>
          <cell r="B16" t="str">
            <v>CZ</v>
          </cell>
        </row>
        <row r="17">
          <cell r="A17" t="str">
            <v>爱沙尼亚</v>
          </cell>
          <cell r="B17" t="str">
            <v>EE</v>
          </cell>
        </row>
        <row r="18">
          <cell r="A18" t="str">
            <v>芬兰</v>
          </cell>
          <cell r="B18" t="str">
            <v>FI</v>
          </cell>
        </row>
        <row r="19">
          <cell r="A19" t="str">
            <v>匈牙利</v>
          </cell>
          <cell r="B19" t="str">
            <v>HU</v>
          </cell>
        </row>
        <row r="20">
          <cell r="A20" t="str">
            <v>拉脱维亚</v>
          </cell>
          <cell r="B20" t="str">
            <v>LV</v>
          </cell>
        </row>
        <row r="21">
          <cell r="A21" t="str">
            <v>立陶宛</v>
          </cell>
          <cell r="B21" t="str">
            <v>LT</v>
          </cell>
        </row>
        <row r="22">
          <cell r="A22" t="str">
            <v>波兰</v>
          </cell>
          <cell r="B22" t="str">
            <v>PL</v>
          </cell>
        </row>
        <row r="23">
          <cell r="A23" t="str">
            <v>葡萄牙</v>
          </cell>
          <cell r="B23" t="str">
            <v>PT</v>
          </cell>
        </row>
        <row r="24">
          <cell r="A24" t="str">
            <v>罗马尼亚</v>
          </cell>
          <cell r="B24" t="str">
            <v>RO</v>
          </cell>
        </row>
        <row r="25">
          <cell r="A25" t="str">
            <v>斯洛伐克</v>
          </cell>
          <cell r="B25" t="str">
            <v>SK</v>
          </cell>
        </row>
        <row r="26">
          <cell r="A26" t="str">
            <v>斯洛文尼亚</v>
          </cell>
          <cell r="B26" t="str">
            <v>SI</v>
          </cell>
        </row>
        <row r="27">
          <cell r="A27" t="str">
            <v>瑞典</v>
          </cell>
          <cell r="B27" t="str">
            <v>SE/SW</v>
          </cell>
        </row>
        <row r="28">
          <cell r="A28" t="str">
            <v>德国</v>
          </cell>
          <cell r="B28" t="str">
            <v>DE</v>
          </cell>
        </row>
        <row r="29">
          <cell r="A29" t="str">
            <v>丹麦</v>
          </cell>
          <cell r="B29" t="str">
            <v>DK</v>
          </cell>
        </row>
        <row r="30">
          <cell r="A30" t="str">
            <v>希腊</v>
          </cell>
          <cell r="B30" t="str">
            <v>GR</v>
          </cell>
        </row>
        <row r="31">
          <cell r="A31" t="str">
            <v>加拿大</v>
          </cell>
          <cell r="B31" t="str">
            <v>CA</v>
          </cell>
        </row>
        <row r="32">
          <cell r="A32" t="str">
            <v>挪威</v>
          </cell>
          <cell r="B32" t="str">
            <v>NO</v>
          </cell>
        </row>
        <row r="33">
          <cell r="A33" t="str">
            <v>以色列</v>
          </cell>
          <cell r="B33" t="str">
            <v>IL</v>
          </cell>
        </row>
        <row r="34">
          <cell r="A34" t="str">
            <v>新西兰</v>
          </cell>
          <cell r="B34" t="str">
            <v>NZ</v>
          </cell>
        </row>
        <row r="35">
          <cell r="A35" t="str">
            <v>阿拉伯联合酋长国</v>
          </cell>
          <cell r="B35" t="str">
            <v>UAE</v>
          </cell>
        </row>
        <row r="36">
          <cell r="A36" t="str">
            <v>泰国</v>
          </cell>
          <cell r="B36" t="str">
            <v>THA</v>
          </cell>
        </row>
        <row r="37">
          <cell r="A37" t="str">
            <v>日本</v>
          </cell>
          <cell r="B37" t="str">
            <v>JP</v>
          </cell>
        </row>
        <row r="38">
          <cell r="A38" t="str">
            <v>荷兰</v>
          </cell>
          <cell r="B38" t="str">
            <v>NL</v>
          </cell>
        </row>
        <row r="39">
          <cell r="A39" t="str">
            <v>墨西哥</v>
          </cell>
          <cell r="B39" t="str">
            <v>MX</v>
          </cell>
        </row>
        <row r="40">
          <cell r="A40" t="str">
            <v>沙特阿拉伯</v>
          </cell>
          <cell r="B40" t="str">
            <v>SA</v>
          </cell>
        </row>
        <row r="41">
          <cell r="A41" t="str">
            <v>科威特</v>
          </cell>
          <cell r="B41" t="str">
            <v>KW</v>
          </cell>
        </row>
        <row r="42">
          <cell r="A42" t="str">
            <v>卡塔尔</v>
          </cell>
          <cell r="B42" t="str">
            <v>QA</v>
          </cell>
        </row>
        <row r="43">
          <cell r="A43" t="str">
            <v>巴林</v>
          </cell>
          <cell r="B43" t="str">
            <v>BH</v>
          </cell>
        </row>
        <row r="44">
          <cell r="A44" t="str">
            <v>新加坡</v>
          </cell>
          <cell r="B44" t="str">
            <v>SG</v>
          </cell>
        </row>
        <row r="45">
          <cell r="A45" t="str">
            <v>澳大利亚</v>
          </cell>
          <cell r="B45" t="str">
            <v>AU</v>
          </cell>
        </row>
        <row r="46">
          <cell r="A46" t="str">
            <v>塞浦路斯</v>
          </cell>
          <cell r="B46" t="str">
            <v>CY</v>
          </cell>
        </row>
        <row r="47">
          <cell r="A47" t="str">
            <v>格鲁吉亚</v>
          </cell>
          <cell r="B47" t="str">
            <v>GE</v>
          </cell>
        </row>
        <row r="48">
          <cell r="A48" t="str">
            <v>阿曼苏丹国</v>
          </cell>
          <cell r="B48" t="str">
            <v>OM/QA</v>
          </cell>
        </row>
        <row r="49">
          <cell r="A49" t="str">
            <v>莫桑比克</v>
          </cell>
          <cell r="B49" t="str">
            <v>MZ</v>
          </cell>
        </row>
        <row r="50">
          <cell r="A50" t="str">
            <v>法罗群岛</v>
          </cell>
          <cell r="B50" t="str">
            <v>FO</v>
          </cell>
        </row>
        <row r="51">
          <cell r="A51" t="str">
            <v>毛里求斯</v>
          </cell>
          <cell r="B51" t="str">
            <v>MU</v>
          </cell>
        </row>
        <row r="52">
          <cell r="A52" t="str">
            <v>斯里兰卡</v>
          </cell>
          <cell r="B52" t="str">
            <v>LK</v>
          </cell>
        </row>
        <row r="53">
          <cell r="A53" t="str">
            <v>秘鲁</v>
          </cell>
          <cell r="B53" t="str">
            <v>PE</v>
          </cell>
        </row>
        <row r="54">
          <cell r="A54" t="str">
            <v>缅甸</v>
          </cell>
          <cell r="B54" t="str">
            <v>MM</v>
          </cell>
        </row>
        <row r="55">
          <cell r="A55" t="str">
            <v>索马里</v>
          </cell>
          <cell r="B55" t="str">
            <v>SO</v>
          </cell>
        </row>
        <row r="56">
          <cell r="A56" t="str">
            <v>摩洛哥</v>
          </cell>
          <cell r="B56" t="str">
            <v>MA</v>
          </cell>
        </row>
        <row r="57">
          <cell r="A57" t="str">
            <v>哥斯达黎加</v>
          </cell>
          <cell r="B57" t="str">
            <v>CR</v>
          </cell>
        </row>
        <row r="58">
          <cell r="A58" t="str">
            <v>菲律宾</v>
          </cell>
          <cell r="B58" t="str">
            <v>PH</v>
          </cell>
        </row>
        <row r="59">
          <cell r="A59" t="str">
            <v>马来西亚</v>
          </cell>
          <cell r="B59" t="str">
            <v>MY</v>
          </cell>
        </row>
        <row r="60">
          <cell r="A60" t="str">
            <v>巴基斯坦</v>
          </cell>
          <cell r="B60" t="str">
            <v>PK</v>
          </cell>
        </row>
        <row r="61">
          <cell r="A61" t="str">
            <v>南非</v>
          </cell>
          <cell r="B61" t="str">
            <v>ZA</v>
          </cell>
        </row>
        <row r="62">
          <cell r="A62" t="str">
            <v>伯利兹</v>
          </cell>
          <cell r="B62" t="str">
            <v>BZ</v>
          </cell>
        </row>
        <row r="63">
          <cell r="A63" t="str">
            <v>马耳他</v>
          </cell>
          <cell r="B63" t="str">
            <v>MAL</v>
          </cell>
        </row>
        <row r="64">
          <cell r="A64" t="str">
            <v>约旦</v>
          </cell>
          <cell r="B64" t="str">
            <v>JO</v>
          </cell>
        </row>
        <row r="65">
          <cell r="A65" t="str">
            <v>黎巴嫩</v>
          </cell>
          <cell r="B65" t="str">
            <v>IB</v>
          </cell>
        </row>
        <row r="66">
          <cell r="A66" t="str">
            <v>土耳其</v>
          </cell>
          <cell r="B66" t="str">
            <v>TR</v>
          </cell>
        </row>
        <row r="67">
          <cell r="A67" t="str">
            <v>巴西</v>
          </cell>
          <cell r="B67" t="str">
            <v>BR</v>
          </cell>
        </row>
        <row r="68">
          <cell r="A68" t="str">
            <v>韩国</v>
          </cell>
          <cell r="B68" t="str">
            <v>KR</v>
          </cell>
        </row>
        <row r="69">
          <cell r="A69" t="str">
            <v>尼日利亚</v>
          </cell>
          <cell r="B69" t="str">
            <v>NG</v>
          </cell>
        </row>
        <row r="70">
          <cell r="A70" t="str">
            <v>加纳</v>
          </cell>
          <cell r="B70" t="str">
            <v>GHA</v>
          </cell>
        </row>
        <row r="71">
          <cell r="A71" t="str">
            <v>乌干达</v>
          </cell>
          <cell r="B71" t="str">
            <v>uga</v>
          </cell>
        </row>
        <row r="72">
          <cell r="A72" t="str">
            <v>肯尼亚</v>
          </cell>
          <cell r="B72" t="str">
            <v>KE</v>
          </cell>
        </row>
        <row r="73">
          <cell r="A73" t="str">
            <v>坦桑尼亚</v>
          </cell>
          <cell r="B73" t="str">
            <v>TZ</v>
          </cell>
        </row>
        <row r="74">
          <cell r="A74" t="str">
            <v>卢旺达</v>
          </cell>
          <cell r="B74" t="str">
            <v>RWA</v>
          </cell>
        </row>
        <row r="75">
          <cell r="A75" t="str">
            <v>安哥拉</v>
          </cell>
          <cell r="B75" t="str">
            <v>AN</v>
          </cell>
        </row>
        <row r="76">
          <cell r="A76" t="str">
            <v>埃及</v>
          </cell>
          <cell r="B76" t="str">
            <v>EG</v>
          </cell>
        </row>
        <row r="77">
          <cell r="A77" t="str">
            <v>越南</v>
          </cell>
          <cell r="B77" t="str">
            <v>VN</v>
          </cell>
        </row>
        <row r="78">
          <cell r="A78" t="str">
            <v>智利</v>
          </cell>
          <cell r="B78" t="str">
            <v>CL</v>
          </cell>
        </row>
        <row r="79">
          <cell r="A79" t="str">
            <v>哥伦比亚</v>
          </cell>
          <cell r="B79" t="str">
            <v>CO</v>
          </cell>
        </row>
        <row r="80">
          <cell r="A80" t="str">
            <v>中国台湾</v>
          </cell>
          <cell r="B80" t="str">
            <v>TW</v>
          </cell>
        </row>
        <row r="81">
          <cell r="A81" t="str">
            <v>中国香港</v>
          </cell>
          <cell r="B81" t="str">
            <v>HK</v>
          </cell>
        </row>
        <row r="82">
          <cell r="A82" t="str">
            <v>印度</v>
          </cell>
          <cell r="B82" t="str">
            <v>IN</v>
          </cell>
        </row>
        <row r="83">
          <cell r="A83" t="str">
            <v>乌克兰</v>
          </cell>
          <cell r="B83" t="str">
            <v>UA</v>
          </cell>
        </row>
        <row r="84">
          <cell r="A84" t="str">
            <v>波多黎各</v>
          </cell>
          <cell r="B84" t="str">
            <v>PR</v>
          </cell>
        </row>
        <row r="85">
          <cell r="A85" t="str">
            <v>阿曼</v>
          </cell>
          <cell r="B85" t="str">
            <v>OM/QA</v>
          </cell>
        </row>
        <row r="86">
          <cell r="A86" t="str">
            <v>阿联酋</v>
          </cell>
          <cell r="B86" t="str">
            <v>UAE</v>
          </cell>
        </row>
        <row r="87">
          <cell r="A87" t="str">
            <v>哈萨克斯坦</v>
          </cell>
          <cell r="B87" t="str">
            <v>KZ</v>
          </cell>
        </row>
        <row r="88">
          <cell r="A88" t="str">
            <v>印度尼西亚</v>
          </cell>
          <cell r="B88" t="str">
            <v>ID</v>
          </cell>
        </row>
        <row r="89">
          <cell r="A89" t="str">
            <v>阿尔巴尼亚</v>
          </cell>
          <cell r="B89" t="str">
            <v>AL</v>
          </cell>
        </row>
        <row r="90">
          <cell r="A90" t="str">
            <v>阿尔及利亚</v>
          </cell>
          <cell r="B90" t="str">
            <v>DZ</v>
          </cell>
        </row>
        <row r="91">
          <cell r="A91" t="str">
            <v>阿根廷</v>
          </cell>
          <cell r="B91" t="str">
            <v>AR</v>
          </cell>
        </row>
        <row r="92">
          <cell r="A92" t="str">
            <v>阿塞拜疆</v>
          </cell>
          <cell r="B92" t="str">
            <v>AZ</v>
          </cell>
        </row>
        <row r="93">
          <cell r="A93" t="str">
            <v>巴哈马</v>
          </cell>
          <cell r="B93" t="str">
            <v>BS</v>
          </cell>
        </row>
        <row r="94">
          <cell r="A94" t="str">
            <v>孟加拉国</v>
          </cell>
          <cell r="B94" t="str">
            <v>BD</v>
          </cell>
        </row>
        <row r="95">
          <cell r="A95" t="str">
            <v>不丹</v>
          </cell>
          <cell r="B95" t="str">
            <v>BT</v>
          </cell>
        </row>
        <row r="96">
          <cell r="A96" t="str">
            <v>博茨瓦纳</v>
          </cell>
          <cell r="B96" t="str">
            <v>BW</v>
          </cell>
        </row>
        <row r="97">
          <cell r="A97" t="str">
            <v>文莱</v>
          </cell>
          <cell r="B97" t="str">
            <v>BN</v>
          </cell>
        </row>
        <row r="98">
          <cell r="A98" t="str">
            <v>布隆迪</v>
          </cell>
          <cell r="B98" t="str">
            <v>BI</v>
          </cell>
        </row>
        <row r="99">
          <cell r="A99" t="str">
            <v>柬埔寨</v>
          </cell>
          <cell r="B99" t="str">
            <v>KH</v>
          </cell>
        </row>
        <row r="100">
          <cell r="A100" t="str">
            <v>科特迪瓦</v>
          </cell>
          <cell r="B100" t="str">
            <v>CI</v>
          </cell>
        </row>
        <row r="101">
          <cell r="A101" t="str">
            <v>厄瓜多尔</v>
          </cell>
          <cell r="B101" t="str">
            <v>EC</v>
          </cell>
        </row>
        <row r="102">
          <cell r="A102" t="str">
            <v>萨尔瓦多</v>
          </cell>
          <cell r="B102" t="str">
            <v>SV</v>
          </cell>
        </row>
        <row r="103">
          <cell r="A103" t="str">
            <v>埃塞俄比亚</v>
          </cell>
          <cell r="B103" t="str">
            <v>ET</v>
          </cell>
        </row>
        <row r="104">
          <cell r="A104" t="str">
            <v>格林纳达</v>
          </cell>
          <cell r="B104" t="str">
            <v>GD</v>
          </cell>
        </row>
        <row r="105">
          <cell r="A105" t="str">
            <v>危地马拉</v>
          </cell>
          <cell r="B105" t="str">
            <v>GT</v>
          </cell>
        </row>
        <row r="106">
          <cell r="A106" t="str">
            <v>几内亚</v>
          </cell>
          <cell r="B106" t="str">
            <v>GN</v>
          </cell>
        </row>
        <row r="107">
          <cell r="A107" t="str">
            <v>海地</v>
          </cell>
          <cell r="B107" t="str">
            <v>HT</v>
          </cell>
        </row>
        <row r="108">
          <cell r="A108" t="str">
            <v>冰岛</v>
          </cell>
          <cell r="B108" t="str">
            <v>IS</v>
          </cell>
        </row>
        <row r="109">
          <cell r="A109" t="str">
            <v>伊朗</v>
          </cell>
          <cell r="B109" t="str">
            <v>IR</v>
          </cell>
        </row>
        <row r="110">
          <cell r="A110" t="str">
            <v>伊拉克</v>
          </cell>
          <cell r="B110" t="str">
            <v>IQ</v>
          </cell>
        </row>
        <row r="111">
          <cell r="A111" t="str">
            <v>吉尔吉斯斯坦</v>
          </cell>
          <cell r="B111" t="str">
            <v>KG</v>
          </cell>
        </row>
        <row r="112">
          <cell r="A112" t="str">
            <v>老挝</v>
          </cell>
          <cell r="B112" t="str">
            <v>LA</v>
          </cell>
        </row>
        <row r="113">
          <cell r="A113" t="str">
            <v>马达加斯加</v>
          </cell>
          <cell r="B113" t="str">
            <v>MG</v>
          </cell>
        </row>
        <row r="114">
          <cell r="A114" t="str">
            <v>马尔代夫</v>
          </cell>
          <cell r="B114" t="str">
            <v>MV</v>
          </cell>
        </row>
        <row r="115">
          <cell r="A115" t="str">
            <v>马里</v>
          </cell>
          <cell r="B115" t="str">
            <v>ML</v>
          </cell>
        </row>
        <row r="116">
          <cell r="A116" t="str">
            <v>毛里塔尼亚</v>
          </cell>
          <cell r="B116" t="str">
            <v>MR</v>
          </cell>
        </row>
        <row r="117">
          <cell r="A117" t="str">
            <v>摩尔多瓦</v>
          </cell>
          <cell r="B117" t="str">
            <v>MD</v>
          </cell>
        </row>
        <row r="118">
          <cell r="A118" t="str">
            <v>蒙古</v>
          </cell>
          <cell r="B118" t="str">
            <v>MN</v>
          </cell>
        </row>
        <row r="119">
          <cell r="A119" t="str">
            <v>尼泊尔</v>
          </cell>
          <cell r="B119" t="str">
            <v>NP</v>
          </cell>
        </row>
        <row r="120">
          <cell r="A120" t="str">
            <v>尼日尔</v>
          </cell>
          <cell r="B120" t="str">
            <v>NE</v>
          </cell>
        </row>
        <row r="121">
          <cell r="A121" t="str">
            <v>巴拿马</v>
          </cell>
          <cell r="B121" t="str">
            <v>PA</v>
          </cell>
        </row>
        <row r="122">
          <cell r="A122" t="str">
            <v>圣卢西亚</v>
          </cell>
          <cell r="B122" t="str">
            <v>LC</v>
          </cell>
        </row>
        <row r="123">
          <cell r="A123" t="str">
            <v>圣文森特和格林纳丁斯</v>
          </cell>
          <cell r="B123" t="str">
            <v>VC</v>
          </cell>
        </row>
        <row r="124">
          <cell r="A124" t="str">
            <v>美属萨摩亚</v>
          </cell>
          <cell r="B124" t="str">
            <v>AS</v>
          </cell>
        </row>
        <row r="125">
          <cell r="A125" t="str">
            <v>塞内加尔</v>
          </cell>
          <cell r="B125" t="str">
            <v>SN</v>
          </cell>
        </row>
        <row r="126">
          <cell r="A126" t="str">
            <v>塞尔维亚</v>
          </cell>
          <cell r="B126" t="str">
            <v>RS</v>
          </cell>
        </row>
        <row r="127">
          <cell r="A127" t="str">
            <v>塔吉克斯坦</v>
          </cell>
          <cell r="B127" t="str">
            <v>TJ</v>
          </cell>
        </row>
        <row r="128">
          <cell r="A128" t="str">
            <v>汤加</v>
          </cell>
          <cell r="B128" t="str">
            <v>TO</v>
          </cell>
        </row>
        <row r="129">
          <cell r="A129" t="str">
            <v>突尼斯</v>
          </cell>
          <cell r="B129" t="str">
            <v>TN</v>
          </cell>
        </row>
        <row r="130">
          <cell r="A130" t="str">
            <v>土库曼斯坦</v>
          </cell>
          <cell r="B130" t="str">
            <v>TM</v>
          </cell>
        </row>
        <row r="131">
          <cell r="A131" t="str">
            <v>特克斯和凯科斯群岛</v>
          </cell>
          <cell r="B131" t="str">
            <v>TC</v>
          </cell>
        </row>
        <row r="132">
          <cell r="A132" t="str">
            <v>图瓦卢</v>
          </cell>
          <cell r="B132" t="str">
            <v>TV</v>
          </cell>
        </row>
        <row r="133">
          <cell r="A133" t="str">
            <v>乌拉圭</v>
          </cell>
          <cell r="B133" t="str">
            <v>UY</v>
          </cell>
        </row>
        <row r="134">
          <cell r="A134" t="str">
            <v>乌兹别克斯坦</v>
          </cell>
          <cell r="B134" t="str">
            <v>UZ</v>
          </cell>
        </row>
        <row r="135">
          <cell r="A135" t="str">
            <v>赞比亚</v>
          </cell>
          <cell r="B135" t="str">
            <v>ZM</v>
          </cell>
        </row>
        <row r="136">
          <cell r="A136" t="str">
            <v>津巴布韦</v>
          </cell>
          <cell r="B136" t="str">
            <v>ZW</v>
          </cell>
        </row>
        <row r="137">
          <cell r="A137" t="str">
            <v>留尼汪</v>
          </cell>
          <cell r="B137" t="str">
            <v>RE</v>
          </cell>
        </row>
        <row r="138">
          <cell r="A138" t="str">
            <v>安提瓜和巴布达</v>
          </cell>
          <cell r="B138" t="str">
            <v>AG</v>
          </cell>
        </row>
        <row r="139">
          <cell r="A139" t="str">
            <v>安圭拉</v>
          </cell>
          <cell r="B139" t="str">
            <v>AI</v>
          </cell>
        </row>
        <row r="140">
          <cell r="A140" t="str">
            <v>波黑</v>
          </cell>
          <cell r="B140" t="str">
            <v>BA</v>
          </cell>
        </row>
        <row r="141">
          <cell r="A141" t="str">
            <v>库拉索岛</v>
          </cell>
          <cell r="B141" t="str">
            <v>CW</v>
          </cell>
        </row>
        <row r="142">
          <cell r="A142" t="str">
            <v>厄立特里亚</v>
          </cell>
          <cell r="B142" t="str">
            <v>ER</v>
          </cell>
        </row>
        <row r="143">
          <cell r="A143" t="str">
            <v>法属圭亚那</v>
          </cell>
          <cell r="B143" t="str">
            <v>GF</v>
          </cell>
        </row>
        <row r="144">
          <cell r="A144" t="str">
            <v>冈比亚</v>
          </cell>
          <cell r="B144" t="str">
            <v>GM</v>
          </cell>
        </row>
        <row r="145">
          <cell r="A145" t="str">
            <v>几内亚比绍</v>
          </cell>
          <cell r="B145" t="str">
            <v>GW</v>
          </cell>
        </row>
        <row r="146">
          <cell r="A146" t="str">
            <v>圭亚那</v>
          </cell>
          <cell r="B146" t="str">
            <v>GY</v>
          </cell>
        </row>
        <row r="147">
          <cell r="A147" t="str">
            <v>泽西岛</v>
          </cell>
          <cell r="B147" t="str">
            <v>JE</v>
          </cell>
        </row>
        <row r="148">
          <cell r="A148" t="str">
            <v>科摩罗</v>
          </cell>
          <cell r="B148" t="str">
            <v>KM</v>
          </cell>
        </row>
        <row r="149">
          <cell r="A149" t="str">
            <v>黑山</v>
          </cell>
          <cell r="B149" t="str">
            <v>ME</v>
          </cell>
        </row>
        <row r="150">
          <cell r="A150" t="str">
            <v>马其顿</v>
          </cell>
          <cell r="B150" t="str">
            <v>MK</v>
          </cell>
        </row>
        <row r="151">
          <cell r="A151" t="str">
            <v>马拉维</v>
          </cell>
          <cell r="B151" t="str">
            <v>MW</v>
          </cell>
        </row>
        <row r="152">
          <cell r="A152" t="str">
            <v>巴布亚新几内亚</v>
          </cell>
          <cell r="B152" t="str">
            <v>PG</v>
          </cell>
        </row>
        <row r="153">
          <cell r="A153" t="str">
            <v>南苏丹</v>
          </cell>
          <cell r="B153" t="str">
            <v>SS</v>
          </cell>
        </row>
        <row r="154">
          <cell r="A154" t="str">
            <v>阿鲁巴</v>
          </cell>
          <cell r="B154" t="str">
            <v>AW</v>
          </cell>
        </row>
        <row r="155">
          <cell r="A155" t="str">
            <v>布基纳法索</v>
          </cell>
          <cell r="B155" t="str">
            <v>BF</v>
          </cell>
        </row>
        <row r="156">
          <cell r="A156" t="str">
            <v>贝宁</v>
          </cell>
          <cell r="B156" t="str">
            <v>BJ</v>
          </cell>
        </row>
        <row r="157">
          <cell r="A157" t="str">
            <v>刚果（金）</v>
          </cell>
          <cell r="B157" t="str">
            <v>CD</v>
          </cell>
        </row>
        <row r="158">
          <cell r="A158" t="str">
            <v>刚果（布）</v>
          </cell>
          <cell r="B158" t="str">
            <v>CG</v>
          </cell>
        </row>
        <row r="159">
          <cell r="A159" t="str">
            <v>库克群岛</v>
          </cell>
          <cell r="B159" t="str">
            <v>CK</v>
          </cell>
        </row>
        <row r="160">
          <cell r="A160" t="str">
            <v>喀麦隆</v>
          </cell>
          <cell r="B160" t="str">
            <v>CM</v>
          </cell>
        </row>
        <row r="161">
          <cell r="A161" t="str">
            <v>古巴</v>
          </cell>
          <cell r="B161" t="str">
            <v>CU</v>
          </cell>
        </row>
        <row r="162">
          <cell r="A162" t="str">
            <v>吉布提</v>
          </cell>
          <cell r="B162" t="str">
            <v>DJ</v>
          </cell>
        </row>
        <row r="163">
          <cell r="A163" t="str">
            <v>多米尼克</v>
          </cell>
          <cell r="B163" t="str">
            <v>DM</v>
          </cell>
        </row>
        <row r="164">
          <cell r="A164" t="str">
            <v>加蓬</v>
          </cell>
          <cell r="B164" t="str">
            <v>GA</v>
          </cell>
        </row>
        <row r="165">
          <cell r="A165" t="str">
            <v>直布罗陀</v>
          </cell>
          <cell r="B165" t="str">
            <v>GI</v>
          </cell>
        </row>
        <row r="166">
          <cell r="A166" t="str">
            <v>格陵兰</v>
          </cell>
          <cell r="B166" t="str">
            <v>GL</v>
          </cell>
        </row>
        <row r="167">
          <cell r="A167" t="str">
            <v>赤道几内亚</v>
          </cell>
          <cell r="B167" t="str">
            <v>GQ</v>
          </cell>
        </row>
        <row r="168">
          <cell r="A168" t="str">
            <v>马恩岛</v>
          </cell>
          <cell r="B168" t="str">
            <v>IM</v>
          </cell>
        </row>
        <row r="169">
          <cell r="A169" t="str">
            <v>基里巴斯</v>
          </cell>
          <cell r="B169" t="str">
            <v>KI</v>
          </cell>
        </row>
        <row r="170">
          <cell r="A170" t="str">
            <v>圣基茨和尼维斯</v>
          </cell>
          <cell r="B170" t="str">
            <v>KN</v>
          </cell>
        </row>
        <row r="171">
          <cell r="A171" t="str">
            <v>纳米比亚</v>
          </cell>
          <cell r="B171" t="str">
            <v>NA</v>
          </cell>
        </row>
        <row r="172">
          <cell r="A172" t="str">
            <v>瑙鲁</v>
          </cell>
          <cell r="B172" t="str">
            <v>NR</v>
          </cell>
        </row>
        <row r="173">
          <cell r="A173" t="str">
            <v>法属波利尼西亚</v>
          </cell>
          <cell r="B173" t="str">
            <v>PF</v>
          </cell>
        </row>
        <row r="174">
          <cell r="A174" t="str">
            <v>塞舌尔</v>
          </cell>
          <cell r="B174" t="str">
            <v>SC</v>
          </cell>
        </row>
        <row r="175">
          <cell r="A175" t="str">
            <v>苏丹</v>
          </cell>
          <cell r="B175" t="str">
            <v>SD</v>
          </cell>
        </row>
        <row r="176">
          <cell r="A176" t="str">
            <v>塞拉利昂</v>
          </cell>
          <cell r="B176" t="str">
            <v>SL</v>
          </cell>
        </row>
        <row r="177">
          <cell r="A177" t="str">
            <v>苏里南</v>
          </cell>
          <cell r="B177" t="str">
            <v>SR</v>
          </cell>
        </row>
        <row r="178">
          <cell r="A178" t="str">
            <v>圣多美和普林西比</v>
          </cell>
          <cell r="B178" t="str">
            <v>ST</v>
          </cell>
        </row>
        <row r="179">
          <cell r="A179" t="str">
            <v>乍得</v>
          </cell>
          <cell r="B179" t="str">
            <v>TD</v>
          </cell>
        </row>
        <row r="180">
          <cell r="A180" t="str">
            <v>多哥</v>
          </cell>
          <cell r="B180" t="str">
            <v>TG</v>
          </cell>
        </row>
        <row r="181">
          <cell r="A181" t="str">
            <v>东帝汶</v>
          </cell>
          <cell r="B181" t="str">
            <v>TL</v>
          </cell>
        </row>
        <row r="182">
          <cell r="A182" t="str">
            <v>萨摩亚</v>
          </cell>
          <cell r="B182" t="str">
            <v>WS</v>
          </cell>
        </row>
        <row r="183">
          <cell r="A183" t="str">
            <v>阿富汗</v>
          </cell>
          <cell r="B183" t="str">
            <v>AF</v>
          </cell>
        </row>
        <row r="184">
          <cell r="A184" t="str">
            <v>亚美尼亚</v>
          </cell>
          <cell r="B184" t="str">
            <v>AM</v>
          </cell>
        </row>
        <row r="185">
          <cell r="A185" t="str">
            <v>巴巴多斯</v>
          </cell>
          <cell r="B185" t="str">
            <v>BB</v>
          </cell>
        </row>
        <row r="186">
          <cell r="A186" t="str">
            <v>白俄罗斯</v>
          </cell>
          <cell r="B186" t="str">
            <v>BY</v>
          </cell>
        </row>
        <row r="187">
          <cell r="A187" t="str">
            <v>百慕大</v>
          </cell>
          <cell r="B187" t="str">
            <v>BM</v>
          </cell>
        </row>
        <row r="188">
          <cell r="A188" t="str">
            <v>玻利维亚</v>
          </cell>
          <cell r="B188" t="str">
            <v>BO</v>
          </cell>
        </row>
        <row r="189">
          <cell r="A189" t="str">
            <v>佛得角</v>
          </cell>
          <cell r="B189" t="str">
            <v>CV</v>
          </cell>
        </row>
        <row r="190">
          <cell r="A190" t="str">
            <v>荷兰加勒比区</v>
          </cell>
          <cell r="B190" t="str">
            <v>BQ</v>
          </cell>
        </row>
        <row r="191">
          <cell r="A191" t="str">
            <v>开曼群岛</v>
          </cell>
          <cell r="B191" t="str">
            <v>KY</v>
          </cell>
        </row>
        <row r="192">
          <cell r="A192" t="str">
            <v>中非</v>
          </cell>
          <cell r="B192" t="str">
            <v>CF</v>
          </cell>
        </row>
        <row r="193">
          <cell r="A193" t="str">
            <v>朝鲜</v>
          </cell>
          <cell r="B193" t="str">
            <v>KP</v>
          </cell>
        </row>
        <row r="194">
          <cell r="A194" t="str">
            <v>多米尼加共和国</v>
          </cell>
          <cell r="B194" t="str">
            <v>DO</v>
          </cell>
        </row>
        <row r="195">
          <cell r="A195" t="str">
            <v>福克兰群岛</v>
          </cell>
          <cell r="B195" t="str">
            <v>FK</v>
          </cell>
        </row>
        <row r="196">
          <cell r="A196" t="str">
            <v>洪都拉斯</v>
          </cell>
          <cell r="B196" t="str">
            <v>HN</v>
          </cell>
        </row>
        <row r="197">
          <cell r="A197" t="str">
            <v>牙买加</v>
          </cell>
          <cell r="B197" t="str">
            <v>JM</v>
          </cell>
        </row>
        <row r="198">
          <cell r="A198" t="str">
            <v>莱索托</v>
          </cell>
          <cell r="B198" t="str">
            <v>LS</v>
          </cell>
        </row>
        <row r="199">
          <cell r="A199" t="str">
            <v>利比里亚</v>
          </cell>
          <cell r="B199" t="str">
            <v>LR</v>
          </cell>
        </row>
        <row r="200">
          <cell r="A200" t="str">
            <v>列支敦士登</v>
          </cell>
          <cell r="B200" t="str">
            <v>LI</v>
          </cell>
        </row>
        <row r="201">
          <cell r="A201" t="str">
            <v>摩纳哥</v>
          </cell>
          <cell r="B201" t="str">
            <v>MC</v>
          </cell>
        </row>
        <row r="202">
          <cell r="A202" t="str">
            <v>新喀里多尼亚</v>
          </cell>
          <cell r="B202" t="str">
            <v>NC</v>
          </cell>
        </row>
        <row r="203">
          <cell r="A203" t="str">
            <v>尼加拉瓜</v>
          </cell>
          <cell r="B203" t="str">
            <v>NI</v>
          </cell>
        </row>
        <row r="204">
          <cell r="A204" t="str">
            <v>巴勒斯坦</v>
          </cell>
          <cell r="B204" t="str">
            <v>PS</v>
          </cell>
        </row>
        <row r="205">
          <cell r="A205" t="str">
            <v>巴拉圭</v>
          </cell>
          <cell r="B205" t="str">
            <v>PY</v>
          </cell>
        </row>
        <row r="206">
          <cell r="A206" t="str">
            <v>圣马力诺</v>
          </cell>
          <cell r="B206" t="str">
            <v>SM</v>
          </cell>
        </row>
        <row r="207">
          <cell r="A207" t="str">
            <v>圣马丁</v>
          </cell>
          <cell r="B207" t="str">
            <v>MF</v>
          </cell>
        </row>
        <row r="208">
          <cell r="A208" t="str">
            <v>利比亚</v>
          </cell>
          <cell r="B208" t="str">
            <v>LY</v>
          </cell>
        </row>
        <row r="209">
          <cell r="A209" t="str">
            <v>托克劳</v>
          </cell>
          <cell r="B209" t="str">
            <v>TK</v>
          </cell>
        </row>
        <row r="210">
          <cell r="A210" t="str">
            <v>特立尼达和多巴哥</v>
          </cell>
          <cell r="B210" t="str">
            <v>TT</v>
          </cell>
        </row>
        <row r="211">
          <cell r="A211" t="str">
            <v>瓦努阿图</v>
          </cell>
          <cell r="B211" t="str">
            <v>VU</v>
          </cell>
        </row>
        <row r="212">
          <cell r="A212" t="str">
            <v>委内瑞拉</v>
          </cell>
          <cell r="B212" t="str">
            <v>VE</v>
          </cell>
        </row>
        <row r="213">
          <cell r="A213" t="str">
            <v>瓦利斯和富图纳</v>
          </cell>
          <cell r="B213" t="str">
            <v>WF</v>
          </cell>
        </row>
        <row r="214">
          <cell r="A214" t="str">
            <v>安道尔</v>
          </cell>
          <cell r="B214" t="str">
            <v>AD</v>
          </cell>
        </row>
        <row r="215">
          <cell r="A215" t="str">
            <v>北马里亚纳群岛</v>
          </cell>
          <cell r="B215" t="str">
            <v>MP</v>
          </cell>
        </row>
        <row r="216">
          <cell r="A216" t="str">
            <v>马绍尔群岛</v>
          </cell>
          <cell r="B216" t="str">
            <v>MH</v>
          </cell>
        </row>
        <row r="217">
          <cell r="A217" t="str">
            <v>马提尼克</v>
          </cell>
          <cell r="B217" t="str">
            <v>MQ</v>
          </cell>
        </row>
        <row r="218">
          <cell r="A218" t="str">
            <v>圣皮埃尔和密克隆</v>
          </cell>
          <cell r="B218" t="str">
            <v>PM</v>
          </cell>
        </row>
        <row r="219">
          <cell r="A219" t="str">
            <v>美属维尔京群岛</v>
          </cell>
          <cell r="B219" t="str">
            <v>VI</v>
          </cell>
        </row>
        <row r="220">
          <cell r="A220" t="str">
            <v>格恩西岛</v>
          </cell>
          <cell r="B220" t="str">
            <v>GG</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9" Type="http://schemas.openxmlformats.org/officeDocument/2006/relationships/hyperlink" Target="https://detail.1688.com/offer/940558935118.html?spm=a26352.b28411319.offerlist.1.6a001e620BDgLt" TargetMode="External"/><Relationship Id="rId8" Type="http://schemas.openxmlformats.org/officeDocument/2006/relationships/hyperlink" Target="https://lettucepets.com/products/pet-skin-treatment-spray-for-fungal-bacterial-infections?fbclid=IwY2xjawLPJKZleHRuA2FlbQIxMABicmlkETFJSU9yaTNBWEpjMkJpOXYxAR4shII-NJrs6eU9LWfVqSfPIsAB3IHewhA5WNMVKYeYQhsg0Q3816RR9wV9bw_aem_Nu3h6lEgB8GK2w8WlMLxrQ&amp;variant=51233243562268" TargetMode="External"/><Relationship Id="rId7" Type="http://schemas.openxmlformats.org/officeDocument/2006/relationships/hyperlink" Target="https://detail.1688.com/offer/879429116969.html?spm=a26352.b28411319.offerlist.214.6ac71e627r4aTM" TargetMode="External"/><Relationship Id="rId6" Type="http://schemas.openxmlformats.org/officeDocument/2006/relationships/hyperlink" Target="https://cendura.de/products/safemag-auto-telefonhalterung-letzter-tag-rabatt?_pos=1&amp;_sid=8f51d7273&amp;_ss=r%3Fvariant%3D55375716974970&amp;variant=55375716974970" TargetMode="External"/><Relationship Id="rId5" Type="http://schemas.openxmlformats.org/officeDocument/2006/relationships/hyperlink" Target="https://detail.1688.com/offer/910982119982.html?spm=a26352.b28411319.offerlist.1.6b2d1e62zrDVua" TargetMode="External"/><Relationship Id="rId45" Type="http://schemas.openxmlformats.org/officeDocument/2006/relationships/hyperlink" Target="https://detail.1688.com/offer/891013940553.html?spm=a26352.b28411319.offerlist.6.34a71e62suWeyE" TargetMode="External"/><Relationship Id="rId44" Type="http://schemas.openxmlformats.org/officeDocument/2006/relationships/hyperlink" Target="https://cendura.de/products/gleam1?variant=55362353299834" TargetMode="External"/><Relationship Id="rId43" Type="http://schemas.openxmlformats.org/officeDocument/2006/relationships/hyperlink" Target="https://detail.1688.com/offer/772677466543.html?spm=a26352.b28411319.offerlist.7.63db1e62fpP9aQ" TargetMode="External"/><Relationship Id="rId42" Type="http://schemas.openxmlformats.org/officeDocument/2006/relationships/hyperlink" Target="https://lorano-firenze.com/collections/sandali-eleganti/products/sophie-sandali-eleganti" TargetMode="External"/><Relationship Id="rId41" Type="http://schemas.openxmlformats.org/officeDocument/2006/relationships/hyperlink" Target="https://detail.1688.com/offer/925284637144.html?spm=a26352.b28411319.offerlist.120.753b1e62tTEt5h" TargetMode="External"/><Relationship Id="rId40" Type="http://schemas.openxmlformats.org/officeDocument/2006/relationships/hyperlink" Target="https://detail.1688.com/offer/899842547767.html?spm=a26352.b28411319.offerlist.12.68791e62irjsFT" TargetMode="External"/><Relationship Id="rId4" Type="http://schemas.openxmlformats.org/officeDocument/2006/relationships/hyperlink" Target="https://resilia.shop/collections/best-sellers/products/resilia%E2%84%A2-oil-of-oregano-softgels" TargetMode="External"/><Relationship Id="rId39" Type="http://schemas.openxmlformats.org/officeDocument/2006/relationships/hyperlink" Target="https://detail.1688.com/offer/820489605443.html?spm=a26352.b28411319.offerlist.1.3be81e62ZNlZwd" TargetMode="External"/><Relationship Id="rId38" Type="http://schemas.openxmlformats.org/officeDocument/2006/relationships/hyperlink" Target="https://try-nova.de/products/velostep?variant=52100624089421" TargetMode="External"/><Relationship Id="rId37" Type="http://schemas.openxmlformats.org/officeDocument/2006/relationships/hyperlink" Target="https://detail.1688.com/offer/943414252843.html" TargetMode="External"/><Relationship Id="rId36" Type="http://schemas.openxmlformats.org/officeDocument/2006/relationships/hyperlink" Target="https://detail.1688.com/offer/843271744153.html?spm=a26352.b28411319.offerlist.6.47681e623mtfjC" TargetMode="External"/><Relationship Id="rId35" Type="http://schemas.openxmlformats.org/officeDocument/2006/relationships/hyperlink" Target="https://detail.1688.com/offer/899875437113.html?spm=a26352.b28411319.offerlist.1.3c861e622Pyivy" TargetMode="External"/><Relationship Id="rId34" Type="http://schemas.openxmlformats.org/officeDocument/2006/relationships/hyperlink" Target="https://detail.1688.com/offer/931244039185.html" TargetMode="External"/><Relationship Id="rId33" Type="http://schemas.openxmlformats.org/officeDocument/2006/relationships/hyperlink" Target="https://detail.1688.com/offer/932694172151.html?spm=a26352.b28411319.offerlist.11.9e781e62pZe3it" TargetMode="External"/><Relationship Id="rId32" Type="http://schemas.openxmlformats.org/officeDocument/2006/relationships/hyperlink" Target="https://lettucepets.com/products/waterproof-chemical-free-tick-repellent-tag?variant=52225679393052" TargetMode="External"/><Relationship Id="rId31" Type="http://schemas.openxmlformats.org/officeDocument/2006/relationships/hyperlink" Target="https://detail.1688.com/offer/918240739048.html?spm=a26352.b28411319.offerlist.1.aa0e1e62scZKa7" TargetMode="External"/><Relationship Id="rId30" Type="http://schemas.openxmlformats.org/officeDocument/2006/relationships/hyperlink" Target="https://detail.1688.com/offer/675776595713.html?spm=a262eq.8274978.im_chat_detail.pc_zdfw_v1" TargetMode="External"/><Relationship Id="rId3" Type="http://schemas.openxmlformats.org/officeDocument/2006/relationships/hyperlink" Target="https://detail.1688.com/offer/667310265863.html?spm=a26352.b28411319.offerlist.16.1e291e62ZadNuJ" TargetMode="External"/><Relationship Id="rId29" Type="http://schemas.openxmlformats.org/officeDocument/2006/relationships/hyperlink" Target="https://detail.1688.com/offer/913290493193.html?spm=a26352.b28411319.offerlist.5.7e6c1e62jRJITo" TargetMode="External"/><Relationship Id="rId28" Type="http://schemas.openxmlformats.org/officeDocument/2006/relationships/hyperlink" Target="https://detail.1688.com/offer/927985422229.html?spm=a26352.b28411319.offerlist.7.423b1e627oNdbV" TargetMode="External"/><Relationship Id="rId27" Type="http://schemas.openxmlformats.org/officeDocument/2006/relationships/hyperlink" Target="https://www.alibaba.com/product-detail/Manufacturer-OEM-apple-Cider-Vinegar-Slimming_1601242189552.html?spm=a2700.galleryofferlist.normal_offer.d_image.177f13a01ylBFX" TargetMode="External"/><Relationship Id="rId26" Type="http://schemas.openxmlformats.org/officeDocument/2006/relationships/hyperlink" Target="https://www.alibaba.com/product-detail/Sea-Moss-Black-Seed-Oil-Ashwagandha_1601338096781.html?spm=a2700.galleryofferlist.normal_offer.d_image.2f2513a0BNBPUc" TargetMode="External"/><Relationship Id="rId25" Type="http://schemas.openxmlformats.org/officeDocument/2006/relationships/hyperlink" Target="https://www.alibaba.com/product-detail/Kangmao-OEM-Private-Label-Vegan-Supplements_1601149654630.html?spm=a2700.galleryofferlist.normal_offer.d_image.468413a0BaKGVe" TargetMode="External"/><Relationship Id="rId24" Type="http://schemas.openxmlformats.org/officeDocument/2006/relationships/hyperlink" Target="https://detail.1688.com/offer/784675028700.html?spm=a26352.28064800.offerlist.2.3c751e62aifkyc&amp;cosite=baidujj_pz&amp;tracelog=p4p&amp;_p_isad=1&amp;clickid=5221096e5ce7436486ae3c7d08a7e351&amp;sessionid=0553a9ede33dd86d6bca5c03b60c2bac" TargetMode="External"/><Relationship Id="rId23" Type="http://schemas.openxmlformats.org/officeDocument/2006/relationships/hyperlink" Target="https://detail.1688.com/offer/889124523217.html?spm=a26352.b28411319.offerlist.6.31bb1e62PK4Os4" TargetMode="External"/><Relationship Id="rId22" Type="http://schemas.openxmlformats.org/officeDocument/2006/relationships/hyperlink" Target="https://detail.1688.com/offer/714870842310.html?spm=a26352.b28411319.offerlist.59.37ab1e62MooZsH" TargetMode="External"/><Relationship Id="rId21" Type="http://schemas.openxmlformats.org/officeDocument/2006/relationships/hyperlink" Target="https://detail.1688.com/offer/735561815074.html?spm=a26352.b28411319.offerlist.11.37ab1e62MooZsH" TargetMode="External"/><Relationship Id="rId20" Type="http://schemas.openxmlformats.org/officeDocument/2006/relationships/hyperlink" Target="https://shopellox.com/products/portable-nebulizer?variant=46313676800166" TargetMode="External"/><Relationship Id="rId2" Type="http://schemas.openxmlformats.org/officeDocument/2006/relationships/vmlDrawing" Target="../drawings/vmlDrawing1.vml"/><Relationship Id="rId19" Type="http://schemas.openxmlformats.org/officeDocument/2006/relationships/hyperlink" Target="https://detail.1688.com/offer/937488344684.html?spm=a26352.b28411319.offerlist.1.6def1e62XODgUF" TargetMode="External"/><Relationship Id="rId18" Type="http://schemas.openxmlformats.org/officeDocument/2006/relationships/hyperlink" Target="https://luminoteeth.com/products/bundle" TargetMode="External"/><Relationship Id="rId17" Type="http://schemas.openxmlformats.org/officeDocument/2006/relationships/hyperlink" Target="https://detail.1688.com/offer/836079571684.html?spm=a262eq.8274978.im_chat_detail.pc_zdfw_v1" TargetMode="External"/><Relationship Id="rId16" Type="http://schemas.openxmlformats.org/officeDocument/2006/relationships/hyperlink" Target="https://buylarine.com/products/larineco%E2%84%A2%EF%B8%8F-remineralizing-gum-copy" TargetMode="External"/><Relationship Id="rId15" Type="http://schemas.openxmlformats.org/officeDocument/2006/relationships/hyperlink" Target="https://detail.1688.com/offer/773653551668.html?spm=a26352.b28411319.offerlist.7.2e401e62WHncqZ" TargetMode="External"/><Relationship Id="rId14" Type="http://schemas.openxmlformats.org/officeDocument/2006/relationships/hyperlink" Target="https://sofiakobenhavn.dk/products/sofia-midi-kjole?variant=51790068646155" TargetMode="External"/><Relationship Id="rId13" Type="http://schemas.openxmlformats.org/officeDocument/2006/relationships/hyperlink" Target="https://detail.1688.com/offer/901924596865.html?spm=a26352.b28411319.offerlist.57.4ccb1e625tdpoO" TargetMode="External"/><Relationship Id="rId12" Type="http://schemas.openxmlformats.org/officeDocument/2006/relationships/hyperlink" Target="https://navanisupps.com/products/droplets" TargetMode="External"/><Relationship Id="rId11" Type="http://schemas.openxmlformats.org/officeDocument/2006/relationships/hyperlink" Target="https://detail.1688.com/offer/937927916764.html?spm=a26352.b28411319.offerlist.1.3da51e62IS8wCp" TargetMode="External"/><Relationship Id="rId10" Type="http://schemas.openxmlformats.org/officeDocument/2006/relationships/hyperlink" Target="https://www.amazon.com/iShanCare-Neck-Pain-Relief-Patch/dp/B0BKL4NRMQ/ref=sims_dp_d_dex_ai_rank_model_feedback_d_v1_d_sccl_1_2/136-0509895-9428936?pd_rd_w=A2qmS&amp;content-id=amzn1.sym.5daa61ea-dedc-4cc4-b84a-9865d4f36e97&amp;pf_rd_p=5daa61ea-dedc-4cc4-b84a-9865d4f36e97&amp;pf_rd_r=CB9PPYGYQ1H0HQRB9ZJR&amp;pd_rd_wg=m4Buk&amp;pd_rd_r=ceb79ee7-5477-49d7-85aa-c32ec9c0073e&amp;pd_rd_i=B0BKL4NRMQ&amp;th=1" TargetMode="External"/><Relationship Id="rId1" Type="http://schemas.openxmlformats.org/officeDocument/2006/relationships/comments" Target="../comments1.xml"/></Relationships>
</file>

<file path=xl/worksheets/_rels/sheet9.xml.rels><?xml version="1.0" encoding="UTF-8" standalone="yes"?>
<Relationships xmlns="http://schemas.openxmlformats.org/package/2006/relationships"><Relationship Id="rId4" Type="http://schemas.openxmlformats.org/officeDocument/2006/relationships/hyperlink" Target="https://www.17track.net/zh-cn" TargetMode="External"/><Relationship Id="rId3" Type="http://schemas.openxmlformats.org/officeDocument/2006/relationships/hyperlink" Target="http://track.4px.com/" TargetMode="External"/><Relationship Id="rId2" Type="http://schemas.openxmlformats.org/officeDocument/2006/relationships/hyperlink" Target="http://express.4px.com/article/detail/id/500004/cid/28" TargetMode="External"/><Relationship Id="rId1" Type="http://schemas.openxmlformats.org/officeDocument/2006/relationships/hyperlink" Target="http://express.4px.com/article/detail/id/500425/cid/28" TargetMode="External"/></Relationships>
</file>

<file path=xl/worksheets/_rels/sheet11.xml.rels><?xml version="1.0" encoding="UTF-8" standalone="yes"?>
<Relationships xmlns="http://schemas.openxmlformats.org/package/2006/relationships"><Relationship Id="rId4" Type="http://schemas.openxmlformats.org/officeDocument/2006/relationships/hyperlink" Target="http://express.4px.com/article/detail/id/500425/cid/28" TargetMode="External"/><Relationship Id="rId3" Type="http://schemas.openxmlformats.org/officeDocument/2006/relationships/hyperlink" Target="https://www.17track.net/zh-cn" TargetMode="External"/><Relationship Id="rId2" Type="http://schemas.openxmlformats.org/officeDocument/2006/relationships/hyperlink" Target="http://track.4px.com/" TargetMode="External"/><Relationship Id="rId1" Type="http://schemas.openxmlformats.org/officeDocument/2006/relationships/hyperlink" Target="http://express.4px.com/article/detail/id/500004/cid/28"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446"/>
  <sheetViews>
    <sheetView tabSelected="1" topLeftCell="M1" workbookViewId="0">
      <selection activeCell="G10" sqref="G10"/>
    </sheetView>
  </sheetViews>
  <sheetFormatPr defaultColWidth="9.225" defaultRowHeight="13.5"/>
  <cols>
    <col min="1" max="1" width="36.5" customWidth="1"/>
    <col min="2" max="2" width="27.375" style="953" customWidth="1"/>
    <col min="3" max="5" width="31.5666666666667" customWidth="1"/>
    <col min="6" max="8" width="23.5416666666667" style="954" customWidth="1"/>
    <col min="9" max="11" width="33.3166666666667" customWidth="1"/>
    <col min="12" max="14" width="35.5" customWidth="1"/>
    <col min="15" max="15" width="43.275" customWidth="1"/>
    <col min="16" max="16" width="41" customWidth="1"/>
    <col min="17" max="17" width="30" customWidth="1"/>
    <col min="18" max="18" width="13.5" customWidth="1"/>
    <col min="19" max="19" width="48.375" style="955" customWidth="1"/>
  </cols>
  <sheetData>
    <row r="1" s="952" customFormat="1" ht="16.5" spans="1:19">
      <c r="A1" s="956" t="s">
        <v>0</v>
      </c>
      <c r="B1" s="957" t="s">
        <v>1</v>
      </c>
      <c r="C1" s="958" t="s">
        <v>2</v>
      </c>
      <c r="D1" s="958"/>
      <c r="E1" s="958"/>
      <c r="F1" s="959">
        <v>0.07</v>
      </c>
      <c r="G1" s="956" t="s">
        <v>3</v>
      </c>
      <c r="H1" s="956"/>
      <c r="I1" s="956"/>
      <c r="J1" s="956"/>
      <c r="K1" s="956"/>
      <c r="L1" s="968">
        <v>1</v>
      </c>
      <c r="M1" s="968">
        <v>2</v>
      </c>
      <c r="N1" s="968">
        <v>3</v>
      </c>
      <c r="O1" s="956" t="s">
        <v>4</v>
      </c>
      <c r="P1" s="969">
        <v>7.1</v>
      </c>
      <c r="Q1" s="958" t="s">
        <v>5</v>
      </c>
      <c r="R1" s="972" t="s">
        <v>6</v>
      </c>
      <c r="S1" s="968"/>
    </row>
    <row r="2" spans="1:18">
      <c r="A2" s="955"/>
      <c r="B2" s="960"/>
      <c r="C2" s="955"/>
      <c r="D2" s="955"/>
      <c r="E2" s="955"/>
      <c r="F2" s="961"/>
      <c r="G2" s="961"/>
      <c r="H2" s="961"/>
      <c r="I2" s="955"/>
      <c r="J2" s="955"/>
      <c r="K2" s="955"/>
      <c r="L2" s="970"/>
      <c r="M2" s="970"/>
      <c r="N2" s="970"/>
      <c r="O2" s="955"/>
      <c r="P2" s="955"/>
      <c r="Q2" s="955"/>
      <c r="R2" s="955"/>
    </row>
    <row r="3" ht="16.5" spans="1:18">
      <c r="A3" s="956" t="s">
        <v>7</v>
      </c>
      <c r="B3" s="956" t="s">
        <v>8</v>
      </c>
      <c r="C3" s="962" t="s">
        <v>9</v>
      </c>
      <c r="D3" s="962" t="s">
        <v>10</v>
      </c>
      <c r="E3" s="962" t="s">
        <v>11</v>
      </c>
      <c r="F3" s="962" t="s">
        <v>12</v>
      </c>
      <c r="G3" s="962" t="s">
        <v>13</v>
      </c>
      <c r="H3" s="962" t="s">
        <v>14</v>
      </c>
      <c r="I3" s="962" t="s">
        <v>15</v>
      </c>
      <c r="J3" s="962" t="s">
        <v>16</v>
      </c>
      <c r="K3" s="962" t="s">
        <v>17</v>
      </c>
      <c r="L3" s="962" t="s">
        <v>18</v>
      </c>
      <c r="M3" s="962" t="s">
        <v>19</v>
      </c>
      <c r="N3" s="962" t="s">
        <v>20</v>
      </c>
      <c r="O3" s="962" t="s">
        <v>21</v>
      </c>
      <c r="P3" s="962" t="s">
        <v>22</v>
      </c>
      <c r="Q3" s="962" t="s">
        <v>23</v>
      </c>
      <c r="R3" s="955"/>
    </row>
    <row r="4" ht="17.25" spans="1:18">
      <c r="A4" s="963" t="s">
        <v>24</v>
      </c>
      <c r="B4" s="963" t="s">
        <v>25</v>
      </c>
      <c r="C4" s="964">
        <f ca="1">(F4+I4)*(1+$F$1)</f>
        <v>10.5417605633803</v>
      </c>
      <c r="D4" s="964">
        <f ca="1" t="shared" ref="D4:D67" si="0">(G4+J4)*(1+$F$1)</f>
        <v>15.0553521126761</v>
      </c>
      <c r="E4" s="964">
        <f ca="1" t="shared" ref="E4:E67" si="1">(H4+K4)*(1+$F$1)</f>
        <v>19.5689436619718</v>
      </c>
      <c r="F4" s="965">
        <f ca="1" t="shared" ref="F4:H4" si="2">O4/$P$1</f>
        <v>7.88028169014085</v>
      </c>
      <c r="G4" s="965">
        <f ca="1" t="shared" si="2"/>
        <v>10.1267605633803</v>
      </c>
      <c r="H4" s="965">
        <f ca="1" t="shared" si="2"/>
        <v>12.3732394366197</v>
      </c>
      <c r="I4" s="965">
        <f>(VLOOKUP($B$1,'Product Procurement Sheet'!B:I,8,0)*$L$1)/$P$1</f>
        <v>1.97183098591549</v>
      </c>
      <c r="J4" s="965">
        <f>(VLOOKUP($B$1,'Product Procurement Sheet'!B:I,8,0)*$M$1)/$P$1</f>
        <v>3.94366197183099</v>
      </c>
      <c r="K4" s="965">
        <f>(VLOOKUP($B$1,'Product Procurement Sheet'!B:I,8,0)*$N$1)/$P$1</f>
        <v>5.91549295774648</v>
      </c>
      <c r="L4" s="968">
        <f>VLOOKUP($B$1,'Product Procurement Sheet'!B:D,3,FALSE)*$L$1</f>
        <v>0.11</v>
      </c>
      <c r="M4" s="968">
        <f>VLOOKUP($B$1,'Product Procurement Sheet'!B:D,3,FALSE)*$M$1</f>
        <v>0.22</v>
      </c>
      <c r="N4" s="968">
        <f>VLOOKUP($B$1,'Product Procurement Sheet'!B:D,3,FALSE)*$N$1</f>
        <v>0.33</v>
      </c>
      <c r="O4" s="971" cm="1">
        <f ca="1" t="array" ref="O4">(_xlfn.SINGLE(_xlfn.XLOOKUP(1,(INDIRECT($R$1&amp;"!$C:$C")=B4)*(INDIRECT($R$1&amp;"!$G:$G")&lt;L4)*(INDIRECT($R$1&amp;"!$H:$H")&gt;=L4),INDIRECT($R$1&amp;"!$K:$K"))))*L4+(_xlfn.SINGLE(_xlfn.XLOOKUP(1,(INDIRECT($R$1&amp;"!$C:$C")=B4)*(INDIRECT($R$1&amp;"!$G:$G")&lt;L4)*(INDIRECT($R$1&amp;"!$H:$H")&gt;=L4),INDIRECT($R$1&amp;"!$L:$L"))))</f>
        <v>55.95</v>
      </c>
      <c r="P4" s="971" cm="1">
        <f ca="1" t="array" ref="P4">(_xlfn.SINGLE(_xlfn.XLOOKUP(1,(INDIRECT($R$1&amp;"!$C:$C")=B4)*(INDIRECT($R$1&amp;"!$G:$G")&lt;M4)*(INDIRECT($R$1&amp;"!$H:$H")&gt;=M4),INDIRECT($R$1&amp;"!$K:$K"))))*M4+(_xlfn.SINGLE(_xlfn.XLOOKUP(1,(INDIRECT($R$1&amp;"!$C:$C")=B4)*(INDIRECT($R$1&amp;"!$G:$G")&lt;M4)*(INDIRECT($R$1&amp;"!$H:$H")&gt;=M4),INDIRECT($R$1&amp;"!$L:$L"))))</f>
        <v>71.9</v>
      </c>
      <c r="Q4" s="971" cm="1">
        <f ca="1" t="array" ref="Q4">(_xlfn.SINGLE(_xlfn.XLOOKUP(1,(INDIRECT($R$1&amp;"!$C:$C")=B4)*(INDIRECT($R$1&amp;"!$G:$G")&lt;N4)*(INDIRECT($R$1&amp;"!$H:$H")&gt;=N4),INDIRECT($R$1&amp;"!$K:$K"))))*N4+(_xlfn.SINGLE(_xlfn.XLOOKUP(1,(INDIRECT($R$1&amp;"!$C:$C")=B4)*(INDIRECT($R$1&amp;"!$G:$G")&lt;N4)*(INDIRECT($R$1&amp;"!$H:$H")&gt;=N4),INDIRECT($R$1&amp;"!$L:$L"))))</f>
        <v>87.85</v>
      </c>
      <c r="R4" s="955"/>
    </row>
    <row r="5" ht="17.25" spans="1:18">
      <c r="A5" s="963" t="s">
        <v>26</v>
      </c>
      <c r="B5" s="963" t="s">
        <v>27</v>
      </c>
      <c r="C5" s="964" t="e">
        <f ca="1" t="shared" ref="C4:C67" si="3">(F5+I5)*(1+$F$1)</f>
        <v>#N/A</v>
      </c>
      <c r="D5" s="964" t="e">
        <f ca="1" t="shared" si="0"/>
        <v>#N/A</v>
      </c>
      <c r="E5" s="964" t="e">
        <f ca="1" t="shared" si="1"/>
        <v>#N/A</v>
      </c>
      <c r="F5" s="965" t="e">
        <f ca="1" t="shared" ref="F5:H5" si="4">O5/$P$1</f>
        <v>#N/A</v>
      </c>
      <c r="G5" s="965" t="e">
        <f ca="1" t="shared" si="4"/>
        <v>#N/A</v>
      </c>
      <c r="H5" s="965" t="e">
        <f ca="1" t="shared" si="4"/>
        <v>#N/A</v>
      </c>
      <c r="I5" s="965">
        <f>(VLOOKUP($B$1,'Product Procurement Sheet'!B:I,8,0)*$L$1)/$P$1</f>
        <v>1.97183098591549</v>
      </c>
      <c r="J5" s="965">
        <f>(VLOOKUP($B$1,'Product Procurement Sheet'!B:I,8,0)*$M$1)/$P$1</f>
        <v>3.94366197183099</v>
      </c>
      <c r="K5" s="965">
        <f>(VLOOKUP($B$1,'Product Procurement Sheet'!B:I,8,0)*$N$1)/$P$1</f>
        <v>5.91549295774648</v>
      </c>
      <c r="L5" s="968">
        <f>VLOOKUP($B$1,'Product Procurement Sheet'!B:D,3,FALSE)*$L$1</f>
        <v>0.11</v>
      </c>
      <c r="M5" s="968">
        <f>VLOOKUP($B$1,'Product Procurement Sheet'!B:D,3,FALSE)*$M$1</f>
        <v>0.22</v>
      </c>
      <c r="N5" s="968">
        <f>VLOOKUP($B$1,'Product Procurement Sheet'!B:D,3,FALSE)*$N$1</f>
        <v>0.33</v>
      </c>
      <c r="O5" s="971" t="e" cm="1">
        <f ca="1" t="array" ref="O5">(_xlfn.SINGLE(_xlfn.XLOOKUP(1,(INDIRECT($R$1&amp;"!$C:$C")=B5)*(INDIRECT($R$1&amp;"!$G:$G")&lt;L5)*(INDIRECT($R$1&amp;"!$H:$H")&gt;=L5),INDIRECT($R$1&amp;"!$K:$K"))))*L5+(_xlfn.SINGLE(_xlfn.XLOOKUP(1,(INDIRECT($R$1&amp;"!$C:$C")=B5)*(INDIRECT($R$1&amp;"!$G:$G")&lt;L5)*(INDIRECT($R$1&amp;"!$H:$H")&gt;=L5),INDIRECT($R$1&amp;"!$L:$L"))))</f>
        <v>#N/A</v>
      </c>
      <c r="P5" s="971" t="e" cm="1">
        <f ca="1" t="array" ref="P5">(_xlfn.SINGLE(_xlfn.XLOOKUP(1,(INDIRECT($R$1&amp;"!$C:$C")=B5)*(INDIRECT($R$1&amp;"!$G:$G")&lt;M5)*(INDIRECT($R$1&amp;"!$H:$H")&gt;=M5),INDIRECT($R$1&amp;"!$K:$K"))))*M5+(_xlfn.SINGLE(_xlfn.XLOOKUP(1,(INDIRECT($R$1&amp;"!$C:$C")=B5)*(INDIRECT($R$1&amp;"!$G:$G")&lt;M5)*(INDIRECT($R$1&amp;"!$H:$H")&gt;=M5),INDIRECT($R$1&amp;"!$L:$L"))))</f>
        <v>#N/A</v>
      </c>
      <c r="Q5" s="971" t="e" cm="1">
        <f ca="1" t="array" ref="Q5">(_xlfn.SINGLE(_xlfn.XLOOKUP(1,(INDIRECT($R$1&amp;"!$C:$C")=B5)*(INDIRECT($R$1&amp;"!$G:$G")&lt;N5)*(INDIRECT($R$1&amp;"!$H:$H")&gt;=N5),INDIRECT($R$1&amp;"!$K:$K"))))*N5+(_xlfn.SINGLE(_xlfn.XLOOKUP(1,(INDIRECT($R$1&amp;"!$C:$C")=B5)*(INDIRECT($R$1&amp;"!$G:$G")&lt;N5)*(INDIRECT($R$1&amp;"!$H:$H")&gt;=N5),INDIRECT($R$1&amp;"!$L:$L"))))</f>
        <v>#N/A</v>
      </c>
      <c r="R5" s="955"/>
    </row>
    <row r="6" ht="17.25" spans="1:18">
      <c r="A6" s="963" t="s">
        <v>28</v>
      </c>
      <c r="B6" s="963" t="s">
        <v>29</v>
      </c>
      <c r="C6" s="964">
        <f ca="1" t="shared" si="3"/>
        <v>6.38232394366197</v>
      </c>
      <c r="D6" s="964">
        <f ca="1" t="shared" si="0"/>
        <v>9.90126760563381</v>
      </c>
      <c r="E6" s="964">
        <f ca="1" t="shared" si="1"/>
        <v>13.4202112676056</v>
      </c>
      <c r="F6" s="965">
        <f ca="1" t="shared" ref="F6:H6" si="5">O6/$P$1</f>
        <v>3.99295774647887</v>
      </c>
      <c r="G6" s="965">
        <f ca="1" t="shared" si="5"/>
        <v>5.30985915492958</v>
      </c>
      <c r="H6" s="965">
        <f ca="1" t="shared" si="5"/>
        <v>6.62676056338028</v>
      </c>
      <c r="I6" s="965">
        <f>(VLOOKUP($B$1,'Product Procurement Sheet'!B:I,8,0)*$L$1)/$P$1</f>
        <v>1.97183098591549</v>
      </c>
      <c r="J6" s="965">
        <f>(VLOOKUP($B$1,'Product Procurement Sheet'!B:I,8,0)*$M$1)/$P$1</f>
        <v>3.94366197183099</v>
      </c>
      <c r="K6" s="965">
        <f>(VLOOKUP($B$1,'Product Procurement Sheet'!B:I,8,0)*$N$1)/$P$1</f>
        <v>5.91549295774648</v>
      </c>
      <c r="L6" s="968">
        <f>VLOOKUP($B$1,'Product Procurement Sheet'!B:D,3,FALSE)*$L$1</f>
        <v>0.11</v>
      </c>
      <c r="M6" s="968">
        <f>VLOOKUP($B$1,'Product Procurement Sheet'!B:D,3,FALSE)*$M$1</f>
        <v>0.22</v>
      </c>
      <c r="N6" s="968">
        <f>VLOOKUP($B$1,'Product Procurement Sheet'!B:D,3,FALSE)*$N$1</f>
        <v>0.33</v>
      </c>
      <c r="O6" s="971" cm="1">
        <f ca="1" t="array" ref="O6">(_xlfn.SINGLE(_xlfn.XLOOKUP(1,(INDIRECT($R$1&amp;"!$C:$C")=B6)*(INDIRECT($R$1&amp;"!$G:$G")&lt;L6)*(INDIRECT($R$1&amp;"!$H:$H")&gt;=L6),INDIRECT($R$1&amp;"!$K:$K"))))*L6+(_xlfn.SINGLE(_xlfn.XLOOKUP(1,(INDIRECT($R$1&amp;"!$C:$C")=B6)*(INDIRECT($R$1&amp;"!$G:$G")&lt;L6)*(INDIRECT($R$1&amp;"!$H:$H")&gt;=L6),INDIRECT($R$1&amp;"!$L:$L"))))</f>
        <v>28.35</v>
      </c>
      <c r="P6" s="971" cm="1">
        <f ca="1" t="array" ref="P6">(_xlfn.SINGLE(_xlfn.XLOOKUP(1,(INDIRECT($R$1&amp;"!$C:$C")=B6)*(INDIRECT($R$1&amp;"!$G:$G")&lt;M6)*(INDIRECT($R$1&amp;"!$H:$H")&gt;=M6),INDIRECT($R$1&amp;"!$K:$K"))))*M6+(_xlfn.SINGLE(_xlfn.XLOOKUP(1,(INDIRECT($R$1&amp;"!$C:$C")=B6)*(INDIRECT($R$1&amp;"!$G:$G")&lt;M6)*(INDIRECT($R$1&amp;"!$H:$H")&gt;=M6),INDIRECT($R$1&amp;"!$L:$L"))))</f>
        <v>37.7</v>
      </c>
      <c r="Q6" s="971" cm="1">
        <f ca="1" t="array" ref="Q6">(_xlfn.SINGLE(_xlfn.XLOOKUP(1,(INDIRECT($R$1&amp;"!$C:$C")=B6)*(INDIRECT($R$1&amp;"!$G:$G")&lt;N6)*(INDIRECT($R$1&amp;"!$H:$H")&gt;=N6),INDIRECT($R$1&amp;"!$K:$K"))))*N6+(_xlfn.SINGLE(_xlfn.XLOOKUP(1,(INDIRECT($R$1&amp;"!$C:$C")=B6)*(INDIRECT($R$1&amp;"!$G:$G")&lt;N6)*(INDIRECT($R$1&amp;"!$H:$H")&gt;=N6),INDIRECT($R$1&amp;"!$L:$L"))))</f>
        <v>47.05</v>
      </c>
      <c r="R6" s="955"/>
    </row>
    <row r="7" ht="17.25" spans="1:18">
      <c r="A7" s="963" t="s">
        <v>30</v>
      </c>
      <c r="B7" s="963" t="s">
        <v>31</v>
      </c>
      <c r="C7" s="964">
        <f ca="1" t="shared" si="3"/>
        <v>7.57288732394366</v>
      </c>
      <c r="D7" s="964">
        <f ca="1" t="shared" si="0"/>
        <v>10.9260563380282</v>
      </c>
      <c r="E7" s="964">
        <f ca="1" t="shared" si="1"/>
        <v>14.2792253521127</v>
      </c>
      <c r="F7" s="965">
        <f ca="1" t="shared" ref="F7:H7" si="6">O7/$P$1</f>
        <v>5.1056338028169</v>
      </c>
      <c r="G7" s="965">
        <f ca="1" t="shared" si="6"/>
        <v>6.26760563380282</v>
      </c>
      <c r="H7" s="965">
        <f ca="1" t="shared" si="6"/>
        <v>7.42957746478873</v>
      </c>
      <c r="I7" s="965">
        <f>(VLOOKUP($B$1,'Product Procurement Sheet'!B:I,8,0)*$L$1)/$P$1</f>
        <v>1.97183098591549</v>
      </c>
      <c r="J7" s="965">
        <f>(VLOOKUP($B$1,'Product Procurement Sheet'!B:I,8,0)*$M$1)/$P$1</f>
        <v>3.94366197183099</v>
      </c>
      <c r="K7" s="965">
        <f>(VLOOKUP($B$1,'Product Procurement Sheet'!B:I,8,0)*$N$1)/$P$1</f>
        <v>5.91549295774648</v>
      </c>
      <c r="L7" s="968">
        <f>VLOOKUP($B$1,'Product Procurement Sheet'!B:D,3,FALSE)*$L$1</f>
        <v>0.11</v>
      </c>
      <c r="M7" s="968">
        <f>VLOOKUP($B$1,'Product Procurement Sheet'!B:D,3,FALSE)*$M$1</f>
        <v>0.22</v>
      </c>
      <c r="N7" s="968">
        <f>VLOOKUP($B$1,'Product Procurement Sheet'!B:D,3,FALSE)*$N$1</f>
        <v>0.33</v>
      </c>
      <c r="O7" s="971" cm="1">
        <f ca="1" t="array" ref="O7">(_xlfn.SINGLE(_xlfn.XLOOKUP(1,(INDIRECT($R$1&amp;"!$C:$C")=B7)*(INDIRECT($R$1&amp;"!$G:$G")&lt;L7)*(INDIRECT($R$1&amp;"!$H:$H")&gt;=L7),INDIRECT($R$1&amp;"!$K:$K"))))*L7+(_xlfn.SINGLE(_xlfn.XLOOKUP(1,(INDIRECT($R$1&amp;"!$C:$C")=B7)*(INDIRECT($R$1&amp;"!$G:$G")&lt;L7)*(INDIRECT($R$1&amp;"!$H:$H")&gt;=L7),INDIRECT($R$1&amp;"!$L:$L"))))</f>
        <v>36.25</v>
      </c>
      <c r="P7" s="971" cm="1">
        <f ca="1" t="array" ref="P7">(_xlfn.SINGLE(_xlfn.XLOOKUP(1,(INDIRECT($R$1&amp;"!$C:$C")=B7)*(INDIRECT($R$1&amp;"!$G:$G")&lt;M7)*(INDIRECT($R$1&amp;"!$H:$H")&gt;=M7),INDIRECT($R$1&amp;"!$K:$K"))))*M7+(_xlfn.SINGLE(_xlfn.XLOOKUP(1,(INDIRECT($R$1&amp;"!$C:$C")=B7)*(INDIRECT($R$1&amp;"!$G:$G")&lt;M7)*(INDIRECT($R$1&amp;"!$H:$H")&gt;=M7),INDIRECT($R$1&amp;"!$L:$L"))))</f>
        <v>44.5</v>
      </c>
      <c r="Q7" s="971" cm="1">
        <f ca="1" t="array" ref="Q7">(_xlfn.SINGLE(_xlfn.XLOOKUP(1,(INDIRECT($R$1&amp;"!$C:$C")=B7)*(INDIRECT($R$1&amp;"!$G:$G")&lt;N7)*(INDIRECT($R$1&amp;"!$H:$H")&gt;=N7),INDIRECT($R$1&amp;"!$K:$K"))))*N7+(_xlfn.SINGLE(_xlfn.XLOOKUP(1,(INDIRECT($R$1&amp;"!$C:$C")=B7)*(INDIRECT($R$1&amp;"!$G:$G")&lt;N7)*(INDIRECT($R$1&amp;"!$H:$H")&gt;=N7),INDIRECT($R$1&amp;"!$L:$L"))))</f>
        <v>52.75</v>
      </c>
      <c r="R7" s="955"/>
    </row>
    <row r="8" ht="17.25" spans="1:18">
      <c r="A8" s="963" t="s">
        <v>32</v>
      </c>
      <c r="B8" s="963" t="s">
        <v>33</v>
      </c>
      <c r="C8" s="964">
        <f ca="1" t="shared" si="3"/>
        <v>7.10570422535211</v>
      </c>
      <c r="D8" s="964">
        <f ca="1" t="shared" si="0"/>
        <v>10.2930985915493</v>
      </c>
      <c r="E8" s="964">
        <f ca="1" t="shared" si="1"/>
        <v>13.4804929577465</v>
      </c>
      <c r="F8" s="965">
        <f ca="1" t="shared" ref="F8:H8" si="7">O8/$P$1</f>
        <v>4.66901408450704</v>
      </c>
      <c r="G8" s="965">
        <f ca="1" t="shared" si="7"/>
        <v>5.67605633802817</v>
      </c>
      <c r="H8" s="965">
        <f ca="1" t="shared" si="7"/>
        <v>6.6830985915493</v>
      </c>
      <c r="I8" s="965">
        <f>(VLOOKUP($B$1,'Product Procurement Sheet'!B:I,8,0)*$L$1)/$P$1</f>
        <v>1.97183098591549</v>
      </c>
      <c r="J8" s="965">
        <f>(VLOOKUP($B$1,'Product Procurement Sheet'!B:I,8,0)*$M$1)/$P$1</f>
        <v>3.94366197183099</v>
      </c>
      <c r="K8" s="965">
        <f>(VLOOKUP($B$1,'Product Procurement Sheet'!B:I,8,0)*$N$1)/$P$1</f>
        <v>5.91549295774648</v>
      </c>
      <c r="L8" s="968">
        <f>VLOOKUP($B$1,'Product Procurement Sheet'!B:D,3,FALSE)*$L$1</f>
        <v>0.11</v>
      </c>
      <c r="M8" s="968">
        <f>VLOOKUP($B$1,'Product Procurement Sheet'!B:D,3,FALSE)*$M$1</f>
        <v>0.22</v>
      </c>
      <c r="N8" s="968">
        <f>VLOOKUP($B$1,'Product Procurement Sheet'!B:D,3,FALSE)*$N$1</f>
        <v>0.33</v>
      </c>
      <c r="O8" s="971" cm="1">
        <f ca="1" t="array" ref="O8">(_xlfn.SINGLE(_xlfn.XLOOKUP(1,(INDIRECT($R$1&amp;"!$C:$C")=B8)*(INDIRECT($R$1&amp;"!$G:$G")&lt;L8)*(INDIRECT($R$1&amp;"!$H:$H")&gt;=L8),INDIRECT($R$1&amp;"!$K:$K"))))*L8+(_xlfn.SINGLE(_xlfn.XLOOKUP(1,(INDIRECT($R$1&amp;"!$C:$C")=B8)*(INDIRECT($R$1&amp;"!$G:$G")&lt;L8)*(INDIRECT($R$1&amp;"!$H:$H")&gt;=L8),INDIRECT($R$1&amp;"!$L:$L"))))</f>
        <v>33.15</v>
      </c>
      <c r="P8" s="971" cm="1">
        <f ca="1" t="array" ref="P8">(_xlfn.SINGLE(_xlfn.XLOOKUP(1,(INDIRECT($R$1&amp;"!$C:$C")=B8)*(INDIRECT($R$1&amp;"!$G:$G")&lt;M8)*(INDIRECT($R$1&amp;"!$H:$H")&gt;=M8),INDIRECT($R$1&amp;"!$K:$K"))))*M8+(_xlfn.SINGLE(_xlfn.XLOOKUP(1,(INDIRECT($R$1&amp;"!$C:$C")=B8)*(INDIRECT($R$1&amp;"!$G:$G")&lt;M8)*(INDIRECT($R$1&amp;"!$H:$H")&gt;=M8),INDIRECT($R$1&amp;"!$L:$L"))))</f>
        <v>40.3</v>
      </c>
      <c r="Q8" s="971" cm="1">
        <f ca="1" t="array" ref="Q8">(_xlfn.SINGLE(_xlfn.XLOOKUP(1,(INDIRECT($R$1&amp;"!$C:$C")=B8)*(INDIRECT($R$1&amp;"!$G:$G")&lt;N8)*(INDIRECT($R$1&amp;"!$H:$H")&gt;=N8),INDIRECT($R$1&amp;"!$K:$K"))))*N8+(_xlfn.SINGLE(_xlfn.XLOOKUP(1,(INDIRECT($R$1&amp;"!$C:$C")=B8)*(INDIRECT($R$1&amp;"!$G:$G")&lt;N8)*(INDIRECT($R$1&amp;"!$H:$H")&gt;=N8),INDIRECT($R$1&amp;"!$L:$L"))))</f>
        <v>47.45</v>
      </c>
      <c r="R8" s="955"/>
    </row>
    <row r="9" ht="17.25" spans="1:18">
      <c r="A9" s="963" t="s">
        <v>34</v>
      </c>
      <c r="B9" s="963" t="s">
        <v>35</v>
      </c>
      <c r="C9" s="964">
        <f ca="1" t="shared" si="3"/>
        <v>5.90007042253521</v>
      </c>
      <c r="D9" s="964">
        <f ca="1" t="shared" si="0"/>
        <v>9.0874647887324</v>
      </c>
      <c r="E9" s="964">
        <f ca="1" t="shared" si="1"/>
        <v>12.2748591549296</v>
      </c>
      <c r="F9" s="965">
        <f ca="1" t="shared" ref="F9:H9" si="8">O9/$P$1</f>
        <v>3.54225352112676</v>
      </c>
      <c r="G9" s="965">
        <f ca="1" t="shared" si="8"/>
        <v>4.54929577464789</v>
      </c>
      <c r="H9" s="965">
        <f ca="1" t="shared" si="8"/>
        <v>5.55633802816901</v>
      </c>
      <c r="I9" s="965">
        <f>(VLOOKUP($B$1,'Product Procurement Sheet'!B:I,8,0)*$L$1)/$P$1</f>
        <v>1.97183098591549</v>
      </c>
      <c r="J9" s="965">
        <f>(VLOOKUP($B$1,'Product Procurement Sheet'!B:I,8,0)*$M$1)/$P$1</f>
        <v>3.94366197183099</v>
      </c>
      <c r="K9" s="965">
        <f>(VLOOKUP($B$1,'Product Procurement Sheet'!B:I,8,0)*$N$1)/$P$1</f>
        <v>5.91549295774648</v>
      </c>
      <c r="L9" s="968">
        <f>VLOOKUP($B$1,'Product Procurement Sheet'!B:D,3,FALSE)*$L$1</f>
        <v>0.11</v>
      </c>
      <c r="M9" s="968">
        <f>VLOOKUP($B$1,'Product Procurement Sheet'!B:D,3,FALSE)*$M$1</f>
        <v>0.22</v>
      </c>
      <c r="N9" s="968">
        <f>VLOOKUP($B$1,'Product Procurement Sheet'!B:D,3,FALSE)*$N$1</f>
        <v>0.33</v>
      </c>
      <c r="O9" s="971" cm="1">
        <f ca="1" t="array" ref="O9">(_xlfn.SINGLE(_xlfn.XLOOKUP(1,(INDIRECT($R$1&amp;"!$C:$C")=B9)*(INDIRECT($R$1&amp;"!$G:$G")&lt;L9)*(INDIRECT($R$1&amp;"!$H:$H")&gt;=L9),INDIRECT($R$1&amp;"!$K:$K"))))*L9+(_xlfn.SINGLE(_xlfn.XLOOKUP(1,(INDIRECT($R$1&amp;"!$C:$C")=B9)*(INDIRECT($R$1&amp;"!$G:$G")&lt;L9)*(INDIRECT($R$1&amp;"!$H:$H")&gt;=L9),INDIRECT($R$1&amp;"!$L:$L"))))</f>
        <v>25.15</v>
      </c>
      <c r="P9" s="971" cm="1">
        <f ca="1" t="array" ref="P9">(_xlfn.SINGLE(_xlfn.XLOOKUP(1,(INDIRECT($R$1&amp;"!$C:$C")=B9)*(INDIRECT($R$1&amp;"!$G:$G")&lt;M9)*(INDIRECT($R$1&amp;"!$H:$H")&gt;=M9),INDIRECT($R$1&amp;"!$K:$K"))))*M9+(_xlfn.SINGLE(_xlfn.XLOOKUP(1,(INDIRECT($R$1&amp;"!$C:$C")=B9)*(INDIRECT($R$1&amp;"!$G:$G")&lt;M9)*(INDIRECT($R$1&amp;"!$H:$H")&gt;=M9),INDIRECT($R$1&amp;"!$L:$L"))))</f>
        <v>32.3</v>
      </c>
      <c r="Q9" s="971" cm="1">
        <f ca="1" t="array" ref="Q9">(_xlfn.SINGLE(_xlfn.XLOOKUP(1,(INDIRECT($R$1&amp;"!$C:$C")=B9)*(INDIRECT($R$1&amp;"!$G:$G")&lt;N9)*(INDIRECT($R$1&amp;"!$H:$H")&gt;=N9),INDIRECT($R$1&amp;"!$K:$K"))))*N9+(_xlfn.SINGLE(_xlfn.XLOOKUP(1,(INDIRECT($R$1&amp;"!$C:$C")=B9)*(INDIRECT($R$1&amp;"!$G:$G")&lt;N9)*(INDIRECT($R$1&amp;"!$H:$H")&gt;=N9),INDIRECT($R$1&amp;"!$L:$L"))))</f>
        <v>39.45</v>
      </c>
      <c r="R9" s="955"/>
    </row>
    <row r="10" ht="17.25" spans="1:18">
      <c r="A10" s="963" t="s">
        <v>36</v>
      </c>
      <c r="B10" s="963" t="s">
        <v>37</v>
      </c>
      <c r="C10" s="964">
        <f ca="1" t="shared" si="3"/>
        <v>7.01528169014084</v>
      </c>
      <c r="D10" s="964">
        <f ca="1" t="shared" si="0"/>
        <v>10.8657746478873</v>
      </c>
      <c r="E10" s="964">
        <f ca="1" t="shared" si="1"/>
        <v>14.7162676056338</v>
      </c>
      <c r="F10" s="965">
        <f ca="1" t="shared" ref="F10:H10" si="9">O10/$P$1</f>
        <v>4.58450704225352</v>
      </c>
      <c r="G10" s="965">
        <f ca="1" t="shared" si="9"/>
        <v>6.2112676056338</v>
      </c>
      <c r="H10" s="965">
        <f ca="1" t="shared" si="9"/>
        <v>7.83802816901408</v>
      </c>
      <c r="I10" s="965">
        <f>(VLOOKUP($B$1,'Product Procurement Sheet'!B:I,8,0)*$L$1)/$P$1</f>
        <v>1.97183098591549</v>
      </c>
      <c r="J10" s="965">
        <f>(VLOOKUP($B$1,'Product Procurement Sheet'!B:I,8,0)*$M$1)/$P$1</f>
        <v>3.94366197183099</v>
      </c>
      <c r="K10" s="965">
        <f>(VLOOKUP($B$1,'Product Procurement Sheet'!B:I,8,0)*$N$1)/$P$1</f>
        <v>5.91549295774648</v>
      </c>
      <c r="L10" s="968">
        <f>VLOOKUP($B$1,'Product Procurement Sheet'!B:D,3,FALSE)*$L$1</f>
        <v>0.11</v>
      </c>
      <c r="M10" s="968">
        <f>VLOOKUP($B$1,'Product Procurement Sheet'!B:D,3,FALSE)*$M$1</f>
        <v>0.22</v>
      </c>
      <c r="N10" s="968">
        <f>VLOOKUP($B$1,'Product Procurement Sheet'!B:D,3,FALSE)*$N$1</f>
        <v>0.33</v>
      </c>
      <c r="O10" s="971" cm="1">
        <f ca="1" t="array" ref="O10">(_xlfn.SINGLE(_xlfn.XLOOKUP(1,(INDIRECT($R$1&amp;"!$C:$C")=B10)*(INDIRECT($R$1&amp;"!$G:$G")&lt;L10)*(INDIRECT($R$1&amp;"!$H:$H")&gt;=L10),INDIRECT($R$1&amp;"!$K:$K"))))*L10+(_xlfn.SINGLE(_xlfn.XLOOKUP(1,(INDIRECT($R$1&amp;"!$C:$C")=B10)*(INDIRECT($R$1&amp;"!$G:$G")&lt;L10)*(INDIRECT($R$1&amp;"!$H:$H")&gt;=L10),INDIRECT($R$1&amp;"!$L:$L"))))</f>
        <v>32.55</v>
      </c>
      <c r="P10" s="971" cm="1">
        <f ca="1" t="array" ref="P10">(_xlfn.SINGLE(_xlfn.XLOOKUP(1,(INDIRECT($R$1&amp;"!$C:$C")=B10)*(INDIRECT($R$1&amp;"!$G:$G")&lt;M10)*(INDIRECT($R$1&amp;"!$H:$H")&gt;=M10),INDIRECT($R$1&amp;"!$K:$K"))))*M10+(_xlfn.SINGLE(_xlfn.XLOOKUP(1,(INDIRECT($R$1&amp;"!$C:$C")=B10)*(INDIRECT($R$1&amp;"!$G:$G")&lt;M10)*(INDIRECT($R$1&amp;"!$H:$H")&gt;=M10),INDIRECT($R$1&amp;"!$L:$L"))))</f>
        <v>44.1</v>
      </c>
      <c r="Q10" s="971" cm="1">
        <f ca="1" t="array" ref="Q10">(_xlfn.SINGLE(_xlfn.XLOOKUP(1,(INDIRECT($R$1&amp;"!$C:$C")=B10)*(INDIRECT($R$1&amp;"!$G:$G")&lt;N10)*(INDIRECT($R$1&amp;"!$H:$H")&gt;=N10),INDIRECT($R$1&amp;"!$K:$K"))))*N10+(_xlfn.SINGLE(_xlfn.XLOOKUP(1,(INDIRECT($R$1&amp;"!$C:$C")=B10)*(INDIRECT($R$1&amp;"!$G:$G")&lt;N10)*(INDIRECT($R$1&amp;"!$H:$H")&gt;=N10),INDIRECT($R$1&amp;"!$L:$L"))))</f>
        <v>55.65</v>
      </c>
      <c r="R10" s="955"/>
    </row>
    <row r="11" ht="17.25" spans="1:18">
      <c r="A11" s="966" t="s">
        <v>38</v>
      </c>
      <c r="B11" s="963" t="s">
        <v>39</v>
      </c>
      <c r="C11" s="964">
        <f ca="1" t="shared" si="3"/>
        <v>7.10570422535211</v>
      </c>
      <c r="D11" s="964">
        <f ca="1" t="shared" si="0"/>
        <v>10.2930985915493</v>
      </c>
      <c r="E11" s="964">
        <f ca="1" t="shared" si="1"/>
        <v>13.4804929577465</v>
      </c>
      <c r="F11" s="965">
        <f ca="1" t="shared" ref="F11:H11" si="10">O11/$P$1</f>
        <v>4.66901408450704</v>
      </c>
      <c r="G11" s="965">
        <f ca="1" t="shared" si="10"/>
        <v>5.67605633802817</v>
      </c>
      <c r="H11" s="965">
        <f ca="1" t="shared" si="10"/>
        <v>6.6830985915493</v>
      </c>
      <c r="I11" s="965">
        <f>(VLOOKUP($B$1,'Product Procurement Sheet'!B:I,8,0)*$L$1)/$P$1</f>
        <v>1.97183098591549</v>
      </c>
      <c r="J11" s="965">
        <f>(VLOOKUP($B$1,'Product Procurement Sheet'!B:I,8,0)*$M$1)/$P$1</f>
        <v>3.94366197183099</v>
      </c>
      <c r="K11" s="965">
        <f>(VLOOKUP($B$1,'Product Procurement Sheet'!B:I,8,0)*$N$1)/$P$1</f>
        <v>5.91549295774648</v>
      </c>
      <c r="L11" s="968">
        <f>VLOOKUP($B$1,'Product Procurement Sheet'!B:D,3,FALSE)*$L$1</f>
        <v>0.11</v>
      </c>
      <c r="M11" s="968">
        <f>VLOOKUP($B$1,'Product Procurement Sheet'!B:D,3,FALSE)*$M$1</f>
        <v>0.22</v>
      </c>
      <c r="N11" s="968">
        <f>VLOOKUP($B$1,'Product Procurement Sheet'!B:D,3,FALSE)*$N$1</f>
        <v>0.33</v>
      </c>
      <c r="O11" s="971" cm="1">
        <f ca="1" t="array" ref="O11">(_xlfn.SINGLE(_xlfn.XLOOKUP(1,(INDIRECT($R$1&amp;"!$C:$C")=B11)*(INDIRECT($R$1&amp;"!$G:$G")&lt;L11)*(INDIRECT($R$1&amp;"!$H:$H")&gt;=L11),INDIRECT($R$1&amp;"!$K:$K"))))*L11+(_xlfn.SINGLE(_xlfn.XLOOKUP(1,(INDIRECT($R$1&amp;"!$C:$C")=B11)*(INDIRECT($R$1&amp;"!$G:$G")&lt;L11)*(INDIRECT($R$1&amp;"!$H:$H")&gt;=L11),INDIRECT($R$1&amp;"!$L:$L"))))</f>
        <v>33.15</v>
      </c>
      <c r="P11" s="971" cm="1">
        <f ca="1" t="array" ref="P11">(_xlfn.SINGLE(_xlfn.XLOOKUP(1,(INDIRECT($R$1&amp;"!$C:$C")=B11)*(INDIRECT($R$1&amp;"!$G:$G")&lt;M11)*(INDIRECT($R$1&amp;"!$H:$H")&gt;=M11),INDIRECT($R$1&amp;"!$K:$K"))))*M11+(_xlfn.SINGLE(_xlfn.XLOOKUP(1,(INDIRECT($R$1&amp;"!$C:$C")=B11)*(INDIRECT($R$1&amp;"!$G:$G")&lt;M11)*(INDIRECT($R$1&amp;"!$H:$H")&gt;=M11),INDIRECT($R$1&amp;"!$L:$L"))))</f>
        <v>40.3</v>
      </c>
      <c r="Q11" s="971" cm="1">
        <f ca="1" t="array" ref="Q11">(_xlfn.SINGLE(_xlfn.XLOOKUP(1,(INDIRECT($R$1&amp;"!$C:$C")=B11)*(INDIRECT($R$1&amp;"!$G:$G")&lt;N11)*(INDIRECT($R$1&amp;"!$H:$H")&gt;=N11),INDIRECT($R$1&amp;"!$K:$K"))))*N11+(_xlfn.SINGLE(_xlfn.XLOOKUP(1,(INDIRECT($R$1&amp;"!$C:$C")=B11)*(INDIRECT($R$1&amp;"!$G:$G")&lt;N11)*(INDIRECT($R$1&amp;"!$H:$H")&gt;=N11),INDIRECT($R$1&amp;"!$L:$L"))))</f>
        <v>47.45</v>
      </c>
      <c r="R11" s="955"/>
    </row>
    <row r="12" ht="17.25" spans="1:18">
      <c r="A12" s="963" t="s">
        <v>40</v>
      </c>
      <c r="B12" s="963" t="s">
        <v>41</v>
      </c>
      <c r="C12" s="964">
        <f ca="1" t="shared" si="3"/>
        <v>7.57288732394366</v>
      </c>
      <c r="D12" s="964">
        <f ca="1" t="shared" si="0"/>
        <v>10.9260563380282</v>
      </c>
      <c r="E12" s="964">
        <f ca="1" t="shared" si="1"/>
        <v>14.2792253521127</v>
      </c>
      <c r="F12" s="965">
        <f ca="1" t="shared" ref="F12:H12" si="11">O12/$P$1</f>
        <v>5.1056338028169</v>
      </c>
      <c r="G12" s="965">
        <f ca="1" t="shared" si="11"/>
        <v>6.26760563380282</v>
      </c>
      <c r="H12" s="965">
        <f ca="1" t="shared" si="11"/>
        <v>7.42957746478873</v>
      </c>
      <c r="I12" s="965">
        <f>(VLOOKUP($B$1,'Product Procurement Sheet'!B:I,8,0)*$L$1)/$P$1</f>
        <v>1.97183098591549</v>
      </c>
      <c r="J12" s="965">
        <f>(VLOOKUP($B$1,'Product Procurement Sheet'!B:I,8,0)*$M$1)/$P$1</f>
        <v>3.94366197183099</v>
      </c>
      <c r="K12" s="965">
        <f>(VLOOKUP($B$1,'Product Procurement Sheet'!B:I,8,0)*$N$1)/$P$1</f>
        <v>5.91549295774648</v>
      </c>
      <c r="L12" s="968">
        <f>VLOOKUP($B$1,'Product Procurement Sheet'!B:D,3,FALSE)*$L$1</f>
        <v>0.11</v>
      </c>
      <c r="M12" s="968">
        <f>VLOOKUP($B$1,'Product Procurement Sheet'!B:D,3,FALSE)*$M$1</f>
        <v>0.22</v>
      </c>
      <c r="N12" s="968">
        <f>VLOOKUP($B$1,'Product Procurement Sheet'!B:D,3,FALSE)*$N$1</f>
        <v>0.33</v>
      </c>
      <c r="O12" s="971" cm="1">
        <f ca="1" t="array" ref="O12">(_xlfn.SINGLE(_xlfn.XLOOKUP(1,(INDIRECT($R$1&amp;"!$C:$C")=B12)*(INDIRECT($R$1&amp;"!$G:$G")&lt;L12)*(INDIRECT($R$1&amp;"!$H:$H")&gt;=L12),INDIRECT($R$1&amp;"!$K:$K"))))*L12+(_xlfn.SINGLE(_xlfn.XLOOKUP(1,(INDIRECT($R$1&amp;"!$C:$C")=B12)*(INDIRECT($R$1&amp;"!$G:$G")&lt;L12)*(INDIRECT($R$1&amp;"!$H:$H")&gt;=L12),INDIRECT($R$1&amp;"!$L:$L"))))</f>
        <v>36.25</v>
      </c>
      <c r="P12" s="971" cm="1">
        <f ca="1" t="array" ref="P12">(_xlfn.SINGLE(_xlfn.XLOOKUP(1,(INDIRECT($R$1&amp;"!$C:$C")=B12)*(INDIRECT($R$1&amp;"!$G:$G")&lt;M12)*(INDIRECT($R$1&amp;"!$H:$H")&gt;=M12),INDIRECT($R$1&amp;"!$K:$K"))))*M12+(_xlfn.SINGLE(_xlfn.XLOOKUP(1,(INDIRECT($R$1&amp;"!$C:$C")=B12)*(INDIRECT($R$1&amp;"!$G:$G")&lt;M12)*(INDIRECT($R$1&amp;"!$H:$H")&gt;=M12),INDIRECT($R$1&amp;"!$L:$L"))))</f>
        <v>44.5</v>
      </c>
      <c r="Q12" s="971" cm="1">
        <f ca="1" t="array" ref="Q12">(_xlfn.SINGLE(_xlfn.XLOOKUP(1,(INDIRECT($R$1&amp;"!$C:$C")=B12)*(INDIRECT($R$1&amp;"!$G:$G")&lt;N12)*(INDIRECT($R$1&amp;"!$H:$H")&gt;=N12),INDIRECT($R$1&amp;"!$K:$K"))))*N12+(_xlfn.SINGLE(_xlfn.XLOOKUP(1,(INDIRECT($R$1&amp;"!$C:$C")=B12)*(INDIRECT($R$1&amp;"!$G:$G")&lt;N12)*(INDIRECT($R$1&amp;"!$H:$H")&gt;=N12),INDIRECT($R$1&amp;"!$L:$L"))))</f>
        <v>52.75</v>
      </c>
      <c r="R12" s="955"/>
    </row>
    <row r="13" ht="17.25" spans="1:18">
      <c r="A13" s="963" t="s">
        <v>42</v>
      </c>
      <c r="B13" s="963" t="s">
        <v>43</v>
      </c>
      <c r="C13" s="964">
        <f ca="1" t="shared" si="3"/>
        <v>6.955</v>
      </c>
      <c r="D13" s="964">
        <f ca="1" t="shared" si="0"/>
        <v>10.1423943661972</v>
      </c>
      <c r="E13" s="964">
        <f ca="1" t="shared" si="1"/>
        <v>13.3297887323944</v>
      </c>
      <c r="F13" s="965">
        <f ca="1" t="shared" ref="F13:H13" si="12">O13/$P$1</f>
        <v>4.52816901408451</v>
      </c>
      <c r="G13" s="965">
        <f ca="1" t="shared" si="12"/>
        <v>5.53521126760563</v>
      </c>
      <c r="H13" s="965">
        <f ca="1" t="shared" si="12"/>
        <v>6.54225352112676</v>
      </c>
      <c r="I13" s="965">
        <f>(VLOOKUP($B$1,'Product Procurement Sheet'!B:I,8,0)*$L$1)/$P$1</f>
        <v>1.97183098591549</v>
      </c>
      <c r="J13" s="965">
        <f>(VLOOKUP($B$1,'Product Procurement Sheet'!B:I,8,0)*$M$1)/$P$1</f>
        <v>3.94366197183099</v>
      </c>
      <c r="K13" s="965">
        <f>(VLOOKUP($B$1,'Product Procurement Sheet'!B:I,8,0)*$N$1)/$P$1</f>
        <v>5.91549295774648</v>
      </c>
      <c r="L13" s="968">
        <f>VLOOKUP($B$1,'Product Procurement Sheet'!B:D,3,FALSE)*$L$1</f>
        <v>0.11</v>
      </c>
      <c r="M13" s="968">
        <f>VLOOKUP($B$1,'Product Procurement Sheet'!B:D,3,FALSE)*$M$1</f>
        <v>0.22</v>
      </c>
      <c r="N13" s="968">
        <f>VLOOKUP($B$1,'Product Procurement Sheet'!B:D,3,FALSE)*$N$1</f>
        <v>0.33</v>
      </c>
      <c r="O13" s="971" cm="1">
        <f ca="1" t="array" ref="O13">(_xlfn.SINGLE(_xlfn.XLOOKUP(1,(INDIRECT($R$1&amp;"!$C:$C")=B13)*(INDIRECT($R$1&amp;"!$G:$G")&lt;L13)*(INDIRECT($R$1&amp;"!$H:$H")&gt;=L13),INDIRECT($R$1&amp;"!$K:$K"))))*L13+(_xlfn.SINGLE(_xlfn.XLOOKUP(1,(INDIRECT($R$1&amp;"!$C:$C")=B13)*(INDIRECT($R$1&amp;"!$G:$G")&lt;L13)*(INDIRECT($R$1&amp;"!$H:$H")&gt;=L13),INDIRECT($R$1&amp;"!$L:$L"))))</f>
        <v>32.15</v>
      </c>
      <c r="P13" s="971" cm="1">
        <f ca="1" t="array" ref="P13">(_xlfn.SINGLE(_xlfn.XLOOKUP(1,(INDIRECT($R$1&amp;"!$C:$C")=B13)*(INDIRECT($R$1&amp;"!$G:$G")&lt;M13)*(INDIRECT($R$1&amp;"!$H:$H")&gt;=M13),INDIRECT($R$1&amp;"!$K:$K"))))*M13+(_xlfn.SINGLE(_xlfn.XLOOKUP(1,(INDIRECT($R$1&amp;"!$C:$C")=B13)*(INDIRECT($R$1&amp;"!$G:$G")&lt;M13)*(INDIRECT($R$1&amp;"!$H:$H")&gt;=M13),INDIRECT($R$1&amp;"!$L:$L"))))</f>
        <v>39.3</v>
      </c>
      <c r="Q13" s="971" cm="1">
        <f ca="1" t="array" ref="Q13">(_xlfn.SINGLE(_xlfn.XLOOKUP(1,(INDIRECT($R$1&amp;"!$C:$C")=B13)*(INDIRECT($R$1&amp;"!$G:$G")&lt;N13)*(INDIRECT($R$1&amp;"!$H:$H")&gt;=N13),INDIRECT($R$1&amp;"!$K:$K"))))*N13+(_xlfn.SINGLE(_xlfn.XLOOKUP(1,(INDIRECT($R$1&amp;"!$C:$C")=B13)*(INDIRECT($R$1&amp;"!$G:$G")&lt;N13)*(INDIRECT($R$1&amp;"!$H:$H")&gt;=N13),INDIRECT($R$1&amp;"!$L:$L"))))</f>
        <v>46.45</v>
      </c>
      <c r="R13" s="955"/>
    </row>
    <row r="14" ht="17.25" spans="1:18">
      <c r="A14" s="963" t="s">
        <v>44</v>
      </c>
      <c r="B14" s="963" t="s">
        <v>45</v>
      </c>
      <c r="C14" s="964">
        <f ca="1" t="shared" si="3"/>
        <v>4.72457746478873</v>
      </c>
      <c r="D14" s="964">
        <f ca="1" t="shared" si="0"/>
        <v>8.24352112676057</v>
      </c>
      <c r="E14" s="964">
        <f ca="1" t="shared" si="1"/>
        <v>11.7624647887324</v>
      </c>
      <c r="F14" s="965">
        <f ca="1" t="shared" ref="F14:H14" si="13">O14/$P$1</f>
        <v>2.44366197183099</v>
      </c>
      <c r="G14" s="965">
        <f ca="1" t="shared" si="13"/>
        <v>3.76056338028169</v>
      </c>
      <c r="H14" s="965">
        <f ca="1" t="shared" si="13"/>
        <v>5.07746478873239</v>
      </c>
      <c r="I14" s="965">
        <f>(VLOOKUP($B$1,'Product Procurement Sheet'!B:I,8,0)*$L$1)/$P$1</f>
        <v>1.97183098591549</v>
      </c>
      <c r="J14" s="965">
        <f>(VLOOKUP($B$1,'Product Procurement Sheet'!B:I,8,0)*$M$1)/$P$1</f>
        <v>3.94366197183099</v>
      </c>
      <c r="K14" s="965">
        <f>(VLOOKUP($B$1,'Product Procurement Sheet'!B:I,8,0)*$N$1)/$P$1</f>
        <v>5.91549295774648</v>
      </c>
      <c r="L14" s="968">
        <f>VLOOKUP($B$1,'Product Procurement Sheet'!B:D,3,FALSE)*$L$1</f>
        <v>0.11</v>
      </c>
      <c r="M14" s="968">
        <f>VLOOKUP($B$1,'Product Procurement Sheet'!B:D,3,FALSE)*$M$1</f>
        <v>0.22</v>
      </c>
      <c r="N14" s="968">
        <f>VLOOKUP($B$1,'Product Procurement Sheet'!B:D,3,FALSE)*$N$1</f>
        <v>0.33</v>
      </c>
      <c r="O14" s="971" cm="1">
        <f ca="1" t="array" ref="O14">(_xlfn.SINGLE(_xlfn.XLOOKUP(1,(INDIRECT($R$1&amp;"!$C:$C")=B14)*(INDIRECT($R$1&amp;"!$G:$G")&lt;L14)*(INDIRECT($R$1&amp;"!$H:$H")&gt;=L14),INDIRECT($R$1&amp;"!$K:$K"))))*L14+(_xlfn.SINGLE(_xlfn.XLOOKUP(1,(INDIRECT($R$1&amp;"!$C:$C")=B14)*(INDIRECT($R$1&amp;"!$G:$G")&lt;L14)*(INDIRECT($R$1&amp;"!$H:$H")&gt;=L14),INDIRECT($R$1&amp;"!$L:$L"))))</f>
        <v>17.35</v>
      </c>
      <c r="P14" s="971" cm="1">
        <f ca="1" t="array" ref="P14">(_xlfn.SINGLE(_xlfn.XLOOKUP(1,(INDIRECT($R$1&amp;"!$C:$C")=B14)*(INDIRECT($R$1&amp;"!$G:$G")&lt;M14)*(INDIRECT($R$1&amp;"!$H:$H")&gt;=M14),INDIRECT($R$1&amp;"!$K:$K"))))*M14+(_xlfn.SINGLE(_xlfn.XLOOKUP(1,(INDIRECT($R$1&amp;"!$C:$C")=B14)*(INDIRECT($R$1&amp;"!$G:$G")&lt;M14)*(INDIRECT($R$1&amp;"!$H:$H")&gt;=M14),INDIRECT($R$1&amp;"!$L:$L"))))</f>
        <v>26.7</v>
      </c>
      <c r="Q14" s="971" cm="1">
        <f ca="1" t="array" ref="Q14">(_xlfn.SINGLE(_xlfn.XLOOKUP(1,(INDIRECT($R$1&amp;"!$C:$C")=B14)*(INDIRECT($R$1&amp;"!$G:$G")&lt;N14)*(INDIRECT($R$1&amp;"!$H:$H")&gt;=N14),INDIRECT($R$1&amp;"!$K:$K"))))*N14+(_xlfn.SINGLE(_xlfn.XLOOKUP(1,(INDIRECT($R$1&amp;"!$C:$C")=B14)*(INDIRECT($R$1&amp;"!$G:$G")&lt;N14)*(INDIRECT($R$1&amp;"!$H:$H")&gt;=N14),INDIRECT($R$1&amp;"!$L:$L"))))</f>
        <v>36.05</v>
      </c>
      <c r="R14" s="955"/>
    </row>
    <row r="15" ht="17.25" spans="1:18">
      <c r="A15" s="963" t="s">
        <v>46</v>
      </c>
      <c r="B15" s="963" t="s">
        <v>47</v>
      </c>
      <c r="C15" s="964" t="e">
        <f ca="1" t="shared" si="3"/>
        <v>#N/A</v>
      </c>
      <c r="D15" s="964" t="e">
        <f ca="1" t="shared" si="0"/>
        <v>#N/A</v>
      </c>
      <c r="E15" s="964" t="e">
        <f ca="1" t="shared" si="1"/>
        <v>#N/A</v>
      </c>
      <c r="F15" s="965" t="e">
        <f ca="1" t="shared" ref="F15:H15" si="14">O15/$P$1</f>
        <v>#N/A</v>
      </c>
      <c r="G15" s="965" t="e">
        <f ca="1" t="shared" si="14"/>
        <v>#N/A</v>
      </c>
      <c r="H15" s="965" t="e">
        <f ca="1" t="shared" si="14"/>
        <v>#N/A</v>
      </c>
      <c r="I15" s="965">
        <f>(VLOOKUP($B$1,'Product Procurement Sheet'!B:I,8,0)*$L$1)/$P$1</f>
        <v>1.97183098591549</v>
      </c>
      <c r="J15" s="965">
        <f>(VLOOKUP($B$1,'Product Procurement Sheet'!B:I,8,0)*$M$1)/$P$1</f>
        <v>3.94366197183099</v>
      </c>
      <c r="K15" s="965">
        <f>(VLOOKUP($B$1,'Product Procurement Sheet'!B:I,8,0)*$N$1)/$P$1</f>
        <v>5.91549295774648</v>
      </c>
      <c r="L15" s="968">
        <f>VLOOKUP($B$1,'Product Procurement Sheet'!B:D,3,FALSE)*$L$1</f>
        <v>0.11</v>
      </c>
      <c r="M15" s="968">
        <f>VLOOKUP($B$1,'Product Procurement Sheet'!B:D,3,FALSE)*$M$1</f>
        <v>0.22</v>
      </c>
      <c r="N15" s="968">
        <f>VLOOKUP($B$1,'Product Procurement Sheet'!B:D,3,FALSE)*$N$1</f>
        <v>0.33</v>
      </c>
      <c r="O15" s="971" t="e" cm="1">
        <f ca="1" t="array" ref="O15">(_xlfn.SINGLE(_xlfn.XLOOKUP(1,(INDIRECT($R$1&amp;"!$C:$C")=B15)*(INDIRECT($R$1&amp;"!$G:$G")&lt;L15)*(INDIRECT($R$1&amp;"!$H:$H")&gt;=L15),INDIRECT($R$1&amp;"!$K:$K"))))*L15+(_xlfn.SINGLE(_xlfn.XLOOKUP(1,(INDIRECT($R$1&amp;"!$C:$C")=B15)*(INDIRECT($R$1&amp;"!$G:$G")&lt;L15)*(INDIRECT($R$1&amp;"!$H:$H")&gt;=L15),INDIRECT($R$1&amp;"!$L:$L"))))</f>
        <v>#N/A</v>
      </c>
      <c r="P15" s="971" t="e" cm="1">
        <f ca="1" t="array" ref="P15">(_xlfn.SINGLE(_xlfn.XLOOKUP(1,(INDIRECT($R$1&amp;"!$C:$C")=B15)*(INDIRECT($R$1&amp;"!$G:$G")&lt;M15)*(INDIRECT($R$1&amp;"!$H:$H")&gt;=M15),INDIRECT($R$1&amp;"!$K:$K"))))*M15+(_xlfn.SINGLE(_xlfn.XLOOKUP(1,(INDIRECT($R$1&amp;"!$C:$C")=B15)*(INDIRECT($R$1&amp;"!$G:$G")&lt;M15)*(INDIRECT($R$1&amp;"!$H:$H")&gt;=M15),INDIRECT($R$1&amp;"!$L:$L"))))</f>
        <v>#N/A</v>
      </c>
      <c r="Q15" s="971" t="e" cm="1">
        <f ca="1" t="array" ref="Q15">(_xlfn.SINGLE(_xlfn.XLOOKUP(1,(INDIRECT($R$1&amp;"!$C:$C")=B15)*(INDIRECT($R$1&amp;"!$G:$G")&lt;N15)*(INDIRECT($R$1&amp;"!$H:$H")&gt;=N15),INDIRECT($R$1&amp;"!$K:$K"))))*N15+(_xlfn.SINGLE(_xlfn.XLOOKUP(1,(INDIRECT($R$1&amp;"!$C:$C")=B15)*(INDIRECT($R$1&amp;"!$G:$G")&lt;N15)*(INDIRECT($R$1&amp;"!$H:$H")&gt;=N15),INDIRECT($R$1&amp;"!$L:$L"))))</f>
        <v>#N/A</v>
      </c>
      <c r="R15" s="955"/>
    </row>
    <row r="16" ht="17.25" spans="1:18">
      <c r="A16" s="963" t="s">
        <v>48</v>
      </c>
      <c r="B16" s="963" t="s">
        <v>49</v>
      </c>
      <c r="C16" s="964">
        <f ca="1" t="shared" si="3"/>
        <v>6.26176056338028</v>
      </c>
      <c r="D16" s="964">
        <f ca="1" t="shared" si="0"/>
        <v>10.1122535211268</v>
      </c>
      <c r="E16" s="964">
        <f ca="1" t="shared" si="1"/>
        <v>13.9627464788732</v>
      </c>
      <c r="F16" s="965">
        <f ca="1" t="shared" ref="F16:H16" si="15">O16/$P$1</f>
        <v>3.88028169014085</v>
      </c>
      <c r="G16" s="965">
        <f ca="1" t="shared" si="15"/>
        <v>5.50704225352113</v>
      </c>
      <c r="H16" s="965">
        <f ca="1" t="shared" si="15"/>
        <v>7.13380281690141</v>
      </c>
      <c r="I16" s="965">
        <f>(VLOOKUP($B$1,'Product Procurement Sheet'!B:I,8,0)*$L$1)/$P$1</f>
        <v>1.97183098591549</v>
      </c>
      <c r="J16" s="965">
        <f>(VLOOKUP($B$1,'Product Procurement Sheet'!B:I,8,0)*$M$1)/$P$1</f>
        <v>3.94366197183099</v>
      </c>
      <c r="K16" s="965">
        <f>(VLOOKUP($B$1,'Product Procurement Sheet'!B:I,8,0)*$N$1)/$P$1</f>
        <v>5.91549295774648</v>
      </c>
      <c r="L16" s="968">
        <f>VLOOKUP($B$1,'Product Procurement Sheet'!B:D,3,FALSE)*$L$1</f>
        <v>0.11</v>
      </c>
      <c r="M16" s="968">
        <f>VLOOKUP($B$1,'Product Procurement Sheet'!B:D,3,FALSE)*$M$1</f>
        <v>0.22</v>
      </c>
      <c r="N16" s="968">
        <f>VLOOKUP($B$1,'Product Procurement Sheet'!B:D,3,FALSE)*$N$1</f>
        <v>0.33</v>
      </c>
      <c r="O16" s="971" cm="1">
        <f ca="1" t="array" ref="O16">(_xlfn.SINGLE(_xlfn.XLOOKUP(1,(INDIRECT($R$1&amp;"!$C:$C")=B16)*(INDIRECT($R$1&amp;"!$G:$G")&lt;L16)*(INDIRECT($R$1&amp;"!$H:$H")&gt;=L16),INDIRECT($R$1&amp;"!$K:$K"))))*L16+(_xlfn.SINGLE(_xlfn.XLOOKUP(1,(INDIRECT($R$1&amp;"!$C:$C")=B16)*(INDIRECT($R$1&amp;"!$G:$G")&lt;L16)*(INDIRECT($R$1&amp;"!$H:$H")&gt;=L16),INDIRECT($R$1&amp;"!$L:$L"))))</f>
        <v>27.55</v>
      </c>
      <c r="P16" s="971" cm="1">
        <f ca="1" t="array" ref="P16">(_xlfn.SINGLE(_xlfn.XLOOKUP(1,(INDIRECT($R$1&amp;"!$C:$C")=B16)*(INDIRECT($R$1&amp;"!$G:$G")&lt;M16)*(INDIRECT($R$1&amp;"!$H:$H")&gt;=M16),INDIRECT($R$1&amp;"!$K:$K"))))*M16+(_xlfn.SINGLE(_xlfn.XLOOKUP(1,(INDIRECT($R$1&amp;"!$C:$C")=B16)*(INDIRECT($R$1&amp;"!$G:$G")&lt;M16)*(INDIRECT($R$1&amp;"!$H:$H")&gt;=M16),INDIRECT($R$1&amp;"!$L:$L"))))</f>
        <v>39.1</v>
      </c>
      <c r="Q16" s="971" cm="1">
        <f ca="1" t="array" ref="Q16">(_xlfn.SINGLE(_xlfn.XLOOKUP(1,(INDIRECT($R$1&amp;"!$C:$C")=B16)*(INDIRECT($R$1&amp;"!$G:$G")&lt;N16)*(INDIRECT($R$1&amp;"!$H:$H")&gt;=N16),INDIRECT($R$1&amp;"!$K:$K"))))*N16+(_xlfn.SINGLE(_xlfn.XLOOKUP(1,(INDIRECT($R$1&amp;"!$C:$C")=B16)*(INDIRECT($R$1&amp;"!$G:$G")&lt;N16)*(INDIRECT($R$1&amp;"!$H:$H")&gt;=N16),INDIRECT($R$1&amp;"!$L:$L"))))</f>
        <v>50.65</v>
      </c>
      <c r="R16" s="955"/>
    </row>
    <row r="17" ht="17.25" spans="1:18">
      <c r="A17" s="963" t="s">
        <v>50</v>
      </c>
      <c r="B17" s="963" t="s">
        <v>51</v>
      </c>
      <c r="C17" s="964">
        <f ca="1" t="shared" si="3"/>
        <v>5.16161971830986</v>
      </c>
      <c r="D17" s="964">
        <f ca="1" t="shared" si="0"/>
        <v>8.51478873239437</v>
      </c>
      <c r="E17" s="964">
        <f ca="1" t="shared" si="1"/>
        <v>11.8679577464789</v>
      </c>
      <c r="F17" s="965">
        <f ca="1" t="shared" ref="F17:H17" si="16">O17/$P$1</f>
        <v>2.85211267605634</v>
      </c>
      <c r="G17" s="965">
        <f ca="1" t="shared" si="16"/>
        <v>4.01408450704225</v>
      </c>
      <c r="H17" s="965">
        <f ca="1" t="shared" si="16"/>
        <v>5.17605633802817</v>
      </c>
      <c r="I17" s="965">
        <f>(VLOOKUP($B$1,'Product Procurement Sheet'!B:I,8,0)*$L$1)/$P$1</f>
        <v>1.97183098591549</v>
      </c>
      <c r="J17" s="965">
        <f>(VLOOKUP($B$1,'Product Procurement Sheet'!B:I,8,0)*$M$1)/$P$1</f>
        <v>3.94366197183099</v>
      </c>
      <c r="K17" s="965">
        <f>(VLOOKUP($B$1,'Product Procurement Sheet'!B:I,8,0)*$N$1)/$P$1</f>
        <v>5.91549295774648</v>
      </c>
      <c r="L17" s="968">
        <f>VLOOKUP($B$1,'Product Procurement Sheet'!B:D,3,FALSE)*$L$1</f>
        <v>0.11</v>
      </c>
      <c r="M17" s="968">
        <f>VLOOKUP($B$1,'Product Procurement Sheet'!B:D,3,FALSE)*$M$1</f>
        <v>0.22</v>
      </c>
      <c r="N17" s="968">
        <f>VLOOKUP($B$1,'Product Procurement Sheet'!B:D,3,FALSE)*$N$1</f>
        <v>0.33</v>
      </c>
      <c r="O17" s="971" cm="1">
        <f ca="1" t="array" ref="O17">(_xlfn.SINGLE(_xlfn.XLOOKUP(1,(INDIRECT($R$1&amp;"!$C:$C")=B17)*(INDIRECT($R$1&amp;"!$G:$G")&lt;L17)*(INDIRECT($R$1&amp;"!$H:$H")&gt;=L17),INDIRECT($R$1&amp;"!$K:$K"))))*L17+(_xlfn.SINGLE(_xlfn.XLOOKUP(1,(INDIRECT($R$1&amp;"!$C:$C")=B17)*(INDIRECT($R$1&amp;"!$G:$G")&lt;L17)*(INDIRECT($R$1&amp;"!$H:$H")&gt;=L17),INDIRECT($R$1&amp;"!$L:$L"))))</f>
        <v>20.25</v>
      </c>
      <c r="P17" s="971" cm="1">
        <f ca="1" t="array" ref="P17">(_xlfn.SINGLE(_xlfn.XLOOKUP(1,(INDIRECT($R$1&amp;"!$C:$C")=B17)*(INDIRECT($R$1&amp;"!$G:$G")&lt;M17)*(INDIRECT($R$1&amp;"!$H:$H")&gt;=M17),INDIRECT($R$1&amp;"!$K:$K"))))*M17+(_xlfn.SINGLE(_xlfn.XLOOKUP(1,(INDIRECT($R$1&amp;"!$C:$C")=B17)*(INDIRECT($R$1&amp;"!$G:$G")&lt;M17)*(INDIRECT($R$1&amp;"!$H:$H")&gt;=M17),INDIRECT($R$1&amp;"!$L:$L"))))</f>
        <v>28.5</v>
      </c>
      <c r="Q17" s="971" cm="1">
        <f ca="1" t="array" ref="Q17">(_xlfn.SINGLE(_xlfn.XLOOKUP(1,(INDIRECT($R$1&amp;"!$C:$C")=B17)*(INDIRECT($R$1&amp;"!$G:$G")&lt;N17)*(INDIRECT($R$1&amp;"!$H:$H")&gt;=N17),INDIRECT($R$1&amp;"!$K:$K"))))*N17+(_xlfn.SINGLE(_xlfn.XLOOKUP(1,(INDIRECT($R$1&amp;"!$C:$C")=B17)*(INDIRECT($R$1&amp;"!$G:$G")&lt;N17)*(INDIRECT($R$1&amp;"!$H:$H")&gt;=N17),INDIRECT($R$1&amp;"!$L:$L"))))</f>
        <v>36.75</v>
      </c>
      <c r="R17" s="955"/>
    </row>
    <row r="18" ht="17.25" spans="1:18">
      <c r="A18" s="963" t="s">
        <v>52</v>
      </c>
      <c r="B18" s="963" t="s">
        <v>53</v>
      </c>
      <c r="C18" s="964">
        <f ca="1" t="shared" si="3"/>
        <v>7.40711267605634</v>
      </c>
      <c r="D18" s="964">
        <f ca="1" t="shared" si="0"/>
        <v>10.5945070422535</v>
      </c>
      <c r="E18" s="964">
        <f ca="1" t="shared" si="1"/>
        <v>13.7819014084507</v>
      </c>
      <c r="F18" s="965">
        <f ca="1" t="shared" ref="F18:H18" si="17">O18/$P$1</f>
        <v>4.95070422535211</v>
      </c>
      <c r="G18" s="965">
        <f ca="1" t="shared" si="17"/>
        <v>5.95774647887324</v>
      </c>
      <c r="H18" s="965">
        <f ca="1" t="shared" si="17"/>
        <v>6.96478873239437</v>
      </c>
      <c r="I18" s="965">
        <f>(VLOOKUP($B$1,'Product Procurement Sheet'!B:I,8,0)*$L$1)/$P$1</f>
        <v>1.97183098591549</v>
      </c>
      <c r="J18" s="965">
        <f>(VLOOKUP($B$1,'Product Procurement Sheet'!B:I,8,0)*$M$1)/$P$1</f>
        <v>3.94366197183099</v>
      </c>
      <c r="K18" s="965">
        <f>(VLOOKUP($B$1,'Product Procurement Sheet'!B:I,8,0)*$N$1)/$P$1</f>
        <v>5.91549295774648</v>
      </c>
      <c r="L18" s="968">
        <f>VLOOKUP($B$1,'Product Procurement Sheet'!B:D,3,FALSE)*$L$1</f>
        <v>0.11</v>
      </c>
      <c r="M18" s="968">
        <f>VLOOKUP($B$1,'Product Procurement Sheet'!B:D,3,FALSE)*$M$1</f>
        <v>0.22</v>
      </c>
      <c r="N18" s="968">
        <f>VLOOKUP($B$1,'Product Procurement Sheet'!B:D,3,FALSE)*$N$1</f>
        <v>0.33</v>
      </c>
      <c r="O18" s="971" cm="1">
        <f ca="1" t="array" ref="O18">(_xlfn.SINGLE(_xlfn.XLOOKUP(1,(INDIRECT($R$1&amp;"!$C:$C")=B18)*(INDIRECT($R$1&amp;"!$G:$G")&lt;L18)*(INDIRECT($R$1&amp;"!$H:$H")&gt;=L18),INDIRECT($R$1&amp;"!$K:$K"))))*L18+(_xlfn.SINGLE(_xlfn.XLOOKUP(1,(INDIRECT($R$1&amp;"!$C:$C")=B18)*(INDIRECT($R$1&amp;"!$G:$G")&lt;L18)*(INDIRECT($R$1&amp;"!$H:$H")&gt;=L18),INDIRECT($R$1&amp;"!$L:$L"))))</f>
        <v>35.15</v>
      </c>
      <c r="P18" s="971" cm="1">
        <f ca="1" t="array" ref="P18">(_xlfn.SINGLE(_xlfn.XLOOKUP(1,(INDIRECT($R$1&amp;"!$C:$C")=B18)*(INDIRECT($R$1&amp;"!$G:$G")&lt;M18)*(INDIRECT($R$1&amp;"!$H:$H")&gt;=M18),INDIRECT($R$1&amp;"!$K:$K"))))*M18+(_xlfn.SINGLE(_xlfn.XLOOKUP(1,(INDIRECT($R$1&amp;"!$C:$C")=B18)*(INDIRECT($R$1&amp;"!$G:$G")&lt;M18)*(INDIRECT($R$1&amp;"!$H:$H")&gt;=M18),INDIRECT($R$1&amp;"!$L:$L"))))</f>
        <v>42.3</v>
      </c>
      <c r="Q18" s="971" cm="1">
        <f ca="1" t="array" ref="Q18">(_xlfn.SINGLE(_xlfn.XLOOKUP(1,(INDIRECT($R$1&amp;"!$C:$C")=B18)*(INDIRECT($R$1&amp;"!$G:$G")&lt;N18)*(INDIRECT($R$1&amp;"!$H:$H")&gt;=N18),INDIRECT($R$1&amp;"!$K:$K"))))*N18+(_xlfn.SINGLE(_xlfn.XLOOKUP(1,(INDIRECT($R$1&amp;"!$C:$C")=B18)*(INDIRECT($R$1&amp;"!$G:$G")&lt;N18)*(INDIRECT($R$1&amp;"!$H:$H")&gt;=N18),INDIRECT($R$1&amp;"!$L:$L"))))</f>
        <v>49.45</v>
      </c>
      <c r="R18" s="955"/>
    </row>
    <row r="19" ht="17.25" spans="1:18">
      <c r="A19" s="963" t="s">
        <v>54</v>
      </c>
      <c r="B19" s="963" t="s">
        <v>55</v>
      </c>
      <c r="C19" s="964">
        <f ca="1" t="shared" si="3"/>
        <v>5.91514084507042</v>
      </c>
      <c r="D19" s="964">
        <f ca="1" t="shared" si="0"/>
        <v>9.26830985915493</v>
      </c>
      <c r="E19" s="964">
        <f ca="1" t="shared" si="1"/>
        <v>12.6214788732394</v>
      </c>
      <c r="F19" s="965">
        <f ca="1" t="shared" ref="F19:H19" si="18">O19/$P$1</f>
        <v>3.55633802816901</v>
      </c>
      <c r="G19" s="965">
        <f ca="1" t="shared" si="18"/>
        <v>4.71830985915493</v>
      </c>
      <c r="H19" s="965">
        <f ca="1" t="shared" si="18"/>
        <v>5.88028169014085</v>
      </c>
      <c r="I19" s="965">
        <f>(VLOOKUP($B$1,'Product Procurement Sheet'!B:I,8,0)*$L$1)/$P$1</f>
        <v>1.97183098591549</v>
      </c>
      <c r="J19" s="965">
        <f>(VLOOKUP($B$1,'Product Procurement Sheet'!B:I,8,0)*$M$1)/$P$1</f>
        <v>3.94366197183099</v>
      </c>
      <c r="K19" s="965">
        <f>(VLOOKUP($B$1,'Product Procurement Sheet'!B:I,8,0)*$N$1)/$P$1</f>
        <v>5.91549295774648</v>
      </c>
      <c r="L19" s="968">
        <f>VLOOKUP($B$1,'Product Procurement Sheet'!B:D,3,FALSE)*$L$1</f>
        <v>0.11</v>
      </c>
      <c r="M19" s="968">
        <f>VLOOKUP($B$1,'Product Procurement Sheet'!B:D,3,FALSE)*$M$1</f>
        <v>0.22</v>
      </c>
      <c r="N19" s="968">
        <f>VLOOKUP($B$1,'Product Procurement Sheet'!B:D,3,FALSE)*$N$1</f>
        <v>0.33</v>
      </c>
      <c r="O19" s="971" cm="1">
        <f ca="1" t="array" ref="O19">(_xlfn.SINGLE(_xlfn.XLOOKUP(1,(INDIRECT($R$1&amp;"!$C:$C")=B19)*(INDIRECT($R$1&amp;"!$G:$G")&lt;L19)*(INDIRECT($R$1&amp;"!$H:$H")&gt;=L19),INDIRECT($R$1&amp;"!$K:$K"))))*L19+(_xlfn.SINGLE(_xlfn.XLOOKUP(1,(INDIRECT($R$1&amp;"!$C:$C")=B19)*(INDIRECT($R$1&amp;"!$G:$G")&lt;L19)*(INDIRECT($R$1&amp;"!$H:$H")&gt;=L19),INDIRECT($R$1&amp;"!$L:$L"))))</f>
        <v>25.25</v>
      </c>
      <c r="P19" s="971" cm="1">
        <f ca="1" t="array" ref="P19">(_xlfn.SINGLE(_xlfn.XLOOKUP(1,(INDIRECT($R$1&amp;"!$C:$C")=B19)*(INDIRECT($R$1&amp;"!$G:$G")&lt;M19)*(INDIRECT($R$1&amp;"!$H:$H")&gt;=M19),INDIRECT($R$1&amp;"!$K:$K"))))*M19+(_xlfn.SINGLE(_xlfn.XLOOKUP(1,(INDIRECT($R$1&amp;"!$C:$C")=B19)*(INDIRECT($R$1&amp;"!$G:$G")&lt;M19)*(INDIRECT($R$1&amp;"!$H:$H")&gt;=M19),INDIRECT($R$1&amp;"!$L:$L"))))</f>
        <v>33.5</v>
      </c>
      <c r="Q19" s="971" cm="1">
        <f ca="1" t="array" ref="Q19">(_xlfn.SINGLE(_xlfn.XLOOKUP(1,(INDIRECT($R$1&amp;"!$C:$C")=B19)*(INDIRECT($R$1&amp;"!$G:$G")&lt;N19)*(INDIRECT($R$1&amp;"!$H:$H")&gt;=N19),INDIRECT($R$1&amp;"!$K:$K"))))*N19+(_xlfn.SINGLE(_xlfn.XLOOKUP(1,(INDIRECT($R$1&amp;"!$C:$C")=B19)*(INDIRECT($R$1&amp;"!$G:$G")&lt;N19)*(INDIRECT($R$1&amp;"!$H:$H")&gt;=N19),INDIRECT($R$1&amp;"!$L:$L"))))</f>
        <v>41.75</v>
      </c>
      <c r="R19" s="955"/>
    </row>
    <row r="20" ht="17.25" spans="1:18">
      <c r="A20" s="963" t="s">
        <v>56</v>
      </c>
      <c r="B20" s="963" t="s">
        <v>57</v>
      </c>
      <c r="C20" s="964">
        <f ca="1" t="shared" si="3"/>
        <v>5.16161971830986</v>
      </c>
      <c r="D20" s="964">
        <f ca="1" t="shared" si="0"/>
        <v>8.51478873239437</v>
      </c>
      <c r="E20" s="964">
        <f ca="1" t="shared" si="1"/>
        <v>11.8679577464789</v>
      </c>
      <c r="F20" s="965">
        <f ca="1" t="shared" ref="F20:H20" si="19">O20/$P$1</f>
        <v>2.85211267605634</v>
      </c>
      <c r="G20" s="965">
        <f ca="1" t="shared" si="19"/>
        <v>4.01408450704225</v>
      </c>
      <c r="H20" s="965">
        <f ca="1" t="shared" si="19"/>
        <v>5.17605633802817</v>
      </c>
      <c r="I20" s="965">
        <f>(VLOOKUP($B$1,'Product Procurement Sheet'!B:I,8,0)*$L$1)/$P$1</f>
        <v>1.97183098591549</v>
      </c>
      <c r="J20" s="965">
        <f>(VLOOKUP($B$1,'Product Procurement Sheet'!B:I,8,0)*$M$1)/$P$1</f>
        <v>3.94366197183099</v>
      </c>
      <c r="K20" s="965">
        <f>(VLOOKUP($B$1,'Product Procurement Sheet'!B:I,8,0)*$N$1)/$P$1</f>
        <v>5.91549295774648</v>
      </c>
      <c r="L20" s="968">
        <f>VLOOKUP($B$1,'Product Procurement Sheet'!B:D,3,FALSE)*$L$1</f>
        <v>0.11</v>
      </c>
      <c r="M20" s="968">
        <f>VLOOKUP($B$1,'Product Procurement Sheet'!B:D,3,FALSE)*$M$1</f>
        <v>0.22</v>
      </c>
      <c r="N20" s="968">
        <f>VLOOKUP($B$1,'Product Procurement Sheet'!B:D,3,FALSE)*$N$1</f>
        <v>0.33</v>
      </c>
      <c r="O20" s="971" cm="1">
        <f ca="1" t="array" ref="O20">(_xlfn.SINGLE(_xlfn.XLOOKUP(1,(INDIRECT($R$1&amp;"!$C:$C")=B20)*(INDIRECT($R$1&amp;"!$G:$G")&lt;L20)*(INDIRECT($R$1&amp;"!$H:$H")&gt;=L20),INDIRECT($R$1&amp;"!$K:$K"))))*L20+(_xlfn.SINGLE(_xlfn.XLOOKUP(1,(INDIRECT($R$1&amp;"!$C:$C")=B20)*(INDIRECT($R$1&amp;"!$G:$G")&lt;L20)*(INDIRECT($R$1&amp;"!$H:$H")&gt;=L20),INDIRECT($R$1&amp;"!$L:$L"))))</f>
        <v>20.25</v>
      </c>
      <c r="P20" s="971" cm="1">
        <f ca="1" t="array" ref="P20">(_xlfn.SINGLE(_xlfn.XLOOKUP(1,(INDIRECT($R$1&amp;"!$C:$C")=B20)*(INDIRECT($R$1&amp;"!$G:$G")&lt;M20)*(INDIRECT($R$1&amp;"!$H:$H")&gt;=M20),INDIRECT($R$1&amp;"!$K:$K"))))*M20+(_xlfn.SINGLE(_xlfn.XLOOKUP(1,(INDIRECT($R$1&amp;"!$C:$C")=B20)*(INDIRECT($R$1&amp;"!$G:$G")&lt;M20)*(INDIRECT($R$1&amp;"!$H:$H")&gt;=M20),INDIRECT($R$1&amp;"!$L:$L"))))</f>
        <v>28.5</v>
      </c>
      <c r="Q20" s="971" cm="1">
        <f ca="1" t="array" ref="Q20">(_xlfn.SINGLE(_xlfn.XLOOKUP(1,(INDIRECT($R$1&amp;"!$C:$C")=B20)*(INDIRECT($R$1&amp;"!$G:$G")&lt;N20)*(INDIRECT($R$1&amp;"!$H:$H")&gt;=N20),INDIRECT($R$1&amp;"!$K:$K"))))*N20+(_xlfn.SINGLE(_xlfn.XLOOKUP(1,(INDIRECT($R$1&amp;"!$C:$C")=B20)*(INDIRECT($R$1&amp;"!$G:$G")&lt;N20)*(INDIRECT($R$1&amp;"!$H:$H")&gt;=N20),INDIRECT($R$1&amp;"!$L:$L"))))</f>
        <v>36.75</v>
      </c>
      <c r="R20" s="955"/>
    </row>
    <row r="21" ht="17.25" spans="1:18">
      <c r="A21" s="963" t="s">
        <v>58</v>
      </c>
      <c r="B21" s="963" t="s">
        <v>59</v>
      </c>
      <c r="C21" s="964">
        <f ca="1" t="shared" si="3"/>
        <v>5.16161971830986</v>
      </c>
      <c r="D21" s="964">
        <f ca="1" t="shared" si="0"/>
        <v>8.51478873239437</v>
      </c>
      <c r="E21" s="964">
        <f ca="1" t="shared" si="1"/>
        <v>11.8679577464789</v>
      </c>
      <c r="F21" s="965">
        <f ca="1" t="shared" ref="F21:H21" si="20">O21/$P$1</f>
        <v>2.85211267605634</v>
      </c>
      <c r="G21" s="965">
        <f ca="1" t="shared" si="20"/>
        <v>4.01408450704225</v>
      </c>
      <c r="H21" s="965">
        <f ca="1" t="shared" si="20"/>
        <v>5.17605633802817</v>
      </c>
      <c r="I21" s="965">
        <f>(VLOOKUP($B$1,'Product Procurement Sheet'!B:I,8,0)*$L$1)/$P$1</f>
        <v>1.97183098591549</v>
      </c>
      <c r="J21" s="965">
        <f>(VLOOKUP($B$1,'Product Procurement Sheet'!B:I,8,0)*$M$1)/$P$1</f>
        <v>3.94366197183099</v>
      </c>
      <c r="K21" s="965">
        <f>(VLOOKUP($B$1,'Product Procurement Sheet'!B:I,8,0)*$N$1)/$P$1</f>
        <v>5.91549295774648</v>
      </c>
      <c r="L21" s="968">
        <f>VLOOKUP($B$1,'Product Procurement Sheet'!B:D,3,FALSE)*$L$1</f>
        <v>0.11</v>
      </c>
      <c r="M21" s="968">
        <f>VLOOKUP($B$1,'Product Procurement Sheet'!B:D,3,FALSE)*$M$1</f>
        <v>0.22</v>
      </c>
      <c r="N21" s="968">
        <f>VLOOKUP($B$1,'Product Procurement Sheet'!B:D,3,FALSE)*$N$1</f>
        <v>0.33</v>
      </c>
      <c r="O21" s="971" cm="1">
        <f ca="1" t="array" ref="O21">(_xlfn.SINGLE(_xlfn.XLOOKUP(1,(INDIRECT($R$1&amp;"!$C:$C")=B21)*(INDIRECT($R$1&amp;"!$G:$G")&lt;L21)*(INDIRECT($R$1&amp;"!$H:$H")&gt;=L21),INDIRECT($R$1&amp;"!$K:$K"))))*L21+(_xlfn.SINGLE(_xlfn.XLOOKUP(1,(INDIRECT($R$1&amp;"!$C:$C")=B21)*(INDIRECT($R$1&amp;"!$G:$G")&lt;L21)*(INDIRECT($R$1&amp;"!$H:$H")&gt;=L21),INDIRECT($R$1&amp;"!$L:$L"))))</f>
        <v>20.25</v>
      </c>
      <c r="P21" s="971" cm="1">
        <f ca="1" t="array" ref="P21">(_xlfn.SINGLE(_xlfn.XLOOKUP(1,(INDIRECT($R$1&amp;"!$C:$C")=B21)*(INDIRECT($R$1&amp;"!$G:$G")&lt;M21)*(INDIRECT($R$1&amp;"!$H:$H")&gt;=M21),INDIRECT($R$1&amp;"!$K:$K"))))*M21+(_xlfn.SINGLE(_xlfn.XLOOKUP(1,(INDIRECT($R$1&amp;"!$C:$C")=B21)*(INDIRECT($R$1&amp;"!$G:$G")&lt;M21)*(INDIRECT($R$1&amp;"!$H:$H")&gt;=M21),INDIRECT($R$1&amp;"!$L:$L"))))</f>
        <v>28.5</v>
      </c>
      <c r="Q21" s="971" cm="1">
        <f ca="1" t="array" ref="Q21">(_xlfn.SINGLE(_xlfn.XLOOKUP(1,(INDIRECT($R$1&amp;"!$C:$C")=B21)*(INDIRECT($R$1&amp;"!$G:$G")&lt;N21)*(INDIRECT($R$1&amp;"!$H:$H")&gt;=N21),INDIRECT($R$1&amp;"!$K:$K"))))*N21+(_xlfn.SINGLE(_xlfn.XLOOKUP(1,(INDIRECT($R$1&amp;"!$C:$C")=B21)*(INDIRECT($R$1&amp;"!$G:$G")&lt;N21)*(INDIRECT($R$1&amp;"!$H:$H")&gt;=N21),INDIRECT($R$1&amp;"!$L:$L"))))</f>
        <v>36.75</v>
      </c>
      <c r="R21" s="955"/>
    </row>
    <row r="22" ht="17.25" spans="1:18">
      <c r="A22" s="963" t="s">
        <v>60</v>
      </c>
      <c r="B22" s="963" t="s">
        <v>61</v>
      </c>
      <c r="C22" s="964">
        <f ca="1" t="shared" si="3"/>
        <v>5.46302816901408</v>
      </c>
      <c r="D22" s="964">
        <f ca="1" t="shared" si="0"/>
        <v>8.8161971830986</v>
      </c>
      <c r="E22" s="964">
        <f ca="1" t="shared" si="1"/>
        <v>12.1693661971831</v>
      </c>
      <c r="F22" s="965">
        <f ca="1" t="shared" ref="F22:H22" si="21">O22/$P$1</f>
        <v>3.13380281690141</v>
      </c>
      <c r="G22" s="965">
        <f ca="1" t="shared" si="21"/>
        <v>4.29577464788732</v>
      </c>
      <c r="H22" s="965">
        <f ca="1" t="shared" si="21"/>
        <v>5.45774647887324</v>
      </c>
      <c r="I22" s="965">
        <f>(VLOOKUP($B$1,'Product Procurement Sheet'!B:I,8,0)*$L$1)/$P$1</f>
        <v>1.97183098591549</v>
      </c>
      <c r="J22" s="965">
        <f>(VLOOKUP($B$1,'Product Procurement Sheet'!B:I,8,0)*$M$1)/$P$1</f>
        <v>3.94366197183099</v>
      </c>
      <c r="K22" s="965">
        <f>(VLOOKUP($B$1,'Product Procurement Sheet'!B:I,8,0)*$N$1)/$P$1</f>
        <v>5.91549295774648</v>
      </c>
      <c r="L22" s="968">
        <f>VLOOKUP($B$1,'Product Procurement Sheet'!B:D,3,FALSE)*$L$1</f>
        <v>0.11</v>
      </c>
      <c r="M22" s="968">
        <f>VLOOKUP($B$1,'Product Procurement Sheet'!B:D,3,FALSE)*$M$1</f>
        <v>0.22</v>
      </c>
      <c r="N22" s="968">
        <f>VLOOKUP($B$1,'Product Procurement Sheet'!B:D,3,FALSE)*$N$1</f>
        <v>0.33</v>
      </c>
      <c r="O22" s="971" cm="1">
        <f ca="1" t="array" ref="O22">(_xlfn.SINGLE(_xlfn.XLOOKUP(1,(INDIRECT($R$1&amp;"!$C:$C")=B22)*(INDIRECT($R$1&amp;"!$G:$G")&lt;L22)*(INDIRECT($R$1&amp;"!$H:$H")&gt;=L22),INDIRECT($R$1&amp;"!$K:$K"))))*L22+(_xlfn.SINGLE(_xlfn.XLOOKUP(1,(INDIRECT($R$1&amp;"!$C:$C")=B22)*(INDIRECT($R$1&amp;"!$G:$G")&lt;L22)*(INDIRECT($R$1&amp;"!$H:$H")&gt;=L22),INDIRECT($R$1&amp;"!$L:$L"))))</f>
        <v>22.25</v>
      </c>
      <c r="P22" s="971" cm="1">
        <f ca="1" t="array" ref="P22">(_xlfn.SINGLE(_xlfn.XLOOKUP(1,(INDIRECT($R$1&amp;"!$C:$C")=B22)*(INDIRECT($R$1&amp;"!$G:$G")&lt;M22)*(INDIRECT($R$1&amp;"!$H:$H")&gt;=M22),INDIRECT($R$1&amp;"!$K:$K"))))*M22+(_xlfn.SINGLE(_xlfn.XLOOKUP(1,(INDIRECT($R$1&amp;"!$C:$C")=B22)*(INDIRECT($R$1&amp;"!$G:$G")&lt;M22)*(INDIRECT($R$1&amp;"!$H:$H")&gt;=M22),INDIRECT($R$1&amp;"!$L:$L"))))</f>
        <v>30.5</v>
      </c>
      <c r="Q22" s="971" cm="1">
        <f ca="1" t="array" ref="Q22">(_xlfn.SINGLE(_xlfn.XLOOKUP(1,(INDIRECT($R$1&amp;"!$C:$C")=B22)*(INDIRECT($R$1&amp;"!$G:$G")&lt;N22)*(INDIRECT($R$1&amp;"!$H:$H")&gt;=N22),INDIRECT($R$1&amp;"!$K:$K"))))*N22+(_xlfn.SINGLE(_xlfn.XLOOKUP(1,(INDIRECT($R$1&amp;"!$C:$C")=B22)*(INDIRECT($R$1&amp;"!$G:$G")&lt;N22)*(INDIRECT($R$1&amp;"!$H:$H")&gt;=N22),INDIRECT($R$1&amp;"!$L:$L"))))</f>
        <v>38.75</v>
      </c>
      <c r="R22" s="955"/>
    </row>
    <row r="23" ht="17.25" spans="1:18">
      <c r="A23" s="963" t="s">
        <v>62</v>
      </c>
      <c r="B23" s="963" t="s">
        <v>63</v>
      </c>
      <c r="C23" s="964">
        <f ca="1" t="shared" si="3"/>
        <v>6.66866197183098</v>
      </c>
      <c r="D23" s="964">
        <f ca="1" t="shared" si="0"/>
        <v>10.0218309859155</v>
      </c>
      <c r="E23" s="964">
        <f ca="1" t="shared" si="1"/>
        <v>13.375</v>
      </c>
      <c r="F23" s="965">
        <f ca="1" t="shared" ref="F23:H23" si="22">O23/$P$1</f>
        <v>4.26056338028169</v>
      </c>
      <c r="G23" s="965">
        <f ca="1" t="shared" si="22"/>
        <v>5.42253521126761</v>
      </c>
      <c r="H23" s="965">
        <f ca="1" t="shared" si="22"/>
        <v>6.58450704225352</v>
      </c>
      <c r="I23" s="965">
        <f>(VLOOKUP($B$1,'Product Procurement Sheet'!B:I,8,0)*$L$1)/$P$1</f>
        <v>1.97183098591549</v>
      </c>
      <c r="J23" s="965">
        <f>(VLOOKUP($B$1,'Product Procurement Sheet'!B:I,8,0)*$M$1)/$P$1</f>
        <v>3.94366197183099</v>
      </c>
      <c r="K23" s="965">
        <f>(VLOOKUP($B$1,'Product Procurement Sheet'!B:I,8,0)*$N$1)/$P$1</f>
        <v>5.91549295774648</v>
      </c>
      <c r="L23" s="968">
        <f>VLOOKUP($B$1,'Product Procurement Sheet'!B:D,3,FALSE)*$L$1</f>
        <v>0.11</v>
      </c>
      <c r="M23" s="968">
        <f>VLOOKUP($B$1,'Product Procurement Sheet'!B:D,3,FALSE)*$M$1</f>
        <v>0.22</v>
      </c>
      <c r="N23" s="968">
        <f>VLOOKUP($B$1,'Product Procurement Sheet'!B:D,3,FALSE)*$N$1</f>
        <v>0.33</v>
      </c>
      <c r="O23" s="971" cm="1">
        <f ca="1" t="array" ref="O23">(_xlfn.SINGLE(_xlfn.XLOOKUP(1,(INDIRECT($R$1&amp;"!$C:$C")=B23)*(INDIRECT($R$1&amp;"!$G:$G")&lt;L23)*(INDIRECT($R$1&amp;"!$H:$H")&gt;=L23),INDIRECT($R$1&amp;"!$K:$K"))))*L23+(_xlfn.SINGLE(_xlfn.XLOOKUP(1,(INDIRECT($R$1&amp;"!$C:$C")=B23)*(INDIRECT($R$1&amp;"!$G:$G")&lt;L23)*(INDIRECT($R$1&amp;"!$H:$H")&gt;=L23),INDIRECT($R$1&amp;"!$L:$L"))))</f>
        <v>30.25</v>
      </c>
      <c r="P23" s="971" cm="1">
        <f ca="1" t="array" ref="P23">(_xlfn.SINGLE(_xlfn.XLOOKUP(1,(INDIRECT($R$1&amp;"!$C:$C")=B23)*(INDIRECT($R$1&amp;"!$G:$G")&lt;M23)*(INDIRECT($R$1&amp;"!$H:$H")&gt;=M23),INDIRECT($R$1&amp;"!$K:$K"))))*M23+(_xlfn.SINGLE(_xlfn.XLOOKUP(1,(INDIRECT($R$1&amp;"!$C:$C")=B23)*(INDIRECT($R$1&amp;"!$G:$G")&lt;M23)*(INDIRECT($R$1&amp;"!$H:$H")&gt;=M23),INDIRECT($R$1&amp;"!$L:$L"))))</f>
        <v>38.5</v>
      </c>
      <c r="Q23" s="971" cm="1">
        <f ca="1" t="array" ref="Q23">(_xlfn.SINGLE(_xlfn.XLOOKUP(1,(INDIRECT($R$1&amp;"!$C:$C")=B23)*(INDIRECT($R$1&amp;"!$G:$G")&lt;N23)*(INDIRECT($R$1&amp;"!$H:$H")&gt;=N23),INDIRECT($R$1&amp;"!$K:$K"))))*N23+(_xlfn.SINGLE(_xlfn.XLOOKUP(1,(INDIRECT($R$1&amp;"!$C:$C")=B23)*(INDIRECT($R$1&amp;"!$G:$G")&lt;N23)*(INDIRECT($R$1&amp;"!$H:$H")&gt;=N23),INDIRECT($R$1&amp;"!$L:$L"))))</f>
        <v>46.75</v>
      </c>
      <c r="R23" s="955"/>
    </row>
    <row r="24" ht="17.25" spans="1:18">
      <c r="A24" s="963" t="s">
        <v>64</v>
      </c>
      <c r="B24" s="963" t="s">
        <v>65</v>
      </c>
      <c r="C24" s="964">
        <f ca="1" t="shared" si="3"/>
        <v>6.24669014084507</v>
      </c>
      <c r="D24" s="964">
        <f ca="1" t="shared" si="0"/>
        <v>9.93140845070423</v>
      </c>
      <c r="E24" s="964">
        <f ca="1" t="shared" si="1"/>
        <v>13.6161267605634</v>
      </c>
      <c r="F24" s="965">
        <f ca="1" t="shared" ref="F24:H24" si="23">O24/$P$1</f>
        <v>3.86619718309859</v>
      </c>
      <c r="G24" s="965">
        <f ca="1" t="shared" si="23"/>
        <v>5.33802816901408</v>
      </c>
      <c r="H24" s="965">
        <f ca="1" t="shared" si="23"/>
        <v>6.80985915492958</v>
      </c>
      <c r="I24" s="965">
        <f>(VLOOKUP($B$1,'Product Procurement Sheet'!B:I,8,0)*$L$1)/$P$1</f>
        <v>1.97183098591549</v>
      </c>
      <c r="J24" s="965">
        <f>(VLOOKUP($B$1,'Product Procurement Sheet'!B:I,8,0)*$M$1)/$P$1</f>
        <v>3.94366197183099</v>
      </c>
      <c r="K24" s="965">
        <f>(VLOOKUP($B$1,'Product Procurement Sheet'!B:I,8,0)*$N$1)/$P$1</f>
        <v>5.91549295774648</v>
      </c>
      <c r="L24" s="968">
        <f>VLOOKUP($B$1,'Product Procurement Sheet'!B:D,3,FALSE)*$L$1</f>
        <v>0.11</v>
      </c>
      <c r="M24" s="968">
        <f>VLOOKUP($B$1,'Product Procurement Sheet'!B:D,3,FALSE)*$M$1</f>
        <v>0.22</v>
      </c>
      <c r="N24" s="968">
        <f>VLOOKUP($B$1,'Product Procurement Sheet'!B:D,3,FALSE)*$N$1</f>
        <v>0.33</v>
      </c>
      <c r="O24" s="971" cm="1">
        <f ca="1" t="array" ref="O24">(_xlfn.SINGLE(_xlfn.XLOOKUP(1,(INDIRECT($R$1&amp;"!$C:$C")=B24)*(INDIRECT($R$1&amp;"!$G:$G")&lt;L24)*(INDIRECT($R$1&amp;"!$H:$H")&gt;=L24),INDIRECT($R$1&amp;"!$K:$K"))))*L24+(_xlfn.SINGLE(_xlfn.XLOOKUP(1,(INDIRECT($R$1&amp;"!$C:$C")=B24)*(INDIRECT($R$1&amp;"!$G:$G")&lt;L24)*(INDIRECT($R$1&amp;"!$H:$H")&gt;=L24),INDIRECT($R$1&amp;"!$L:$L"))))</f>
        <v>27.45</v>
      </c>
      <c r="P24" s="971" cm="1">
        <f ca="1" t="array" ref="P24">(_xlfn.SINGLE(_xlfn.XLOOKUP(1,(INDIRECT($R$1&amp;"!$C:$C")=B24)*(INDIRECT($R$1&amp;"!$G:$G")&lt;M24)*(INDIRECT($R$1&amp;"!$H:$H")&gt;=M24),INDIRECT($R$1&amp;"!$K:$K"))))*M24+(_xlfn.SINGLE(_xlfn.XLOOKUP(1,(INDIRECT($R$1&amp;"!$C:$C")=B24)*(INDIRECT($R$1&amp;"!$G:$G")&lt;M24)*(INDIRECT($R$1&amp;"!$H:$H")&gt;=M24),INDIRECT($R$1&amp;"!$L:$L"))))</f>
        <v>37.9</v>
      </c>
      <c r="Q24" s="971" cm="1">
        <f ca="1" t="array" ref="Q24">(_xlfn.SINGLE(_xlfn.XLOOKUP(1,(INDIRECT($R$1&amp;"!$C:$C")=B24)*(INDIRECT($R$1&amp;"!$G:$G")&lt;N24)*(INDIRECT($R$1&amp;"!$H:$H")&gt;=N24),INDIRECT($R$1&amp;"!$K:$K"))))*N24+(_xlfn.SINGLE(_xlfn.XLOOKUP(1,(INDIRECT($R$1&amp;"!$C:$C")=B24)*(INDIRECT($R$1&amp;"!$G:$G")&lt;N24)*(INDIRECT($R$1&amp;"!$H:$H")&gt;=N24),INDIRECT($R$1&amp;"!$L:$L"))))</f>
        <v>48.35</v>
      </c>
      <c r="R24" s="955"/>
    </row>
    <row r="25" ht="17.25" spans="1:18">
      <c r="A25" s="963" t="s">
        <v>66</v>
      </c>
      <c r="B25" s="963" t="s">
        <v>67</v>
      </c>
      <c r="C25" s="964">
        <f ca="1" t="shared" si="3"/>
        <v>5.96035211267605</v>
      </c>
      <c r="D25" s="964">
        <f ca="1" t="shared" si="0"/>
        <v>9.81084507042254</v>
      </c>
      <c r="E25" s="964">
        <f ca="1" t="shared" si="1"/>
        <v>13.661338028169</v>
      </c>
      <c r="F25" s="965">
        <f ca="1" t="shared" ref="F25:H25" si="24">O25/$P$1</f>
        <v>3.59859154929577</v>
      </c>
      <c r="G25" s="965">
        <f ca="1" t="shared" si="24"/>
        <v>5.22535211267606</v>
      </c>
      <c r="H25" s="965">
        <f ca="1" t="shared" si="24"/>
        <v>6.85211267605634</v>
      </c>
      <c r="I25" s="965">
        <f>(VLOOKUP($B$1,'Product Procurement Sheet'!B:I,8,0)*$L$1)/$P$1</f>
        <v>1.97183098591549</v>
      </c>
      <c r="J25" s="965">
        <f>(VLOOKUP($B$1,'Product Procurement Sheet'!B:I,8,0)*$M$1)/$P$1</f>
        <v>3.94366197183099</v>
      </c>
      <c r="K25" s="965">
        <f>(VLOOKUP($B$1,'Product Procurement Sheet'!B:I,8,0)*$N$1)/$P$1</f>
        <v>5.91549295774648</v>
      </c>
      <c r="L25" s="968">
        <f>VLOOKUP($B$1,'Product Procurement Sheet'!B:D,3,FALSE)*$L$1</f>
        <v>0.11</v>
      </c>
      <c r="M25" s="968">
        <f>VLOOKUP($B$1,'Product Procurement Sheet'!B:D,3,FALSE)*$M$1</f>
        <v>0.22</v>
      </c>
      <c r="N25" s="968">
        <f>VLOOKUP($B$1,'Product Procurement Sheet'!B:D,3,FALSE)*$N$1</f>
        <v>0.33</v>
      </c>
      <c r="O25" s="971" cm="1">
        <f ca="1" t="array" ref="O25">(_xlfn.SINGLE(_xlfn.XLOOKUP(1,(INDIRECT($R$1&amp;"!$C:$C")=B25)*(INDIRECT($R$1&amp;"!$G:$G")&lt;L25)*(INDIRECT($R$1&amp;"!$H:$H")&gt;=L25),INDIRECT($R$1&amp;"!$K:$K"))))*L25+(_xlfn.SINGLE(_xlfn.XLOOKUP(1,(INDIRECT($R$1&amp;"!$C:$C")=B25)*(INDIRECT($R$1&amp;"!$G:$G")&lt;L25)*(INDIRECT($R$1&amp;"!$H:$H")&gt;=L25),INDIRECT($R$1&amp;"!$L:$L"))))</f>
        <v>25.55</v>
      </c>
      <c r="P25" s="971" cm="1">
        <f ca="1" t="array" ref="P25">(_xlfn.SINGLE(_xlfn.XLOOKUP(1,(INDIRECT($R$1&amp;"!$C:$C")=B25)*(INDIRECT($R$1&amp;"!$G:$G")&lt;M25)*(INDIRECT($R$1&amp;"!$H:$H")&gt;=M25),INDIRECT($R$1&amp;"!$K:$K"))))*M25+(_xlfn.SINGLE(_xlfn.XLOOKUP(1,(INDIRECT($R$1&amp;"!$C:$C")=B25)*(INDIRECT($R$1&amp;"!$G:$G")&lt;M25)*(INDIRECT($R$1&amp;"!$H:$H")&gt;=M25),INDIRECT($R$1&amp;"!$L:$L"))))</f>
        <v>37.1</v>
      </c>
      <c r="Q25" s="971" cm="1">
        <f ca="1" t="array" ref="Q25">(_xlfn.SINGLE(_xlfn.XLOOKUP(1,(INDIRECT($R$1&amp;"!$C:$C")=B25)*(INDIRECT($R$1&amp;"!$G:$G")&lt;N25)*(INDIRECT($R$1&amp;"!$H:$H")&gt;=N25),INDIRECT($R$1&amp;"!$K:$K"))))*N25+(_xlfn.SINGLE(_xlfn.XLOOKUP(1,(INDIRECT($R$1&amp;"!$C:$C")=B25)*(INDIRECT($R$1&amp;"!$G:$G")&lt;N25)*(INDIRECT($R$1&amp;"!$H:$H")&gt;=N25),INDIRECT($R$1&amp;"!$L:$L"))))</f>
        <v>48.65</v>
      </c>
      <c r="R25" s="955"/>
    </row>
    <row r="26" ht="17.25" spans="1:18">
      <c r="A26" s="963" t="s">
        <v>68</v>
      </c>
      <c r="B26" s="963" t="s">
        <v>69</v>
      </c>
      <c r="C26" s="964">
        <f ca="1" t="shared" si="3"/>
        <v>6.05077464788732</v>
      </c>
      <c r="D26" s="964">
        <f ca="1" t="shared" si="0"/>
        <v>9.23816901408451</v>
      </c>
      <c r="E26" s="964">
        <f ca="1" t="shared" si="1"/>
        <v>12.4255633802817</v>
      </c>
      <c r="F26" s="965">
        <f ca="1" t="shared" ref="F26:H26" si="25">O26/$P$1</f>
        <v>3.6830985915493</v>
      </c>
      <c r="G26" s="965">
        <f ca="1" t="shared" si="25"/>
        <v>4.69014084507042</v>
      </c>
      <c r="H26" s="965">
        <f ca="1" t="shared" si="25"/>
        <v>5.69718309859155</v>
      </c>
      <c r="I26" s="965">
        <f>(VLOOKUP($B$1,'Product Procurement Sheet'!B:I,8,0)*$L$1)/$P$1</f>
        <v>1.97183098591549</v>
      </c>
      <c r="J26" s="965">
        <f>(VLOOKUP($B$1,'Product Procurement Sheet'!B:I,8,0)*$M$1)/$P$1</f>
        <v>3.94366197183099</v>
      </c>
      <c r="K26" s="965">
        <f>(VLOOKUP($B$1,'Product Procurement Sheet'!B:I,8,0)*$N$1)/$P$1</f>
        <v>5.91549295774648</v>
      </c>
      <c r="L26" s="968">
        <f>VLOOKUP($B$1,'Product Procurement Sheet'!B:D,3,FALSE)*$L$1</f>
        <v>0.11</v>
      </c>
      <c r="M26" s="968">
        <f>VLOOKUP($B$1,'Product Procurement Sheet'!B:D,3,FALSE)*$M$1</f>
        <v>0.22</v>
      </c>
      <c r="N26" s="968">
        <f>VLOOKUP($B$1,'Product Procurement Sheet'!B:D,3,FALSE)*$N$1</f>
        <v>0.33</v>
      </c>
      <c r="O26" s="971" cm="1">
        <f ca="1" t="array" ref="O26">(_xlfn.SINGLE(_xlfn.XLOOKUP(1,(INDIRECT($R$1&amp;"!$C:$C")=B26)*(INDIRECT($R$1&amp;"!$G:$G")&lt;L26)*(INDIRECT($R$1&amp;"!$H:$H")&gt;=L26),INDIRECT($R$1&amp;"!$K:$K"))))*L26+(_xlfn.SINGLE(_xlfn.XLOOKUP(1,(INDIRECT($R$1&amp;"!$C:$C")=B26)*(INDIRECT($R$1&amp;"!$G:$G")&lt;L26)*(INDIRECT($R$1&amp;"!$H:$H")&gt;=L26),INDIRECT($R$1&amp;"!$L:$L"))))</f>
        <v>26.15</v>
      </c>
      <c r="P26" s="971" cm="1">
        <f ca="1" t="array" ref="P26">(_xlfn.SINGLE(_xlfn.XLOOKUP(1,(INDIRECT($R$1&amp;"!$C:$C")=B26)*(INDIRECT($R$1&amp;"!$G:$G")&lt;M26)*(INDIRECT($R$1&amp;"!$H:$H")&gt;=M26),INDIRECT($R$1&amp;"!$K:$K"))))*M26+(_xlfn.SINGLE(_xlfn.XLOOKUP(1,(INDIRECT($R$1&amp;"!$C:$C")=B26)*(INDIRECT($R$1&amp;"!$G:$G")&lt;M26)*(INDIRECT($R$1&amp;"!$H:$H")&gt;=M26),INDIRECT($R$1&amp;"!$L:$L"))))</f>
        <v>33.3</v>
      </c>
      <c r="Q26" s="971" cm="1">
        <f ca="1" t="array" ref="Q26">(_xlfn.SINGLE(_xlfn.XLOOKUP(1,(INDIRECT($R$1&amp;"!$C:$C")=B26)*(INDIRECT($R$1&amp;"!$G:$G")&lt;N26)*(INDIRECT($R$1&amp;"!$H:$H")&gt;=N26),INDIRECT($R$1&amp;"!$K:$K"))))*N26+(_xlfn.SINGLE(_xlfn.XLOOKUP(1,(INDIRECT($R$1&amp;"!$C:$C")=B26)*(INDIRECT($R$1&amp;"!$G:$G")&lt;N26)*(INDIRECT($R$1&amp;"!$H:$H")&gt;=N26),INDIRECT($R$1&amp;"!$L:$L"))))</f>
        <v>40.45</v>
      </c>
      <c r="R26" s="955"/>
    </row>
    <row r="27" ht="17.25" spans="1:18">
      <c r="A27" s="963" t="s">
        <v>70</v>
      </c>
      <c r="B27" s="963" t="s">
        <v>71</v>
      </c>
      <c r="C27" s="964" t="e">
        <f ca="1" t="shared" si="3"/>
        <v>#N/A</v>
      </c>
      <c r="D27" s="964" t="e">
        <f ca="1" t="shared" si="0"/>
        <v>#N/A</v>
      </c>
      <c r="E27" s="964" t="e">
        <f ca="1" t="shared" si="1"/>
        <v>#N/A</v>
      </c>
      <c r="F27" s="965" t="e">
        <f ca="1" t="shared" ref="F27:H27" si="26">O27/$P$1</f>
        <v>#N/A</v>
      </c>
      <c r="G27" s="965" t="e">
        <f ca="1" t="shared" si="26"/>
        <v>#N/A</v>
      </c>
      <c r="H27" s="965" t="e">
        <f ca="1" t="shared" si="26"/>
        <v>#N/A</v>
      </c>
      <c r="I27" s="965">
        <f>(VLOOKUP($B$1,'Product Procurement Sheet'!B:I,8,0)*$L$1)/$P$1</f>
        <v>1.97183098591549</v>
      </c>
      <c r="J27" s="965">
        <f>(VLOOKUP($B$1,'Product Procurement Sheet'!B:I,8,0)*$M$1)/$P$1</f>
        <v>3.94366197183099</v>
      </c>
      <c r="K27" s="965">
        <f>(VLOOKUP($B$1,'Product Procurement Sheet'!B:I,8,0)*$N$1)/$P$1</f>
        <v>5.91549295774648</v>
      </c>
      <c r="L27" s="968">
        <f>VLOOKUP($B$1,'Product Procurement Sheet'!B:D,3,FALSE)*$L$1</f>
        <v>0.11</v>
      </c>
      <c r="M27" s="968">
        <f>VLOOKUP($B$1,'Product Procurement Sheet'!B:D,3,FALSE)*$M$1</f>
        <v>0.22</v>
      </c>
      <c r="N27" s="968">
        <f>VLOOKUP($B$1,'Product Procurement Sheet'!B:D,3,FALSE)*$N$1</f>
        <v>0.33</v>
      </c>
      <c r="O27" s="971" t="e" cm="1">
        <f ca="1" t="array" ref="O27">(_xlfn.SINGLE(_xlfn.XLOOKUP(1,(INDIRECT($R$1&amp;"!$C:$C")=B27)*(INDIRECT($R$1&amp;"!$G:$G")&lt;L27)*(INDIRECT($R$1&amp;"!$H:$H")&gt;=L27),INDIRECT($R$1&amp;"!$K:$K"))))*L27+(_xlfn.SINGLE(_xlfn.XLOOKUP(1,(INDIRECT($R$1&amp;"!$C:$C")=B27)*(INDIRECT($R$1&amp;"!$G:$G")&lt;L27)*(INDIRECT($R$1&amp;"!$H:$H")&gt;=L27),INDIRECT($R$1&amp;"!$L:$L"))))</f>
        <v>#N/A</v>
      </c>
      <c r="P27" s="971" t="e" cm="1">
        <f ca="1" t="array" ref="P27">(_xlfn.SINGLE(_xlfn.XLOOKUP(1,(INDIRECT($R$1&amp;"!$C:$C")=B27)*(INDIRECT($R$1&amp;"!$G:$G")&lt;M27)*(INDIRECT($R$1&amp;"!$H:$H")&gt;=M27),INDIRECT($R$1&amp;"!$K:$K"))))*M27+(_xlfn.SINGLE(_xlfn.XLOOKUP(1,(INDIRECT($R$1&amp;"!$C:$C")=B27)*(INDIRECT($R$1&amp;"!$G:$G")&lt;M27)*(INDIRECT($R$1&amp;"!$H:$H")&gt;=M27),INDIRECT($R$1&amp;"!$L:$L"))))</f>
        <v>#N/A</v>
      </c>
      <c r="Q27" s="971" t="e" cm="1">
        <f ca="1" t="array" ref="Q27">(_xlfn.SINGLE(_xlfn.XLOOKUP(1,(INDIRECT($R$1&amp;"!$C:$C")=B27)*(INDIRECT($R$1&amp;"!$G:$G")&lt;N27)*(INDIRECT($R$1&amp;"!$H:$H")&gt;=N27),INDIRECT($R$1&amp;"!$K:$K"))))*N27+(_xlfn.SINGLE(_xlfn.XLOOKUP(1,(INDIRECT($R$1&amp;"!$C:$C")=B27)*(INDIRECT($R$1&amp;"!$G:$G")&lt;N27)*(INDIRECT($R$1&amp;"!$H:$H")&gt;=N27),INDIRECT($R$1&amp;"!$L:$L"))))</f>
        <v>#N/A</v>
      </c>
      <c r="R27" s="955"/>
    </row>
    <row r="28" ht="17.25" spans="1:18">
      <c r="A28" s="963" t="s">
        <v>72</v>
      </c>
      <c r="B28" s="963" t="s">
        <v>73</v>
      </c>
      <c r="C28" s="964">
        <f ca="1" t="shared" si="3"/>
        <v>6.20147887323943</v>
      </c>
      <c r="D28" s="964">
        <f ca="1" t="shared" si="0"/>
        <v>9.38887323943662</v>
      </c>
      <c r="E28" s="964">
        <f ca="1" t="shared" si="1"/>
        <v>12.5762676056338</v>
      </c>
      <c r="F28" s="965">
        <f ca="1" t="shared" ref="F28:H28" si="27">O28/$P$1</f>
        <v>3.82394366197183</v>
      </c>
      <c r="G28" s="965">
        <f ca="1" t="shared" si="27"/>
        <v>4.83098591549296</v>
      </c>
      <c r="H28" s="965">
        <f ca="1" t="shared" si="27"/>
        <v>5.83802816901408</v>
      </c>
      <c r="I28" s="965">
        <f>(VLOOKUP($B$1,'Product Procurement Sheet'!B:I,8,0)*$L$1)/$P$1</f>
        <v>1.97183098591549</v>
      </c>
      <c r="J28" s="965">
        <f>(VLOOKUP($B$1,'Product Procurement Sheet'!B:I,8,0)*$M$1)/$P$1</f>
        <v>3.94366197183099</v>
      </c>
      <c r="K28" s="965">
        <f>(VLOOKUP($B$1,'Product Procurement Sheet'!B:I,8,0)*$N$1)/$P$1</f>
        <v>5.91549295774648</v>
      </c>
      <c r="L28" s="968">
        <f>VLOOKUP($B$1,'Product Procurement Sheet'!B:D,3,FALSE)*$L$1</f>
        <v>0.11</v>
      </c>
      <c r="M28" s="968">
        <f>VLOOKUP($B$1,'Product Procurement Sheet'!B:D,3,FALSE)*$M$1</f>
        <v>0.22</v>
      </c>
      <c r="N28" s="968">
        <f>VLOOKUP($B$1,'Product Procurement Sheet'!B:D,3,FALSE)*$N$1</f>
        <v>0.33</v>
      </c>
      <c r="O28" s="971" cm="1">
        <f ca="1" t="array" ref="O28">(_xlfn.SINGLE(_xlfn.XLOOKUP(1,(INDIRECT($R$1&amp;"!$C:$C")=B28)*(INDIRECT($R$1&amp;"!$G:$G")&lt;L28)*(INDIRECT($R$1&amp;"!$H:$H")&gt;=L28),INDIRECT($R$1&amp;"!$K:$K"))))*L28+(_xlfn.SINGLE(_xlfn.XLOOKUP(1,(INDIRECT($R$1&amp;"!$C:$C")=B28)*(INDIRECT($R$1&amp;"!$G:$G")&lt;L28)*(INDIRECT($R$1&amp;"!$H:$H")&gt;=L28),INDIRECT($R$1&amp;"!$L:$L"))))</f>
        <v>27.15</v>
      </c>
      <c r="P28" s="971" cm="1">
        <f ca="1" t="array" ref="P28">(_xlfn.SINGLE(_xlfn.XLOOKUP(1,(INDIRECT($R$1&amp;"!$C:$C")=B28)*(INDIRECT($R$1&amp;"!$G:$G")&lt;M28)*(INDIRECT($R$1&amp;"!$H:$H")&gt;=M28),INDIRECT($R$1&amp;"!$K:$K"))))*M28+(_xlfn.SINGLE(_xlfn.XLOOKUP(1,(INDIRECT($R$1&amp;"!$C:$C")=B28)*(INDIRECT($R$1&amp;"!$G:$G")&lt;M28)*(INDIRECT($R$1&amp;"!$H:$H")&gt;=M28),INDIRECT($R$1&amp;"!$L:$L"))))</f>
        <v>34.3</v>
      </c>
      <c r="Q28" s="971" cm="1">
        <f ca="1" t="array" ref="Q28">(_xlfn.SINGLE(_xlfn.XLOOKUP(1,(INDIRECT($R$1&amp;"!$C:$C")=B28)*(INDIRECT($R$1&amp;"!$G:$G")&lt;N28)*(INDIRECT($R$1&amp;"!$H:$H")&gt;=N28),INDIRECT($R$1&amp;"!$K:$K"))))*N28+(_xlfn.SINGLE(_xlfn.XLOOKUP(1,(INDIRECT($R$1&amp;"!$C:$C")=B28)*(INDIRECT($R$1&amp;"!$G:$G")&lt;N28)*(INDIRECT($R$1&amp;"!$H:$H")&gt;=N28),INDIRECT($R$1&amp;"!$L:$L"))))</f>
        <v>41.45</v>
      </c>
      <c r="R28" s="955"/>
    </row>
    <row r="29" ht="17.25" spans="1:18">
      <c r="A29" s="963" t="s">
        <v>74</v>
      </c>
      <c r="B29" s="963" t="s">
        <v>75</v>
      </c>
      <c r="C29" s="964">
        <f ca="1" t="shared" si="3"/>
        <v>7.90443661971831</v>
      </c>
      <c r="D29" s="964">
        <f ca="1" t="shared" si="0"/>
        <v>11.5891549295775</v>
      </c>
      <c r="E29" s="964">
        <f ca="1" t="shared" si="1"/>
        <v>15.2738732394366</v>
      </c>
      <c r="F29" s="965">
        <f ca="1" t="shared" ref="F29:H29" si="28">O29/$P$1</f>
        <v>5.41549295774648</v>
      </c>
      <c r="G29" s="965">
        <f ca="1" t="shared" si="28"/>
        <v>6.88732394366197</v>
      </c>
      <c r="H29" s="965">
        <f ca="1" t="shared" si="28"/>
        <v>8.35915492957747</v>
      </c>
      <c r="I29" s="965">
        <f>(VLOOKUP($B$1,'Product Procurement Sheet'!B:I,8,0)*$L$1)/$P$1</f>
        <v>1.97183098591549</v>
      </c>
      <c r="J29" s="965">
        <f>(VLOOKUP($B$1,'Product Procurement Sheet'!B:I,8,0)*$M$1)/$P$1</f>
        <v>3.94366197183099</v>
      </c>
      <c r="K29" s="965">
        <f>(VLOOKUP($B$1,'Product Procurement Sheet'!B:I,8,0)*$N$1)/$P$1</f>
        <v>5.91549295774648</v>
      </c>
      <c r="L29" s="968">
        <f>VLOOKUP($B$1,'Product Procurement Sheet'!B:D,3,FALSE)*$L$1</f>
        <v>0.11</v>
      </c>
      <c r="M29" s="968">
        <f>VLOOKUP($B$1,'Product Procurement Sheet'!B:D,3,FALSE)*$M$1</f>
        <v>0.22</v>
      </c>
      <c r="N29" s="968">
        <f>VLOOKUP($B$1,'Product Procurement Sheet'!B:D,3,FALSE)*$N$1</f>
        <v>0.33</v>
      </c>
      <c r="O29" s="971" cm="1">
        <f ca="1" t="array" ref="O29">(_xlfn.SINGLE(_xlfn.XLOOKUP(1,(INDIRECT($R$1&amp;"!$C:$C")=B29)*(INDIRECT($R$1&amp;"!$G:$G")&lt;L29)*(INDIRECT($R$1&amp;"!$H:$H")&gt;=L29),INDIRECT($R$1&amp;"!$K:$K"))))*L29+(_xlfn.SINGLE(_xlfn.XLOOKUP(1,(INDIRECT($R$1&amp;"!$C:$C")=B29)*(INDIRECT($R$1&amp;"!$G:$G")&lt;L29)*(INDIRECT($R$1&amp;"!$H:$H")&gt;=L29),INDIRECT($R$1&amp;"!$L:$L"))))</f>
        <v>38.45</v>
      </c>
      <c r="P29" s="971" cm="1">
        <f ca="1" t="array" ref="P29">(_xlfn.SINGLE(_xlfn.XLOOKUP(1,(INDIRECT($R$1&amp;"!$C:$C")=B29)*(INDIRECT($R$1&amp;"!$G:$G")&lt;M29)*(INDIRECT($R$1&amp;"!$H:$H")&gt;=M29),INDIRECT($R$1&amp;"!$K:$K"))))*M29+(_xlfn.SINGLE(_xlfn.XLOOKUP(1,(INDIRECT($R$1&amp;"!$C:$C")=B29)*(INDIRECT($R$1&amp;"!$G:$G")&lt;M29)*(INDIRECT($R$1&amp;"!$H:$H")&gt;=M29),INDIRECT($R$1&amp;"!$L:$L"))))</f>
        <v>48.9</v>
      </c>
      <c r="Q29" s="971" cm="1">
        <f ca="1" t="array" ref="Q29">(_xlfn.SINGLE(_xlfn.XLOOKUP(1,(INDIRECT($R$1&amp;"!$C:$C")=B29)*(INDIRECT($R$1&amp;"!$G:$G")&lt;N29)*(INDIRECT($R$1&amp;"!$H:$H")&gt;=N29),INDIRECT($R$1&amp;"!$K:$K"))))*N29+(_xlfn.SINGLE(_xlfn.XLOOKUP(1,(INDIRECT($R$1&amp;"!$C:$C")=B29)*(INDIRECT($R$1&amp;"!$G:$G")&lt;N29)*(INDIRECT($R$1&amp;"!$H:$H")&gt;=N29),INDIRECT($R$1&amp;"!$L:$L"))))</f>
        <v>59.35</v>
      </c>
      <c r="R29" s="955"/>
    </row>
    <row r="30" ht="17.25" spans="1:18">
      <c r="A30" s="963" t="s">
        <v>76</v>
      </c>
      <c r="B30" s="963" t="s">
        <v>77</v>
      </c>
      <c r="C30" s="964">
        <f ca="1" t="shared" si="3"/>
        <v>5.91514084507042</v>
      </c>
      <c r="D30" s="964">
        <f ca="1" t="shared" si="0"/>
        <v>9.26830985915493</v>
      </c>
      <c r="E30" s="964">
        <f ca="1" t="shared" si="1"/>
        <v>12.6214788732394</v>
      </c>
      <c r="F30" s="965">
        <f ca="1" t="shared" ref="F30:H30" si="29">O30/$P$1</f>
        <v>3.55633802816901</v>
      </c>
      <c r="G30" s="965">
        <f ca="1" t="shared" si="29"/>
        <v>4.71830985915493</v>
      </c>
      <c r="H30" s="965">
        <f ca="1" t="shared" si="29"/>
        <v>5.88028169014085</v>
      </c>
      <c r="I30" s="965">
        <f>(VLOOKUP($B$1,'Product Procurement Sheet'!B:I,8,0)*$L$1)/$P$1</f>
        <v>1.97183098591549</v>
      </c>
      <c r="J30" s="965">
        <f>(VLOOKUP($B$1,'Product Procurement Sheet'!B:I,8,0)*$M$1)/$P$1</f>
        <v>3.94366197183099</v>
      </c>
      <c r="K30" s="965">
        <f>(VLOOKUP($B$1,'Product Procurement Sheet'!B:I,8,0)*$N$1)/$P$1</f>
        <v>5.91549295774648</v>
      </c>
      <c r="L30" s="968">
        <f>VLOOKUP($B$1,'Product Procurement Sheet'!B:D,3,FALSE)*$L$1</f>
        <v>0.11</v>
      </c>
      <c r="M30" s="968">
        <f>VLOOKUP($B$1,'Product Procurement Sheet'!B:D,3,FALSE)*$M$1</f>
        <v>0.22</v>
      </c>
      <c r="N30" s="968">
        <f>VLOOKUP($B$1,'Product Procurement Sheet'!B:D,3,FALSE)*$N$1</f>
        <v>0.33</v>
      </c>
      <c r="O30" s="971" cm="1">
        <f ca="1" t="array" ref="O30">(_xlfn.SINGLE(_xlfn.XLOOKUP(1,(INDIRECT($R$1&amp;"!$C:$C")=B30)*(INDIRECT($R$1&amp;"!$G:$G")&lt;L30)*(INDIRECT($R$1&amp;"!$H:$H")&gt;=L30),INDIRECT($R$1&amp;"!$K:$K"))))*L30+(_xlfn.SINGLE(_xlfn.XLOOKUP(1,(INDIRECT($R$1&amp;"!$C:$C")=B30)*(INDIRECT($R$1&amp;"!$G:$G")&lt;L30)*(INDIRECT($R$1&amp;"!$H:$H")&gt;=L30),INDIRECT($R$1&amp;"!$L:$L"))))</f>
        <v>25.25</v>
      </c>
      <c r="P30" s="971" cm="1">
        <f ca="1" t="array" ref="P30">(_xlfn.SINGLE(_xlfn.XLOOKUP(1,(INDIRECT($R$1&amp;"!$C:$C")=B30)*(INDIRECT($R$1&amp;"!$G:$G")&lt;M30)*(INDIRECT($R$1&amp;"!$H:$H")&gt;=M30),INDIRECT($R$1&amp;"!$K:$K"))))*M30+(_xlfn.SINGLE(_xlfn.XLOOKUP(1,(INDIRECT($R$1&amp;"!$C:$C")=B30)*(INDIRECT($R$1&amp;"!$G:$G")&lt;M30)*(INDIRECT($R$1&amp;"!$H:$H")&gt;=M30),INDIRECT($R$1&amp;"!$L:$L"))))</f>
        <v>33.5</v>
      </c>
      <c r="Q30" s="971" cm="1">
        <f ca="1" t="array" ref="Q30">(_xlfn.SINGLE(_xlfn.XLOOKUP(1,(INDIRECT($R$1&amp;"!$C:$C")=B30)*(INDIRECT($R$1&amp;"!$G:$G")&lt;N30)*(INDIRECT($R$1&amp;"!$H:$H")&gt;=N30),INDIRECT($R$1&amp;"!$K:$K"))))*N30+(_xlfn.SINGLE(_xlfn.XLOOKUP(1,(INDIRECT($R$1&amp;"!$C:$C")=B30)*(INDIRECT($R$1&amp;"!$G:$G")&lt;N30)*(INDIRECT($R$1&amp;"!$H:$H")&gt;=N30),INDIRECT($R$1&amp;"!$L:$L"))))</f>
        <v>41.75</v>
      </c>
      <c r="R30" s="955"/>
    </row>
    <row r="31" ht="17.25" spans="1:18">
      <c r="A31" s="963" t="s">
        <v>78</v>
      </c>
      <c r="B31" s="963" t="s">
        <v>79</v>
      </c>
      <c r="C31" s="964">
        <f ca="1" t="shared" si="3"/>
        <v>6.66866197183098</v>
      </c>
      <c r="D31" s="964">
        <f ca="1" t="shared" si="0"/>
        <v>10.0218309859155</v>
      </c>
      <c r="E31" s="964">
        <f ca="1" t="shared" si="1"/>
        <v>13.375</v>
      </c>
      <c r="F31" s="965">
        <f ca="1" t="shared" ref="F31:H31" si="30">O31/$P$1</f>
        <v>4.26056338028169</v>
      </c>
      <c r="G31" s="965">
        <f ca="1" t="shared" si="30"/>
        <v>5.42253521126761</v>
      </c>
      <c r="H31" s="965">
        <f ca="1" t="shared" si="30"/>
        <v>6.58450704225352</v>
      </c>
      <c r="I31" s="965">
        <f>(VLOOKUP($B$1,'Product Procurement Sheet'!B:I,8,0)*$L$1)/$P$1</f>
        <v>1.97183098591549</v>
      </c>
      <c r="J31" s="965">
        <f>(VLOOKUP($B$1,'Product Procurement Sheet'!B:I,8,0)*$M$1)/$P$1</f>
        <v>3.94366197183099</v>
      </c>
      <c r="K31" s="965">
        <f>(VLOOKUP($B$1,'Product Procurement Sheet'!B:I,8,0)*$N$1)/$P$1</f>
        <v>5.91549295774648</v>
      </c>
      <c r="L31" s="968">
        <f>VLOOKUP($B$1,'Product Procurement Sheet'!B:D,3,FALSE)*$L$1</f>
        <v>0.11</v>
      </c>
      <c r="M31" s="968">
        <f>VLOOKUP($B$1,'Product Procurement Sheet'!B:D,3,FALSE)*$M$1</f>
        <v>0.22</v>
      </c>
      <c r="N31" s="968">
        <f>VLOOKUP($B$1,'Product Procurement Sheet'!B:D,3,FALSE)*$N$1</f>
        <v>0.33</v>
      </c>
      <c r="O31" s="971" cm="1">
        <f ca="1" t="array" ref="O31">(_xlfn.SINGLE(_xlfn.XLOOKUP(1,(INDIRECT($R$1&amp;"!$C:$C")=B31)*(INDIRECT($R$1&amp;"!$G:$G")&lt;L31)*(INDIRECT($R$1&amp;"!$H:$H")&gt;=L31),INDIRECT($R$1&amp;"!$K:$K"))))*L31+(_xlfn.SINGLE(_xlfn.XLOOKUP(1,(INDIRECT($R$1&amp;"!$C:$C")=B31)*(INDIRECT($R$1&amp;"!$G:$G")&lt;L31)*(INDIRECT($R$1&amp;"!$H:$H")&gt;=L31),INDIRECT($R$1&amp;"!$L:$L"))))</f>
        <v>30.25</v>
      </c>
      <c r="P31" s="971" cm="1">
        <f ca="1" t="array" ref="P31">(_xlfn.SINGLE(_xlfn.XLOOKUP(1,(INDIRECT($R$1&amp;"!$C:$C")=B31)*(INDIRECT($R$1&amp;"!$G:$G")&lt;M31)*(INDIRECT($R$1&amp;"!$H:$H")&gt;=M31),INDIRECT($R$1&amp;"!$K:$K"))))*M31+(_xlfn.SINGLE(_xlfn.XLOOKUP(1,(INDIRECT($R$1&amp;"!$C:$C")=B31)*(INDIRECT($R$1&amp;"!$G:$G")&lt;M31)*(INDIRECT($R$1&amp;"!$H:$H")&gt;=M31),INDIRECT($R$1&amp;"!$L:$L"))))</f>
        <v>38.5</v>
      </c>
      <c r="Q31" s="971" cm="1">
        <f ca="1" t="array" ref="Q31">(_xlfn.SINGLE(_xlfn.XLOOKUP(1,(INDIRECT($R$1&amp;"!$C:$C")=B31)*(INDIRECT($R$1&amp;"!$G:$G")&lt;N31)*(INDIRECT($R$1&amp;"!$H:$H")&gt;=N31),INDIRECT($R$1&amp;"!$K:$K"))))*N31+(_xlfn.SINGLE(_xlfn.XLOOKUP(1,(INDIRECT($R$1&amp;"!$C:$C")=B31)*(INDIRECT($R$1&amp;"!$G:$G")&lt;N31)*(INDIRECT($R$1&amp;"!$H:$H")&gt;=N31),INDIRECT($R$1&amp;"!$L:$L"))))</f>
        <v>46.75</v>
      </c>
      <c r="R31" s="955"/>
    </row>
    <row r="32" ht="17.25" spans="1:18">
      <c r="A32" s="963" t="s">
        <v>80</v>
      </c>
      <c r="B32" s="963" t="s">
        <v>81</v>
      </c>
      <c r="C32" s="964">
        <f ca="1" t="shared" si="3"/>
        <v>7.40711267605634</v>
      </c>
      <c r="D32" s="964">
        <f ca="1" t="shared" si="0"/>
        <v>10.5945070422535</v>
      </c>
      <c r="E32" s="964">
        <f ca="1" t="shared" si="1"/>
        <v>13.7819014084507</v>
      </c>
      <c r="F32" s="965">
        <f ca="1" t="shared" ref="F32:H32" si="31">O32/$P$1</f>
        <v>4.95070422535211</v>
      </c>
      <c r="G32" s="965">
        <f ca="1" t="shared" si="31"/>
        <v>5.95774647887324</v>
      </c>
      <c r="H32" s="965">
        <f ca="1" t="shared" si="31"/>
        <v>6.96478873239437</v>
      </c>
      <c r="I32" s="965">
        <f>(VLOOKUP($B$1,'Product Procurement Sheet'!B:I,8,0)*$L$1)/$P$1</f>
        <v>1.97183098591549</v>
      </c>
      <c r="J32" s="965">
        <f>(VLOOKUP($B$1,'Product Procurement Sheet'!B:I,8,0)*$M$1)/$P$1</f>
        <v>3.94366197183099</v>
      </c>
      <c r="K32" s="965">
        <f>(VLOOKUP($B$1,'Product Procurement Sheet'!B:I,8,0)*$N$1)/$P$1</f>
        <v>5.91549295774648</v>
      </c>
      <c r="L32" s="968">
        <f>VLOOKUP($B$1,'Product Procurement Sheet'!B:D,3,FALSE)*$L$1</f>
        <v>0.11</v>
      </c>
      <c r="M32" s="968">
        <f>VLOOKUP($B$1,'Product Procurement Sheet'!B:D,3,FALSE)*$M$1</f>
        <v>0.22</v>
      </c>
      <c r="N32" s="968">
        <f>VLOOKUP($B$1,'Product Procurement Sheet'!B:D,3,FALSE)*$N$1</f>
        <v>0.33</v>
      </c>
      <c r="O32" s="971" cm="1">
        <f ca="1" t="array" ref="O32">(_xlfn.SINGLE(_xlfn.XLOOKUP(1,(INDIRECT($R$1&amp;"!$C:$C")=B32)*(INDIRECT($R$1&amp;"!$G:$G")&lt;L32)*(INDIRECT($R$1&amp;"!$H:$H")&gt;=L32),INDIRECT($R$1&amp;"!$K:$K"))))*L32+(_xlfn.SINGLE(_xlfn.XLOOKUP(1,(INDIRECT($R$1&amp;"!$C:$C")=B32)*(INDIRECT($R$1&amp;"!$G:$G")&lt;L32)*(INDIRECT($R$1&amp;"!$H:$H")&gt;=L32),INDIRECT($R$1&amp;"!$L:$L"))))</f>
        <v>35.15</v>
      </c>
      <c r="P32" s="971" cm="1">
        <f ca="1" t="array" ref="P32">(_xlfn.SINGLE(_xlfn.XLOOKUP(1,(INDIRECT($R$1&amp;"!$C:$C")=B32)*(INDIRECT($R$1&amp;"!$G:$G")&lt;M32)*(INDIRECT($R$1&amp;"!$H:$H")&gt;=M32),INDIRECT($R$1&amp;"!$K:$K"))))*M32+(_xlfn.SINGLE(_xlfn.XLOOKUP(1,(INDIRECT($R$1&amp;"!$C:$C")=B32)*(INDIRECT($R$1&amp;"!$G:$G")&lt;M32)*(INDIRECT($R$1&amp;"!$H:$H")&gt;=M32),INDIRECT($R$1&amp;"!$L:$L"))))</f>
        <v>42.3</v>
      </c>
      <c r="Q32" s="971" cm="1">
        <f ca="1" t="array" ref="Q32">(_xlfn.SINGLE(_xlfn.XLOOKUP(1,(INDIRECT($R$1&amp;"!$C:$C")=B32)*(INDIRECT($R$1&amp;"!$G:$G")&lt;N32)*(INDIRECT($R$1&amp;"!$H:$H")&gt;=N32),INDIRECT($R$1&amp;"!$K:$K"))))*N32+(_xlfn.SINGLE(_xlfn.XLOOKUP(1,(INDIRECT($R$1&amp;"!$C:$C")=B32)*(INDIRECT($R$1&amp;"!$G:$G")&lt;N32)*(INDIRECT($R$1&amp;"!$H:$H")&gt;=N32),INDIRECT($R$1&amp;"!$L:$L"))))</f>
        <v>49.45</v>
      </c>
      <c r="R32" s="955"/>
    </row>
    <row r="33" ht="17.25" spans="1:18">
      <c r="A33" s="963" t="s">
        <v>82</v>
      </c>
      <c r="B33" s="963" t="s">
        <v>83</v>
      </c>
      <c r="C33" s="964">
        <f ca="1" t="shared" si="3"/>
        <v>6.08091549295774</v>
      </c>
      <c r="D33" s="964">
        <f ca="1" t="shared" si="0"/>
        <v>9.59985915492958</v>
      </c>
      <c r="E33" s="964">
        <f ca="1" t="shared" si="1"/>
        <v>13.1188028169014</v>
      </c>
      <c r="F33" s="965">
        <f ca="1" t="shared" ref="F33:H33" si="32">O33/$P$1</f>
        <v>3.7112676056338</v>
      </c>
      <c r="G33" s="965">
        <f ca="1" t="shared" si="32"/>
        <v>5.02816901408451</v>
      </c>
      <c r="H33" s="965">
        <f ca="1" t="shared" si="32"/>
        <v>6.34507042253521</v>
      </c>
      <c r="I33" s="965">
        <f>(VLOOKUP($B$1,'Product Procurement Sheet'!B:I,8,0)*$L$1)/$P$1</f>
        <v>1.97183098591549</v>
      </c>
      <c r="J33" s="965">
        <f>(VLOOKUP($B$1,'Product Procurement Sheet'!B:I,8,0)*$M$1)/$P$1</f>
        <v>3.94366197183099</v>
      </c>
      <c r="K33" s="965">
        <f>(VLOOKUP($B$1,'Product Procurement Sheet'!B:I,8,0)*$N$1)/$P$1</f>
        <v>5.91549295774648</v>
      </c>
      <c r="L33" s="968">
        <f>VLOOKUP($B$1,'Product Procurement Sheet'!B:D,3,FALSE)*$L$1</f>
        <v>0.11</v>
      </c>
      <c r="M33" s="968">
        <f>VLOOKUP($B$1,'Product Procurement Sheet'!B:D,3,FALSE)*$M$1</f>
        <v>0.22</v>
      </c>
      <c r="N33" s="968">
        <f>VLOOKUP($B$1,'Product Procurement Sheet'!B:D,3,FALSE)*$N$1</f>
        <v>0.33</v>
      </c>
      <c r="O33" s="971" cm="1">
        <f ca="1" t="array" ref="O33">(_xlfn.SINGLE(_xlfn.XLOOKUP(1,(INDIRECT($R$1&amp;"!$C:$C")=B33)*(INDIRECT($R$1&amp;"!$G:$G")&lt;L33)*(INDIRECT($R$1&amp;"!$H:$H")&gt;=L33),INDIRECT($R$1&amp;"!$K:$K"))))*L33+(_xlfn.SINGLE(_xlfn.XLOOKUP(1,(INDIRECT($R$1&amp;"!$C:$C")=B33)*(INDIRECT($R$1&amp;"!$G:$G")&lt;L33)*(INDIRECT($R$1&amp;"!$H:$H")&gt;=L33),INDIRECT($R$1&amp;"!$L:$L"))))</f>
        <v>26.35</v>
      </c>
      <c r="P33" s="971" cm="1">
        <f ca="1" t="array" ref="P33">(_xlfn.SINGLE(_xlfn.XLOOKUP(1,(INDIRECT($R$1&amp;"!$C:$C")=B33)*(INDIRECT($R$1&amp;"!$G:$G")&lt;M33)*(INDIRECT($R$1&amp;"!$H:$H")&gt;=M33),INDIRECT($R$1&amp;"!$K:$K"))))*M33+(_xlfn.SINGLE(_xlfn.XLOOKUP(1,(INDIRECT($R$1&amp;"!$C:$C")=B33)*(INDIRECT($R$1&amp;"!$G:$G")&lt;M33)*(INDIRECT($R$1&amp;"!$H:$H")&gt;=M33),INDIRECT($R$1&amp;"!$L:$L"))))</f>
        <v>35.7</v>
      </c>
      <c r="Q33" s="971" cm="1">
        <f ca="1" t="array" ref="Q33">(_xlfn.SINGLE(_xlfn.XLOOKUP(1,(INDIRECT($R$1&amp;"!$C:$C")=B33)*(INDIRECT($R$1&amp;"!$G:$G")&lt;N33)*(INDIRECT($R$1&amp;"!$H:$H")&gt;=N33),INDIRECT($R$1&amp;"!$K:$K"))))*N33+(_xlfn.SINGLE(_xlfn.XLOOKUP(1,(INDIRECT($R$1&amp;"!$C:$C")=B33)*(INDIRECT($R$1&amp;"!$G:$G")&lt;N33)*(INDIRECT($R$1&amp;"!$H:$H")&gt;=N33),INDIRECT($R$1&amp;"!$L:$L"))))</f>
        <v>45.05</v>
      </c>
      <c r="R33" s="955"/>
    </row>
    <row r="34" ht="17.25" spans="1:18">
      <c r="A34" s="963" t="s">
        <v>84</v>
      </c>
      <c r="B34" s="963" t="s">
        <v>85</v>
      </c>
      <c r="C34" s="964">
        <f ca="1" t="shared" si="3"/>
        <v>6.03570422535211</v>
      </c>
      <c r="D34" s="964">
        <f ca="1" t="shared" si="0"/>
        <v>9.05732394366198</v>
      </c>
      <c r="E34" s="964">
        <f ca="1" t="shared" si="1"/>
        <v>12.0789436619718</v>
      </c>
      <c r="F34" s="965">
        <f ca="1" t="shared" ref="F34:H34" si="33">O34/$P$1</f>
        <v>3.66901408450704</v>
      </c>
      <c r="G34" s="965">
        <f ca="1" t="shared" si="33"/>
        <v>4.52112676056338</v>
      </c>
      <c r="H34" s="965">
        <f ca="1" t="shared" si="33"/>
        <v>5.37323943661972</v>
      </c>
      <c r="I34" s="965">
        <f>(VLOOKUP($B$1,'Product Procurement Sheet'!B:I,8,0)*$L$1)/$P$1</f>
        <v>1.97183098591549</v>
      </c>
      <c r="J34" s="965">
        <f>(VLOOKUP($B$1,'Product Procurement Sheet'!B:I,8,0)*$M$1)/$P$1</f>
        <v>3.94366197183099</v>
      </c>
      <c r="K34" s="965">
        <f>(VLOOKUP($B$1,'Product Procurement Sheet'!B:I,8,0)*$N$1)/$P$1</f>
        <v>5.91549295774648</v>
      </c>
      <c r="L34" s="968">
        <f>VLOOKUP($B$1,'Product Procurement Sheet'!B:D,3,FALSE)*$L$1</f>
        <v>0.11</v>
      </c>
      <c r="M34" s="968">
        <f>VLOOKUP($B$1,'Product Procurement Sheet'!B:D,3,FALSE)*$M$1</f>
        <v>0.22</v>
      </c>
      <c r="N34" s="968">
        <f>VLOOKUP($B$1,'Product Procurement Sheet'!B:D,3,FALSE)*$N$1</f>
        <v>0.33</v>
      </c>
      <c r="O34" s="971" cm="1">
        <f ca="1" t="array" ref="O34">(_xlfn.SINGLE(_xlfn.XLOOKUP(1,(INDIRECT($R$1&amp;"!$C:$C")=B34)*(INDIRECT($R$1&amp;"!$G:$G")&lt;L34)*(INDIRECT($R$1&amp;"!$H:$H")&gt;=L34),INDIRECT($R$1&amp;"!$K:$K"))))*L34+(_xlfn.SINGLE(_xlfn.XLOOKUP(1,(INDIRECT($R$1&amp;"!$C:$C")=B34)*(INDIRECT($R$1&amp;"!$G:$G")&lt;L34)*(INDIRECT($R$1&amp;"!$H:$H")&gt;=L34),INDIRECT($R$1&amp;"!$L:$L"))))</f>
        <v>26.05</v>
      </c>
      <c r="P34" s="971" cm="1">
        <f ca="1" t="array" ref="P34">(_xlfn.SINGLE(_xlfn.XLOOKUP(1,(INDIRECT($R$1&amp;"!$C:$C")=B34)*(INDIRECT($R$1&amp;"!$G:$G")&lt;M34)*(INDIRECT($R$1&amp;"!$H:$H")&gt;=M34),INDIRECT($R$1&amp;"!$K:$K"))))*M34+(_xlfn.SINGLE(_xlfn.XLOOKUP(1,(INDIRECT($R$1&amp;"!$C:$C")=B34)*(INDIRECT($R$1&amp;"!$G:$G")&lt;M34)*(INDIRECT($R$1&amp;"!$H:$H")&gt;=M34),INDIRECT($R$1&amp;"!$L:$L"))))</f>
        <v>32.1</v>
      </c>
      <c r="Q34" s="971" cm="1">
        <f ca="1" t="array" ref="Q34">(_xlfn.SINGLE(_xlfn.XLOOKUP(1,(INDIRECT($R$1&amp;"!$C:$C")=B34)*(INDIRECT($R$1&amp;"!$G:$G")&lt;N34)*(INDIRECT($R$1&amp;"!$H:$H")&gt;=N34),INDIRECT($R$1&amp;"!$K:$K"))))*N34+(_xlfn.SINGLE(_xlfn.XLOOKUP(1,(INDIRECT($R$1&amp;"!$C:$C")=B34)*(INDIRECT($R$1&amp;"!$G:$G")&lt;N34)*(INDIRECT($R$1&amp;"!$H:$H")&gt;=N34),INDIRECT($R$1&amp;"!$L:$L"))))</f>
        <v>38.15</v>
      </c>
      <c r="R34" s="955"/>
    </row>
    <row r="35" ht="17.25" spans="1:18">
      <c r="A35" s="963" t="s">
        <v>86</v>
      </c>
      <c r="B35" s="963" t="s">
        <v>87</v>
      </c>
      <c r="C35" s="964" t="e">
        <f ca="1" t="shared" si="3"/>
        <v>#N/A</v>
      </c>
      <c r="D35" s="964" t="e">
        <f ca="1" t="shared" si="0"/>
        <v>#N/A</v>
      </c>
      <c r="E35" s="964" t="e">
        <f ca="1" t="shared" si="1"/>
        <v>#N/A</v>
      </c>
      <c r="F35" s="965" t="e">
        <f ca="1" t="shared" ref="F35:H35" si="34">O35/$P$1</f>
        <v>#N/A</v>
      </c>
      <c r="G35" s="965" t="e">
        <f ca="1" t="shared" si="34"/>
        <v>#N/A</v>
      </c>
      <c r="H35" s="965" t="e">
        <f ca="1" t="shared" si="34"/>
        <v>#N/A</v>
      </c>
      <c r="I35" s="965">
        <f>(VLOOKUP($B$1,'Product Procurement Sheet'!B:I,8,0)*$L$1)/$P$1</f>
        <v>1.97183098591549</v>
      </c>
      <c r="J35" s="965">
        <f>(VLOOKUP($B$1,'Product Procurement Sheet'!B:I,8,0)*$M$1)/$P$1</f>
        <v>3.94366197183099</v>
      </c>
      <c r="K35" s="965">
        <f>(VLOOKUP($B$1,'Product Procurement Sheet'!B:I,8,0)*$N$1)/$P$1</f>
        <v>5.91549295774648</v>
      </c>
      <c r="L35" s="968">
        <f>VLOOKUP($B$1,'Product Procurement Sheet'!B:D,3,FALSE)*$L$1</f>
        <v>0.11</v>
      </c>
      <c r="M35" s="968">
        <f>VLOOKUP($B$1,'Product Procurement Sheet'!B:D,3,FALSE)*$M$1</f>
        <v>0.22</v>
      </c>
      <c r="N35" s="968">
        <f>VLOOKUP($B$1,'Product Procurement Sheet'!B:D,3,FALSE)*$N$1</f>
        <v>0.33</v>
      </c>
      <c r="O35" s="971" t="e" cm="1">
        <f ca="1" t="array" ref="O35">(_xlfn.SINGLE(_xlfn.XLOOKUP(1,(INDIRECT($R$1&amp;"!$C:$C")=B35)*(INDIRECT($R$1&amp;"!$G:$G")&lt;L35)*(INDIRECT($R$1&amp;"!$H:$H")&gt;=L35),INDIRECT($R$1&amp;"!$K:$K"))))*L35+(_xlfn.SINGLE(_xlfn.XLOOKUP(1,(INDIRECT($R$1&amp;"!$C:$C")=B35)*(INDIRECT($R$1&amp;"!$G:$G")&lt;L35)*(INDIRECT($R$1&amp;"!$H:$H")&gt;=L35),INDIRECT($R$1&amp;"!$L:$L"))))</f>
        <v>#N/A</v>
      </c>
      <c r="P35" s="971" t="e" cm="1">
        <f ca="1" t="array" ref="P35">(_xlfn.SINGLE(_xlfn.XLOOKUP(1,(INDIRECT($R$1&amp;"!$C:$C")=B35)*(INDIRECT($R$1&amp;"!$G:$G")&lt;M35)*(INDIRECT($R$1&amp;"!$H:$H")&gt;=M35),INDIRECT($R$1&amp;"!$K:$K"))))*M35+(_xlfn.SINGLE(_xlfn.XLOOKUP(1,(INDIRECT($R$1&amp;"!$C:$C")=B35)*(INDIRECT($R$1&amp;"!$G:$G")&lt;M35)*(INDIRECT($R$1&amp;"!$H:$H")&gt;=M35),INDIRECT($R$1&amp;"!$L:$L"))))</f>
        <v>#N/A</v>
      </c>
      <c r="Q35" s="971" t="e" cm="1">
        <f ca="1" t="array" ref="Q35">(_xlfn.SINGLE(_xlfn.XLOOKUP(1,(INDIRECT($R$1&amp;"!$C:$C")=B35)*(INDIRECT($R$1&amp;"!$G:$G")&lt;N35)*(INDIRECT($R$1&amp;"!$H:$H")&gt;=N35),INDIRECT($R$1&amp;"!$K:$K"))))*N35+(_xlfn.SINGLE(_xlfn.XLOOKUP(1,(INDIRECT($R$1&amp;"!$C:$C")=B35)*(INDIRECT($R$1&amp;"!$G:$G")&lt;N35)*(INDIRECT($R$1&amp;"!$H:$H")&gt;=N35),INDIRECT($R$1&amp;"!$L:$L"))))</f>
        <v>#N/A</v>
      </c>
      <c r="R35" s="955"/>
    </row>
    <row r="36" ht="17.25" spans="1:18">
      <c r="A36" s="963" t="s">
        <v>88</v>
      </c>
      <c r="B36" s="963" t="s">
        <v>89</v>
      </c>
      <c r="C36" s="964" t="e">
        <f ca="1" t="shared" si="3"/>
        <v>#N/A</v>
      </c>
      <c r="D36" s="964" t="e">
        <f ca="1" t="shared" si="0"/>
        <v>#N/A</v>
      </c>
      <c r="E36" s="964" t="e">
        <f ca="1" t="shared" si="1"/>
        <v>#N/A</v>
      </c>
      <c r="F36" s="965" t="e">
        <f ca="1" t="shared" ref="F36:H36" si="35">O36/$P$1</f>
        <v>#N/A</v>
      </c>
      <c r="G36" s="965" t="e">
        <f ca="1" t="shared" si="35"/>
        <v>#N/A</v>
      </c>
      <c r="H36" s="965" t="e">
        <f ca="1" t="shared" si="35"/>
        <v>#N/A</v>
      </c>
      <c r="I36" s="965">
        <f>(VLOOKUP($B$1,'Product Procurement Sheet'!B:I,8,0)*$L$1)/$P$1</f>
        <v>1.97183098591549</v>
      </c>
      <c r="J36" s="965">
        <f>(VLOOKUP($B$1,'Product Procurement Sheet'!B:I,8,0)*$M$1)/$P$1</f>
        <v>3.94366197183099</v>
      </c>
      <c r="K36" s="965">
        <f>(VLOOKUP($B$1,'Product Procurement Sheet'!B:I,8,0)*$N$1)/$P$1</f>
        <v>5.91549295774648</v>
      </c>
      <c r="L36" s="968">
        <f>VLOOKUP($B$1,'Product Procurement Sheet'!B:D,3,FALSE)*$L$1</f>
        <v>0.11</v>
      </c>
      <c r="M36" s="968">
        <f>VLOOKUP($B$1,'Product Procurement Sheet'!B:D,3,FALSE)*$M$1</f>
        <v>0.22</v>
      </c>
      <c r="N36" s="968">
        <f>VLOOKUP($B$1,'Product Procurement Sheet'!B:D,3,FALSE)*$N$1</f>
        <v>0.33</v>
      </c>
      <c r="O36" s="971" t="e" cm="1">
        <f ca="1" t="array" ref="O36">(_xlfn.SINGLE(_xlfn.XLOOKUP(1,(INDIRECT($R$1&amp;"!$C:$C")=B36)*(INDIRECT($R$1&amp;"!$G:$G")&lt;L36)*(INDIRECT($R$1&amp;"!$H:$H")&gt;=L36),INDIRECT($R$1&amp;"!$K:$K"))))*L36+(_xlfn.SINGLE(_xlfn.XLOOKUP(1,(INDIRECT($R$1&amp;"!$C:$C")=B36)*(INDIRECT($R$1&amp;"!$G:$G")&lt;L36)*(INDIRECT($R$1&amp;"!$H:$H")&gt;=L36),INDIRECT($R$1&amp;"!$L:$L"))))</f>
        <v>#N/A</v>
      </c>
      <c r="P36" s="971" t="e" cm="1">
        <f ca="1" t="array" ref="P36">(_xlfn.SINGLE(_xlfn.XLOOKUP(1,(INDIRECT($R$1&amp;"!$C:$C")=B36)*(INDIRECT($R$1&amp;"!$G:$G")&lt;M36)*(INDIRECT($R$1&amp;"!$H:$H")&gt;=M36),INDIRECT($R$1&amp;"!$K:$K"))))*M36+(_xlfn.SINGLE(_xlfn.XLOOKUP(1,(INDIRECT($R$1&amp;"!$C:$C")=B36)*(INDIRECT($R$1&amp;"!$G:$G")&lt;M36)*(INDIRECT($R$1&amp;"!$H:$H")&gt;=M36),INDIRECT($R$1&amp;"!$L:$L"))))</f>
        <v>#N/A</v>
      </c>
      <c r="Q36" s="971" t="e" cm="1">
        <f ca="1" t="array" ref="Q36">(_xlfn.SINGLE(_xlfn.XLOOKUP(1,(INDIRECT($R$1&amp;"!$C:$C")=B36)*(INDIRECT($R$1&amp;"!$G:$G")&lt;N36)*(INDIRECT($R$1&amp;"!$H:$H")&gt;=N36),INDIRECT($R$1&amp;"!$K:$K"))))*N36+(_xlfn.SINGLE(_xlfn.XLOOKUP(1,(INDIRECT($R$1&amp;"!$C:$C")=B36)*(INDIRECT($R$1&amp;"!$G:$G")&lt;N36)*(INDIRECT($R$1&amp;"!$H:$H")&gt;=N36),INDIRECT($R$1&amp;"!$L:$L"))))</f>
        <v>#N/A</v>
      </c>
      <c r="R36" s="955"/>
    </row>
    <row r="37" ht="17.25" spans="1:18">
      <c r="A37" s="963" t="s">
        <v>90</v>
      </c>
      <c r="B37" s="963" t="s">
        <v>91</v>
      </c>
      <c r="C37" s="964">
        <f ca="1" t="shared" si="3"/>
        <v>6.97007042253521</v>
      </c>
      <c r="D37" s="964">
        <f ca="1" t="shared" si="0"/>
        <v>10.3232394366197</v>
      </c>
      <c r="E37" s="964">
        <f ca="1" t="shared" si="1"/>
        <v>13.6764084507042</v>
      </c>
      <c r="F37" s="965">
        <f ca="1" t="shared" ref="F37:H37" si="36">O37/$P$1</f>
        <v>4.54225352112676</v>
      </c>
      <c r="G37" s="965">
        <f ca="1" t="shared" si="36"/>
        <v>5.70422535211268</v>
      </c>
      <c r="H37" s="965">
        <f ca="1" t="shared" si="36"/>
        <v>6.86619718309859</v>
      </c>
      <c r="I37" s="965">
        <f>(VLOOKUP($B$1,'Product Procurement Sheet'!B:I,8,0)*$L$1)/$P$1</f>
        <v>1.97183098591549</v>
      </c>
      <c r="J37" s="965">
        <f>(VLOOKUP($B$1,'Product Procurement Sheet'!B:I,8,0)*$M$1)/$P$1</f>
        <v>3.94366197183099</v>
      </c>
      <c r="K37" s="965">
        <f>(VLOOKUP($B$1,'Product Procurement Sheet'!B:I,8,0)*$N$1)/$P$1</f>
        <v>5.91549295774648</v>
      </c>
      <c r="L37" s="968">
        <f>VLOOKUP($B$1,'Product Procurement Sheet'!B:D,3,FALSE)*$L$1</f>
        <v>0.11</v>
      </c>
      <c r="M37" s="968">
        <f>VLOOKUP($B$1,'Product Procurement Sheet'!B:D,3,FALSE)*$M$1</f>
        <v>0.22</v>
      </c>
      <c r="N37" s="968">
        <f>VLOOKUP($B$1,'Product Procurement Sheet'!B:D,3,FALSE)*$N$1</f>
        <v>0.33</v>
      </c>
      <c r="O37" s="971" cm="1">
        <f ca="1" t="array" ref="O37">(_xlfn.SINGLE(_xlfn.XLOOKUP(1,(INDIRECT($R$1&amp;"!$C:$C")=B37)*(INDIRECT($R$1&amp;"!$G:$G")&lt;L37)*(INDIRECT($R$1&amp;"!$H:$H")&gt;=L37),INDIRECT($R$1&amp;"!$K:$K"))))*L37+(_xlfn.SINGLE(_xlfn.XLOOKUP(1,(INDIRECT($R$1&amp;"!$C:$C")=B37)*(INDIRECT($R$1&amp;"!$G:$G")&lt;L37)*(INDIRECT($R$1&amp;"!$H:$H")&gt;=L37),INDIRECT($R$1&amp;"!$L:$L"))))</f>
        <v>32.25</v>
      </c>
      <c r="P37" s="971" cm="1">
        <f ca="1" t="array" ref="P37">(_xlfn.SINGLE(_xlfn.XLOOKUP(1,(INDIRECT($R$1&amp;"!$C:$C")=B37)*(INDIRECT($R$1&amp;"!$G:$G")&lt;M37)*(INDIRECT($R$1&amp;"!$H:$H")&gt;=M37),INDIRECT($R$1&amp;"!$K:$K"))))*M37+(_xlfn.SINGLE(_xlfn.XLOOKUP(1,(INDIRECT($R$1&amp;"!$C:$C")=B37)*(INDIRECT($R$1&amp;"!$G:$G")&lt;M37)*(INDIRECT($R$1&amp;"!$H:$H")&gt;=M37),INDIRECT($R$1&amp;"!$L:$L"))))</f>
        <v>40.5</v>
      </c>
      <c r="Q37" s="971" cm="1">
        <f ca="1" t="array" ref="Q37">(_xlfn.SINGLE(_xlfn.XLOOKUP(1,(INDIRECT($R$1&amp;"!$C:$C")=B37)*(INDIRECT($R$1&amp;"!$G:$G")&lt;N37)*(INDIRECT($R$1&amp;"!$H:$H")&gt;=N37),INDIRECT($R$1&amp;"!$K:$K"))))*N37+(_xlfn.SINGLE(_xlfn.XLOOKUP(1,(INDIRECT($R$1&amp;"!$C:$C")=B37)*(INDIRECT($R$1&amp;"!$G:$G")&lt;N37)*(INDIRECT($R$1&amp;"!$H:$H")&gt;=N37),INDIRECT($R$1&amp;"!$L:$L"))))</f>
        <v>48.75</v>
      </c>
      <c r="R37" s="955"/>
    </row>
    <row r="38" ht="17.25" spans="1:18">
      <c r="A38" s="963" t="s">
        <v>92</v>
      </c>
      <c r="B38" s="963" t="s">
        <v>93</v>
      </c>
      <c r="C38" s="964">
        <f ca="1" t="shared" si="3"/>
        <v>6.08091549295774</v>
      </c>
      <c r="D38" s="964">
        <f ca="1" t="shared" si="0"/>
        <v>11.2576056338028</v>
      </c>
      <c r="E38" s="964">
        <f ca="1" t="shared" si="1"/>
        <v>16.4342957746479</v>
      </c>
      <c r="F38" s="965">
        <f ca="1" t="shared" ref="F38:H38" si="37">O38/$P$1</f>
        <v>3.7112676056338</v>
      </c>
      <c r="G38" s="965">
        <f ca="1" t="shared" si="37"/>
        <v>6.57746478873239</v>
      </c>
      <c r="H38" s="965">
        <f ca="1" t="shared" si="37"/>
        <v>9.44366197183099</v>
      </c>
      <c r="I38" s="965">
        <f>(VLOOKUP($B$1,'Product Procurement Sheet'!B:I,8,0)*$L$1)/$P$1</f>
        <v>1.97183098591549</v>
      </c>
      <c r="J38" s="965">
        <f>(VLOOKUP($B$1,'Product Procurement Sheet'!B:I,8,0)*$M$1)/$P$1</f>
        <v>3.94366197183099</v>
      </c>
      <c r="K38" s="965">
        <f>(VLOOKUP($B$1,'Product Procurement Sheet'!B:I,8,0)*$N$1)/$P$1</f>
        <v>5.91549295774648</v>
      </c>
      <c r="L38" s="968">
        <f>VLOOKUP($B$1,'Product Procurement Sheet'!B:D,3,FALSE)*$L$1</f>
        <v>0.11</v>
      </c>
      <c r="M38" s="968">
        <f>VLOOKUP($B$1,'Product Procurement Sheet'!B:D,3,FALSE)*$M$1</f>
        <v>0.22</v>
      </c>
      <c r="N38" s="968">
        <f>VLOOKUP($B$1,'Product Procurement Sheet'!B:D,3,FALSE)*$N$1</f>
        <v>0.33</v>
      </c>
      <c r="O38" s="971" cm="1">
        <f ca="1" t="array" ref="O38">(_xlfn.SINGLE(_xlfn.XLOOKUP(1,(INDIRECT($R$1&amp;"!$C:$C")=B38)*(INDIRECT($R$1&amp;"!$G:$G")&lt;L38)*(INDIRECT($R$1&amp;"!$H:$H")&gt;=L38),INDIRECT($R$1&amp;"!$K:$K"))))*L38+(_xlfn.SINGLE(_xlfn.XLOOKUP(1,(INDIRECT($R$1&amp;"!$C:$C")=B38)*(INDIRECT($R$1&amp;"!$G:$G")&lt;L38)*(INDIRECT($R$1&amp;"!$H:$H")&gt;=L38),INDIRECT($R$1&amp;"!$L:$L"))))</f>
        <v>26.35</v>
      </c>
      <c r="P38" s="971" cm="1">
        <f ca="1" t="array" ref="P38">(_xlfn.SINGLE(_xlfn.XLOOKUP(1,(INDIRECT($R$1&amp;"!$C:$C")=B38)*(INDIRECT($R$1&amp;"!$G:$G")&lt;M38)*(INDIRECT($R$1&amp;"!$H:$H")&gt;=M38),INDIRECT($R$1&amp;"!$K:$K"))))*M38+(_xlfn.SINGLE(_xlfn.XLOOKUP(1,(INDIRECT($R$1&amp;"!$C:$C")=B38)*(INDIRECT($R$1&amp;"!$G:$G")&lt;M38)*(INDIRECT($R$1&amp;"!$H:$H")&gt;=M38),INDIRECT($R$1&amp;"!$L:$L"))))</f>
        <v>46.7</v>
      </c>
      <c r="Q38" s="971" cm="1">
        <f ca="1" t="array" ref="Q38">(_xlfn.SINGLE(_xlfn.XLOOKUP(1,(INDIRECT($R$1&amp;"!$C:$C")=B38)*(INDIRECT($R$1&amp;"!$G:$G")&lt;N38)*(INDIRECT($R$1&amp;"!$H:$H")&gt;=N38),INDIRECT($R$1&amp;"!$K:$K"))))*N38+(_xlfn.SINGLE(_xlfn.XLOOKUP(1,(INDIRECT($R$1&amp;"!$C:$C")=B38)*(INDIRECT($R$1&amp;"!$G:$G")&lt;N38)*(INDIRECT($R$1&amp;"!$H:$H")&gt;=N38),INDIRECT($R$1&amp;"!$L:$L"))))</f>
        <v>67.05</v>
      </c>
      <c r="R38" s="955"/>
    </row>
    <row r="39" ht="17.25" spans="1:18">
      <c r="A39" s="966" t="s">
        <v>94</v>
      </c>
      <c r="B39" s="963" t="s">
        <v>95</v>
      </c>
      <c r="C39" s="964">
        <f ca="1" t="shared" si="3"/>
        <v>5.38767605633803</v>
      </c>
      <c r="D39" s="964">
        <f ca="1" t="shared" si="0"/>
        <v>9.56971830985916</v>
      </c>
      <c r="E39" s="964">
        <f ca="1" t="shared" si="1"/>
        <v>13.7517605633803</v>
      </c>
      <c r="F39" s="965">
        <f ca="1" t="shared" ref="F39:H39" si="38">O39/$P$1</f>
        <v>3.06338028169014</v>
      </c>
      <c r="G39" s="965">
        <f ca="1" t="shared" si="38"/>
        <v>5</v>
      </c>
      <c r="H39" s="965">
        <f ca="1" t="shared" si="38"/>
        <v>6.93661971830986</v>
      </c>
      <c r="I39" s="965">
        <f>(VLOOKUP($B$1,'Product Procurement Sheet'!B:I,8,0)*$L$1)/$P$1</f>
        <v>1.97183098591549</v>
      </c>
      <c r="J39" s="965">
        <f>(VLOOKUP($B$1,'Product Procurement Sheet'!B:I,8,0)*$M$1)/$P$1</f>
        <v>3.94366197183099</v>
      </c>
      <c r="K39" s="965">
        <f>(VLOOKUP($B$1,'Product Procurement Sheet'!B:I,8,0)*$N$1)/$P$1</f>
        <v>5.91549295774648</v>
      </c>
      <c r="L39" s="968">
        <f>VLOOKUP($B$1,'Product Procurement Sheet'!B:D,3,FALSE)*$L$1</f>
        <v>0.11</v>
      </c>
      <c r="M39" s="968">
        <f>VLOOKUP($B$1,'Product Procurement Sheet'!B:D,3,FALSE)*$M$1</f>
        <v>0.22</v>
      </c>
      <c r="N39" s="968">
        <f>VLOOKUP($B$1,'Product Procurement Sheet'!B:D,3,FALSE)*$N$1</f>
        <v>0.33</v>
      </c>
      <c r="O39" s="971" cm="1">
        <f ca="1" t="array" ref="O39">(_xlfn.SINGLE(_xlfn.XLOOKUP(1,(INDIRECT($R$1&amp;"!$C:$C")=B39)*(INDIRECT($R$1&amp;"!$G:$G")&lt;L39)*(INDIRECT($R$1&amp;"!$H:$H")&gt;=L39),INDIRECT($R$1&amp;"!$K:$K"))))*L39+(_xlfn.SINGLE(_xlfn.XLOOKUP(1,(INDIRECT($R$1&amp;"!$C:$C")=B39)*(INDIRECT($R$1&amp;"!$G:$G")&lt;L39)*(INDIRECT($R$1&amp;"!$H:$H")&gt;=L39),INDIRECT($R$1&amp;"!$L:$L"))))</f>
        <v>21.75</v>
      </c>
      <c r="P39" s="971" cm="1">
        <f ca="1" t="array" ref="P39">(_xlfn.SINGLE(_xlfn.XLOOKUP(1,(INDIRECT($R$1&amp;"!$C:$C")=B39)*(INDIRECT($R$1&amp;"!$G:$G")&lt;M39)*(INDIRECT($R$1&amp;"!$H:$H")&gt;=M39),INDIRECT($R$1&amp;"!$K:$K"))))*M39+(_xlfn.SINGLE(_xlfn.XLOOKUP(1,(INDIRECT($R$1&amp;"!$C:$C")=B39)*(INDIRECT($R$1&amp;"!$G:$G")&lt;M39)*(INDIRECT($R$1&amp;"!$H:$H")&gt;=M39),INDIRECT($R$1&amp;"!$L:$L"))))</f>
        <v>35.5</v>
      </c>
      <c r="Q39" s="971" cm="1">
        <f ca="1" t="array" ref="Q39">(_xlfn.SINGLE(_xlfn.XLOOKUP(1,(INDIRECT($R$1&amp;"!$C:$C")=B39)*(INDIRECT($R$1&amp;"!$G:$G")&lt;N39)*(INDIRECT($R$1&amp;"!$H:$H")&gt;=N39),INDIRECT($R$1&amp;"!$K:$K"))))*N39+(_xlfn.SINGLE(_xlfn.XLOOKUP(1,(INDIRECT($R$1&amp;"!$C:$C")=B39)*(INDIRECT($R$1&amp;"!$G:$G")&lt;N39)*(INDIRECT($R$1&amp;"!$H:$H")&gt;=N39),INDIRECT($R$1&amp;"!$L:$L"))))</f>
        <v>49.25</v>
      </c>
      <c r="R39" s="955"/>
    </row>
    <row r="40" ht="17.25" spans="1:18">
      <c r="A40" s="966" t="s">
        <v>96</v>
      </c>
      <c r="B40" s="963" t="s">
        <v>97</v>
      </c>
      <c r="C40" s="964">
        <f ca="1" t="shared" si="3"/>
        <v>7.54274647887324</v>
      </c>
      <c r="D40" s="964">
        <f ca="1" t="shared" si="0"/>
        <v>10.5643661971831</v>
      </c>
      <c r="E40" s="964">
        <f ca="1" t="shared" si="1"/>
        <v>13.585985915493</v>
      </c>
      <c r="F40" s="965">
        <f ca="1" t="shared" ref="F40:H40" si="39">O40/$P$1</f>
        <v>5.07746478873239</v>
      </c>
      <c r="G40" s="965">
        <f ca="1" t="shared" si="39"/>
        <v>5.92957746478873</v>
      </c>
      <c r="H40" s="965">
        <f ca="1" t="shared" si="39"/>
        <v>6.78169014084507</v>
      </c>
      <c r="I40" s="965">
        <f>(VLOOKUP($B$1,'Product Procurement Sheet'!B:I,8,0)*$L$1)/$P$1</f>
        <v>1.97183098591549</v>
      </c>
      <c r="J40" s="965">
        <f>(VLOOKUP($B$1,'Product Procurement Sheet'!B:I,8,0)*$M$1)/$P$1</f>
        <v>3.94366197183099</v>
      </c>
      <c r="K40" s="965">
        <f>(VLOOKUP($B$1,'Product Procurement Sheet'!B:I,8,0)*$N$1)/$P$1</f>
        <v>5.91549295774648</v>
      </c>
      <c r="L40" s="968">
        <f>VLOOKUP($B$1,'Product Procurement Sheet'!B:D,3,FALSE)*$L$1</f>
        <v>0.11</v>
      </c>
      <c r="M40" s="968">
        <f>VLOOKUP($B$1,'Product Procurement Sheet'!B:D,3,FALSE)*$M$1</f>
        <v>0.22</v>
      </c>
      <c r="N40" s="968">
        <f>VLOOKUP($B$1,'Product Procurement Sheet'!B:D,3,FALSE)*$N$1</f>
        <v>0.33</v>
      </c>
      <c r="O40" s="971" cm="1">
        <f ca="1" t="array" ref="O40">(_xlfn.SINGLE(_xlfn.XLOOKUP(1,(INDIRECT($R$1&amp;"!$C:$C")=B40)*(INDIRECT($R$1&amp;"!$G:$G")&lt;L40)*(INDIRECT($R$1&amp;"!$H:$H")&gt;=L40),INDIRECT($R$1&amp;"!$K:$K"))))*L40+(_xlfn.SINGLE(_xlfn.XLOOKUP(1,(INDIRECT($R$1&amp;"!$C:$C")=B40)*(INDIRECT($R$1&amp;"!$G:$G")&lt;L40)*(INDIRECT($R$1&amp;"!$H:$H")&gt;=L40),INDIRECT($R$1&amp;"!$L:$L"))))</f>
        <v>36.05</v>
      </c>
      <c r="P40" s="971" cm="1">
        <f ca="1" t="array" ref="P40">(_xlfn.SINGLE(_xlfn.XLOOKUP(1,(INDIRECT($R$1&amp;"!$C:$C")=B40)*(INDIRECT($R$1&amp;"!$G:$G")&lt;M40)*(INDIRECT($R$1&amp;"!$H:$H")&gt;=M40),INDIRECT($R$1&amp;"!$K:$K"))))*M40+(_xlfn.SINGLE(_xlfn.XLOOKUP(1,(INDIRECT($R$1&amp;"!$C:$C")=B40)*(INDIRECT($R$1&amp;"!$G:$G")&lt;M40)*(INDIRECT($R$1&amp;"!$H:$H")&gt;=M40),INDIRECT($R$1&amp;"!$L:$L"))))</f>
        <v>42.1</v>
      </c>
      <c r="Q40" s="971" cm="1">
        <f ca="1" t="array" ref="Q40">(_xlfn.SINGLE(_xlfn.XLOOKUP(1,(INDIRECT($R$1&amp;"!$C:$C")=B40)*(INDIRECT($R$1&amp;"!$G:$G")&lt;N40)*(INDIRECT($R$1&amp;"!$H:$H")&gt;=N40),INDIRECT($R$1&amp;"!$K:$K"))))*N40+(_xlfn.SINGLE(_xlfn.XLOOKUP(1,(INDIRECT($R$1&amp;"!$C:$C")=B40)*(INDIRECT($R$1&amp;"!$G:$G")&lt;N40)*(INDIRECT($R$1&amp;"!$H:$H")&gt;=N40),INDIRECT($R$1&amp;"!$L:$L"))))</f>
        <v>48.15</v>
      </c>
      <c r="R40" s="955"/>
    </row>
    <row r="41" ht="17.25" spans="1:18">
      <c r="A41" s="966" t="s">
        <v>98</v>
      </c>
      <c r="B41" s="963" t="s">
        <v>99</v>
      </c>
      <c r="C41" s="964">
        <f ca="1" t="shared" si="3"/>
        <v>7.28654929577465</v>
      </c>
      <c r="D41" s="964">
        <f ca="1" t="shared" si="0"/>
        <v>12.4632394366197</v>
      </c>
      <c r="E41" s="964">
        <f ca="1" t="shared" si="1"/>
        <v>17.6399295774648</v>
      </c>
      <c r="F41" s="965">
        <f ca="1" t="shared" ref="F41:H41" si="40">O41/$P$1</f>
        <v>4.83802816901408</v>
      </c>
      <c r="G41" s="965">
        <f ca="1" t="shared" si="40"/>
        <v>7.70422535211268</v>
      </c>
      <c r="H41" s="965">
        <f ca="1" t="shared" si="40"/>
        <v>10.5704225352113</v>
      </c>
      <c r="I41" s="965">
        <f>(VLOOKUP($B$1,'Product Procurement Sheet'!B:I,8,0)*$L$1)/$P$1</f>
        <v>1.97183098591549</v>
      </c>
      <c r="J41" s="965">
        <f>(VLOOKUP($B$1,'Product Procurement Sheet'!B:I,8,0)*$M$1)/$P$1</f>
        <v>3.94366197183099</v>
      </c>
      <c r="K41" s="965">
        <f>(VLOOKUP($B$1,'Product Procurement Sheet'!B:I,8,0)*$N$1)/$P$1</f>
        <v>5.91549295774648</v>
      </c>
      <c r="L41" s="968">
        <f>VLOOKUP($B$1,'Product Procurement Sheet'!B:D,3,FALSE)*$L$1</f>
        <v>0.11</v>
      </c>
      <c r="M41" s="968">
        <f>VLOOKUP($B$1,'Product Procurement Sheet'!B:D,3,FALSE)*$M$1</f>
        <v>0.22</v>
      </c>
      <c r="N41" s="968">
        <f>VLOOKUP($B$1,'Product Procurement Sheet'!B:D,3,FALSE)*$N$1</f>
        <v>0.33</v>
      </c>
      <c r="O41" s="971" cm="1">
        <f ca="1" t="array" ref="O41">(_xlfn.SINGLE(_xlfn.XLOOKUP(1,(INDIRECT($R$1&amp;"!$C:$C")=B41)*(INDIRECT($R$1&amp;"!$G:$G")&lt;L41)*(INDIRECT($R$1&amp;"!$H:$H")&gt;=L41),INDIRECT($R$1&amp;"!$K:$K"))))*L41+(_xlfn.SINGLE(_xlfn.XLOOKUP(1,(INDIRECT($R$1&amp;"!$C:$C")=B41)*(INDIRECT($R$1&amp;"!$G:$G")&lt;L41)*(INDIRECT($R$1&amp;"!$H:$H")&gt;=L41),INDIRECT($R$1&amp;"!$L:$L"))))</f>
        <v>34.35</v>
      </c>
      <c r="P41" s="971" cm="1">
        <f ca="1" t="array" ref="P41">(_xlfn.SINGLE(_xlfn.XLOOKUP(1,(INDIRECT($R$1&amp;"!$C:$C")=B41)*(INDIRECT($R$1&amp;"!$G:$G")&lt;M41)*(INDIRECT($R$1&amp;"!$H:$H")&gt;=M41),INDIRECT($R$1&amp;"!$K:$K"))))*M41+(_xlfn.SINGLE(_xlfn.XLOOKUP(1,(INDIRECT($R$1&amp;"!$C:$C")=B41)*(INDIRECT($R$1&amp;"!$G:$G")&lt;M41)*(INDIRECT($R$1&amp;"!$H:$H")&gt;=M41),INDIRECT($R$1&amp;"!$L:$L"))))</f>
        <v>54.7</v>
      </c>
      <c r="Q41" s="971" cm="1">
        <f ca="1" t="array" ref="Q41">(_xlfn.SINGLE(_xlfn.XLOOKUP(1,(INDIRECT($R$1&amp;"!$C:$C")=B41)*(INDIRECT($R$1&amp;"!$G:$G")&lt;N41)*(INDIRECT($R$1&amp;"!$H:$H")&gt;=N41),INDIRECT($R$1&amp;"!$K:$K"))))*N41+(_xlfn.SINGLE(_xlfn.XLOOKUP(1,(INDIRECT($R$1&amp;"!$C:$C")=B41)*(INDIRECT($R$1&amp;"!$G:$G")&lt;N41)*(INDIRECT($R$1&amp;"!$H:$H")&gt;=N41),INDIRECT($R$1&amp;"!$L:$L"))))</f>
        <v>75.05</v>
      </c>
      <c r="R41" s="955"/>
    </row>
    <row r="42" ht="17.25" spans="1:18">
      <c r="A42" s="966" t="s">
        <v>100</v>
      </c>
      <c r="B42" s="963" t="s">
        <v>101</v>
      </c>
      <c r="C42" s="964">
        <f ca="1" t="shared" si="3"/>
        <v>7.78387323943662</v>
      </c>
      <c r="D42" s="964">
        <f ca="1" t="shared" si="0"/>
        <v>13.4578873239437</v>
      </c>
      <c r="E42" s="964">
        <f ca="1" t="shared" si="1"/>
        <v>19.1319014084507</v>
      </c>
      <c r="F42" s="965">
        <f ca="1" t="shared" ref="F42:H42" si="41">O42/$P$1</f>
        <v>5.30281690140845</v>
      </c>
      <c r="G42" s="965">
        <f ca="1" t="shared" si="41"/>
        <v>8.63380281690141</v>
      </c>
      <c r="H42" s="965">
        <f ca="1" t="shared" si="41"/>
        <v>11.9647887323944</v>
      </c>
      <c r="I42" s="965">
        <f>(VLOOKUP($B$1,'Product Procurement Sheet'!B:I,8,0)*$L$1)/$P$1</f>
        <v>1.97183098591549</v>
      </c>
      <c r="J42" s="965">
        <f>(VLOOKUP($B$1,'Product Procurement Sheet'!B:I,8,0)*$M$1)/$P$1</f>
        <v>3.94366197183099</v>
      </c>
      <c r="K42" s="965">
        <f>(VLOOKUP($B$1,'Product Procurement Sheet'!B:I,8,0)*$N$1)/$P$1</f>
        <v>5.91549295774648</v>
      </c>
      <c r="L42" s="968">
        <f>VLOOKUP($B$1,'Product Procurement Sheet'!B:D,3,FALSE)*$L$1</f>
        <v>0.11</v>
      </c>
      <c r="M42" s="968">
        <f>VLOOKUP($B$1,'Product Procurement Sheet'!B:D,3,FALSE)*$M$1</f>
        <v>0.22</v>
      </c>
      <c r="N42" s="968">
        <f>VLOOKUP($B$1,'Product Procurement Sheet'!B:D,3,FALSE)*$N$1</f>
        <v>0.33</v>
      </c>
      <c r="O42" s="971" cm="1">
        <f ca="1" t="array" ref="O42">(_xlfn.SINGLE(_xlfn.XLOOKUP(1,(INDIRECT($R$1&amp;"!$C:$C")=B42)*(INDIRECT($R$1&amp;"!$G:$G")&lt;L42)*(INDIRECT($R$1&amp;"!$H:$H")&gt;=L42),INDIRECT($R$1&amp;"!$K:$K"))))*L42+(_xlfn.SINGLE(_xlfn.XLOOKUP(1,(INDIRECT($R$1&amp;"!$C:$C")=B42)*(INDIRECT($R$1&amp;"!$G:$G")&lt;L42)*(INDIRECT($R$1&amp;"!$H:$H")&gt;=L42),INDIRECT($R$1&amp;"!$L:$L"))))</f>
        <v>37.65</v>
      </c>
      <c r="P42" s="971" cm="1">
        <f ca="1" t="array" ref="P42">(_xlfn.SINGLE(_xlfn.XLOOKUP(1,(INDIRECT($R$1&amp;"!$C:$C")=B42)*(INDIRECT($R$1&amp;"!$G:$G")&lt;M42)*(INDIRECT($R$1&amp;"!$H:$H")&gt;=M42),INDIRECT($R$1&amp;"!$K:$K"))))*M42+(_xlfn.SINGLE(_xlfn.XLOOKUP(1,(INDIRECT($R$1&amp;"!$C:$C")=B42)*(INDIRECT($R$1&amp;"!$G:$G")&lt;M42)*(INDIRECT($R$1&amp;"!$H:$H")&gt;=M42),INDIRECT($R$1&amp;"!$L:$L"))))</f>
        <v>61.3</v>
      </c>
      <c r="Q42" s="971" cm="1">
        <f ca="1" t="array" ref="Q42">(_xlfn.SINGLE(_xlfn.XLOOKUP(1,(INDIRECT($R$1&amp;"!$C:$C")=B42)*(INDIRECT($R$1&amp;"!$G:$G")&lt;N42)*(INDIRECT($R$1&amp;"!$H:$H")&gt;=N42),INDIRECT($R$1&amp;"!$K:$K"))))*N42+(_xlfn.SINGLE(_xlfn.XLOOKUP(1,(INDIRECT($R$1&amp;"!$C:$C")=B42)*(INDIRECT($R$1&amp;"!$G:$G")&lt;N42)*(INDIRECT($R$1&amp;"!$H:$H")&gt;=N42),INDIRECT($R$1&amp;"!$L:$L"))))</f>
        <v>84.95</v>
      </c>
      <c r="R42" s="955"/>
    </row>
    <row r="43" ht="17.25" spans="1:18">
      <c r="A43" s="966" t="s">
        <v>102</v>
      </c>
      <c r="B43" s="963" t="s">
        <v>103</v>
      </c>
      <c r="C43" s="964">
        <f ca="1" t="shared" si="3"/>
        <v>7.10570422535211</v>
      </c>
      <c r="D43" s="964">
        <f ca="1" t="shared" si="0"/>
        <v>11.9508450704225</v>
      </c>
      <c r="E43" s="964">
        <f ca="1" t="shared" si="1"/>
        <v>16.795985915493</v>
      </c>
      <c r="F43" s="965">
        <f ca="1" t="shared" ref="F43:H43" si="42">O43/$P$1</f>
        <v>4.66901408450704</v>
      </c>
      <c r="G43" s="965">
        <f ca="1" t="shared" si="42"/>
        <v>7.22535211267606</v>
      </c>
      <c r="H43" s="965">
        <f ca="1" t="shared" si="42"/>
        <v>9.78169014084507</v>
      </c>
      <c r="I43" s="965">
        <f>(VLOOKUP($B$1,'Product Procurement Sheet'!B:I,8,0)*$L$1)/$P$1</f>
        <v>1.97183098591549</v>
      </c>
      <c r="J43" s="965">
        <f>(VLOOKUP($B$1,'Product Procurement Sheet'!B:I,8,0)*$M$1)/$P$1</f>
        <v>3.94366197183099</v>
      </c>
      <c r="K43" s="965">
        <f>(VLOOKUP($B$1,'Product Procurement Sheet'!B:I,8,0)*$N$1)/$P$1</f>
        <v>5.91549295774648</v>
      </c>
      <c r="L43" s="968">
        <f>VLOOKUP($B$1,'Product Procurement Sheet'!B:D,3,FALSE)*$L$1</f>
        <v>0.11</v>
      </c>
      <c r="M43" s="968">
        <f>VLOOKUP($B$1,'Product Procurement Sheet'!B:D,3,FALSE)*$M$1</f>
        <v>0.22</v>
      </c>
      <c r="N43" s="968">
        <f>VLOOKUP($B$1,'Product Procurement Sheet'!B:D,3,FALSE)*$N$1</f>
        <v>0.33</v>
      </c>
      <c r="O43" s="971" cm="1">
        <f ca="1" t="array" ref="O43">(_xlfn.SINGLE(_xlfn.XLOOKUP(1,(INDIRECT($R$1&amp;"!$C:$C")=B43)*(INDIRECT($R$1&amp;"!$G:$G")&lt;L43)*(INDIRECT($R$1&amp;"!$H:$H")&gt;=L43),INDIRECT($R$1&amp;"!$K:$K"))))*L43+(_xlfn.SINGLE(_xlfn.XLOOKUP(1,(INDIRECT($R$1&amp;"!$C:$C")=B43)*(INDIRECT($R$1&amp;"!$G:$G")&lt;L43)*(INDIRECT($R$1&amp;"!$H:$H")&gt;=L43),INDIRECT($R$1&amp;"!$L:$L"))))</f>
        <v>33.15</v>
      </c>
      <c r="P43" s="971" cm="1">
        <f ca="1" t="array" ref="P43">(_xlfn.SINGLE(_xlfn.XLOOKUP(1,(INDIRECT($R$1&amp;"!$C:$C")=B43)*(INDIRECT($R$1&amp;"!$G:$G")&lt;M43)*(INDIRECT($R$1&amp;"!$H:$H")&gt;=M43),INDIRECT($R$1&amp;"!$K:$K"))))*M43+(_xlfn.SINGLE(_xlfn.XLOOKUP(1,(INDIRECT($R$1&amp;"!$C:$C")=B43)*(INDIRECT($R$1&amp;"!$G:$G")&lt;M43)*(INDIRECT($R$1&amp;"!$H:$H")&gt;=M43),INDIRECT($R$1&amp;"!$L:$L"))))</f>
        <v>51.3</v>
      </c>
      <c r="Q43" s="971" cm="1">
        <f ca="1" t="array" ref="Q43">(_xlfn.SINGLE(_xlfn.XLOOKUP(1,(INDIRECT($R$1&amp;"!$C:$C")=B43)*(INDIRECT($R$1&amp;"!$G:$G")&lt;N43)*(INDIRECT($R$1&amp;"!$H:$H")&gt;=N43),INDIRECT($R$1&amp;"!$K:$K"))))*N43+(_xlfn.SINGLE(_xlfn.XLOOKUP(1,(INDIRECT($R$1&amp;"!$C:$C")=B43)*(INDIRECT($R$1&amp;"!$G:$G")&lt;N43)*(INDIRECT($R$1&amp;"!$H:$H")&gt;=N43),INDIRECT($R$1&amp;"!$L:$L"))))</f>
        <v>69.45</v>
      </c>
      <c r="R43" s="955"/>
    </row>
    <row r="44" ht="17.25" spans="1:18">
      <c r="A44" s="966" t="s">
        <v>104</v>
      </c>
      <c r="B44" s="963" t="s">
        <v>105</v>
      </c>
      <c r="C44" s="964">
        <f ca="1" t="shared" si="3"/>
        <v>5.10133802816901</v>
      </c>
      <c r="D44" s="964">
        <f ca="1" t="shared" si="0"/>
        <v>7.79140845070423</v>
      </c>
      <c r="E44" s="964">
        <f ca="1" t="shared" si="1"/>
        <v>10.4814788732394</v>
      </c>
      <c r="F44" s="965">
        <f ca="1" t="shared" ref="F44:H44" si="43">O44/$P$1</f>
        <v>2.79577464788732</v>
      </c>
      <c r="G44" s="965">
        <f ca="1" t="shared" si="43"/>
        <v>3.33802816901408</v>
      </c>
      <c r="H44" s="965">
        <f ca="1" t="shared" si="43"/>
        <v>3.88028169014085</v>
      </c>
      <c r="I44" s="965">
        <f>(VLOOKUP($B$1,'Product Procurement Sheet'!B:I,8,0)*$L$1)/$P$1</f>
        <v>1.97183098591549</v>
      </c>
      <c r="J44" s="965">
        <f>(VLOOKUP($B$1,'Product Procurement Sheet'!B:I,8,0)*$M$1)/$P$1</f>
        <v>3.94366197183099</v>
      </c>
      <c r="K44" s="965">
        <f>(VLOOKUP($B$1,'Product Procurement Sheet'!B:I,8,0)*$N$1)/$P$1</f>
        <v>5.91549295774648</v>
      </c>
      <c r="L44" s="968">
        <f>VLOOKUP($B$1,'Product Procurement Sheet'!B:D,3,FALSE)*$L$1</f>
        <v>0.11</v>
      </c>
      <c r="M44" s="968">
        <f>VLOOKUP($B$1,'Product Procurement Sheet'!B:D,3,FALSE)*$M$1</f>
        <v>0.22</v>
      </c>
      <c r="N44" s="968">
        <f>VLOOKUP($B$1,'Product Procurement Sheet'!B:D,3,FALSE)*$N$1</f>
        <v>0.33</v>
      </c>
      <c r="O44" s="971" cm="1">
        <f ca="1" t="array" ref="O44">(_xlfn.SINGLE(_xlfn.XLOOKUP(1,(INDIRECT($R$1&amp;"!$C:$C")=B44)*(INDIRECT($R$1&amp;"!$G:$G")&lt;L44)*(INDIRECT($R$1&amp;"!$H:$H")&gt;=L44),INDIRECT($R$1&amp;"!$K:$K"))))*L44+(_xlfn.SINGLE(_xlfn.XLOOKUP(1,(INDIRECT($R$1&amp;"!$C:$C")=B44)*(INDIRECT($R$1&amp;"!$G:$G")&lt;L44)*(INDIRECT($R$1&amp;"!$H:$H")&gt;=L44),INDIRECT($R$1&amp;"!$L:$L"))))</f>
        <v>19.85</v>
      </c>
      <c r="P44" s="971" cm="1">
        <f ca="1" t="array" ref="P44">(_xlfn.SINGLE(_xlfn.XLOOKUP(1,(INDIRECT($R$1&amp;"!$C:$C")=B44)*(INDIRECT($R$1&amp;"!$G:$G")&lt;M44)*(INDIRECT($R$1&amp;"!$H:$H")&gt;=M44),INDIRECT($R$1&amp;"!$K:$K"))))*M44+(_xlfn.SINGLE(_xlfn.XLOOKUP(1,(INDIRECT($R$1&amp;"!$C:$C")=B44)*(INDIRECT($R$1&amp;"!$G:$G")&lt;M44)*(INDIRECT($R$1&amp;"!$H:$H")&gt;=M44),INDIRECT($R$1&amp;"!$L:$L"))))</f>
        <v>23.7</v>
      </c>
      <c r="Q44" s="971" cm="1">
        <f ca="1" t="array" ref="Q44">(_xlfn.SINGLE(_xlfn.XLOOKUP(1,(INDIRECT($R$1&amp;"!$C:$C")=B44)*(INDIRECT($R$1&amp;"!$G:$G")&lt;N44)*(INDIRECT($R$1&amp;"!$H:$H")&gt;=N44),INDIRECT($R$1&amp;"!$K:$K"))))*N44+(_xlfn.SINGLE(_xlfn.XLOOKUP(1,(INDIRECT($R$1&amp;"!$C:$C")=B44)*(INDIRECT($R$1&amp;"!$G:$G")&lt;N44)*(INDIRECT($R$1&amp;"!$H:$H")&gt;=N44),INDIRECT($R$1&amp;"!$L:$L"))))</f>
        <v>27.55</v>
      </c>
      <c r="R44" s="955"/>
    </row>
    <row r="45" ht="17.25" spans="1:18">
      <c r="A45" s="966" t="s">
        <v>106</v>
      </c>
      <c r="B45" s="963" t="s">
        <v>107</v>
      </c>
      <c r="C45" s="964">
        <f ca="1" t="shared" si="3"/>
        <v>6.86457746478873</v>
      </c>
      <c r="D45" s="964">
        <f ca="1" t="shared" si="0"/>
        <v>10.7150704225352</v>
      </c>
      <c r="E45" s="964">
        <f ca="1" t="shared" si="1"/>
        <v>14.5655633802817</v>
      </c>
      <c r="F45" s="965">
        <f ca="1" t="shared" ref="F45:H45" si="44">O45/$P$1</f>
        <v>4.44366197183099</v>
      </c>
      <c r="G45" s="965">
        <f ca="1" t="shared" si="44"/>
        <v>6.07042253521127</v>
      </c>
      <c r="H45" s="965">
        <f ca="1" t="shared" si="44"/>
        <v>7.69718309859155</v>
      </c>
      <c r="I45" s="965">
        <f>(VLOOKUP($B$1,'Product Procurement Sheet'!B:I,8,0)*$L$1)/$P$1</f>
        <v>1.97183098591549</v>
      </c>
      <c r="J45" s="965">
        <f>(VLOOKUP($B$1,'Product Procurement Sheet'!B:I,8,0)*$M$1)/$P$1</f>
        <v>3.94366197183099</v>
      </c>
      <c r="K45" s="965">
        <f>(VLOOKUP($B$1,'Product Procurement Sheet'!B:I,8,0)*$N$1)/$P$1</f>
        <v>5.91549295774648</v>
      </c>
      <c r="L45" s="968">
        <f>VLOOKUP($B$1,'Product Procurement Sheet'!B:D,3,FALSE)*$L$1</f>
        <v>0.11</v>
      </c>
      <c r="M45" s="968">
        <f>VLOOKUP($B$1,'Product Procurement Sheet'!B:D,3,FALSE)*$M$1</f>
        <v>0.22</v>
      </c>
      <c r="N45" s="968">
        <f>VLOOKUP($B$1,'Product Procurement Sheet'!B:D,3,FALSE)*$N$1</f>
        <v>0.33</v>
      </c>
      <c r="O45" s="971" cm="1">
        <f ca="1" t="array" ref="O45">(_xlfn.SINGLE(_xlfn.XLOOKUP(1,(INDIRECT($R$1&amp;"!$C:$C")=B45)*(INDIRECT($R$1&amp;"!$G:$G")&lt;L45)*(INDIRECT($R$1&amp;"!$H:$H")&gt;=L45),INDIRECT($R$1&amp;"!$K:$K"))))*L45+(_xlfn.SINGLE(_xlfn.XLOOKUP(1,(INDIRECT($R$1&amp;"!$C:$C")=B45)*(INDIRECT($R$1&amp;"!$G:$G")&lt;L45)*(INDIRECT($R$1&amp;"!$H:$H")&gt;=L45),INDIRECT($R$1&amp;"!$L:$L"))))</f>
        <v>31.55</v>
      </c>
      <c r="P45" s="971" cm="1">
        <f ca="1" t="array" ref="P45">(_xlfn.SINGLE(_xlfn.XLOOKUP(1,(INDIRECT($R$1&amp;"!$C:$C")=B45)*(INDIRECT($R$1&amp;"!$G:$G")&lt;M45)*(INDIRECT($R$1&amp;"!$H:$H")&gt;=M45),INDIRECT($R$1&amp;"!$K:$K"))))*M45+(_xlfn.SINGLE(_xlfn.XLOOKUP(1,(INDIRECT($R$1&amp;"!$C:$C")=B45)*(INDIRECT($R$1&amp;"!$G:$G")&lt;M45)*(INDIRECT($R$1&amp;"!$H:$H")&gt;=M45),INDIRECT($R$1&amp;"!$L:$L"))))</f>
        <v>43.1</v>
      </c>
      <c r="Q45" s="971" cm="1">
        <f ca="1" t="array" ref="Q45">(_xlfn.SINGLE(_xlfn.XLOOKUP(1,(INDIRECT($R$1&amp;"!$C:$C")=B45)*(INDIRECT($R$1&amp;"!$G:$G")&lt;N45)*(INDIRECT($R$1&amp;"!$H:$H")&gt;=N45),INDIRECT($R$1&amp;"!$K:$K"))))*N45+(_xlfn.SINGLE(_xlfn.XLOOKUP(1,(INDIRECT($R$1&amp;"!$C:$C")=B45)*(INDIRECT($R$1&amp;"!$G:$G")&lt;N45)*(INDIRECT($R$1&amp;"!$H:$H")&gt;=N45),INDIRECT($R$1&amp;"!$L:$L"))))</f>
        <v>54.65</v>
      </c>
      <c r="R45" s="955"/>
    </row>
    <row r="46" ht="17.25" spans="1:18">
      <c r="A46" s="966" t="s">
        <v>108</v>
      </c>
      <c r="B46" s="963" t="s">
        <v>109</v>
      </c>
      <c r="C46" s="964">
        <f ca="1" t="shared" si="3"/>
        <v>7.48246478873239</v>
      </c>
      <c r="D46" s="964">
        <f ca="1" t="shared" si="0"/>
        <v>11.4987323943662</v>
      </c>
      <c r="E46" s="964">
        <f ca="1" t="shared" si="1"/>
        <v>15.515</v>
      </c>
      <c r="F46" s="965">
        <f ca="1" t="shared" ref="F46:H46" si="45">O46/$P$1</f>
        <v>5.02112676056338</v>
      </c>
      <c r="G46" s="965">
        <f ca="1" t="shared" si="45"/>
        <v>6.80281690140845</v>
      </c>
      <c r="H46" s="965">
        <f ca="1" t="shared" si="45"/>
        <v>8.58450704225352</v>
      </c>
      <c r="I46" s="965">
        <f>(VLOOKUP($B$1,'Product Procurement Sheet'!B:I,8,0)*$L$1)/$P$1</f>
        <v>1.97183098591549</v>
      </c>
      <c r="J46" s="965">
        <f>(VLOOKUP($B$1,'Product Procurement Sheet'!B:I,8,0)*$M$1)/$P$1</f>
        <v>3.94366197183099</v>
      </c>
      <c r="K46" s="965">
        <f>(VLOOKUP($B$1,'Product Procurement Sheet'!B:I,8,0)*$N$1)/$P$1</f>
        <v>5.91549295774648</v>
      </c>
      <c r="L46" s="968">
        <f>VLOOKUP($B$1,'Product Procurement Sheet'!B:D,3,FALSE)*$L$1</f>
        <v>0.11</v>
      </c>
      <c r="M46" s="968">
        <f>VLOOKUP($B$1,'Product Procurement Sheet'!B:D,3,FALSE)*$M$1</f>
        <v>0.22</v>
      </c>
      <c r="N46" s="968">
        <f>VLOOKUP($B$1,'Product Procurement Sheet'!B:D,3,FALSE)*$N$1</f>
        <v>0.33</v>
      </c>
      <c r="O46" s="971" cm="1">
        <f ca="1" t="array" ref="O46">(_xlfn.SINGLE(_xlfn.XLOOKUP(1,(INDIRECT($R$1&amp;"!$C:$C")=B46)*(INDIRECT($R$1&amp;"!$G:$G")&lt;L46)*(INDIRECT($R$1&amp;"!$H:$H")&gt;=L46),INDIRECT($R$1&amp;"!$K:$K"))))*L46+(_xlfn.SINGLE(_xlfn.XLOOKUP(1,(INDIRECT($R$1&amp;"!$C:$C")=B46)*(INDIRECT($R$1&amp;"!$G:$G")&lt;L46)*(INDIRECT($R$1&amp;"!$H:$H")&gt;=L46),INDIRECT($R$1&amp;"!$L:$L"))))</f>
        <v>35.65</v>
      </c>
      <c r="P46" s="971" cm="1">
        <f ca="1" t="array" ref="P46">(_xlfn.SINGLE(_xlfn.XLOOKUP(1,(INDIRECT($R$1&amp;"!$C:$C")=B46)*(INDIRECT($R$1&amp;"!$G:$G")&lt;M46)*(INDIRECT($R$1&amp;"!$H:$H")&gt;=M46),INDIRECT($R$1&amp;"!$K:$K"))))*M46+(_xlfn.SINGLE(_xlfn.XLOOKUP(1,(INDIRECT($R$1&amp;"!$C:$C")=B46)*(INDIRECT($R$1&amp;"!$G:$G")&lt;M46)*(INDIRECT($R$1&amp;"!$H:$H")&gt;=M46),INDIRECT($R$1&amp;"!$L:$L"))))</f>
        <v>48.3</v>
      </c>
      <c r="Q46" s="971" cm="1">
        <f ca="1" t="array" ref="Q46">(_xlfn.SINGLE(_xlfn.XLOOKUP(1,(INDIRECT($R$1&amp;"!$C:$C")=B46)*(INDIRECT($R$1&amp;"!$G:$G")&lt;N46)*(INDIRECT($R$1&amp;"!$H:$H")&gt;=N46),INDIRECT($R$1&amp;"!$K:$K"))))*N46+(_xlfn.SINGLE(_xlfn.XLOOKUP(1,(INDIRECT($R$1&amp;"!$C:$C")=B46)*(INDIRECT($R$1&amp;"!$G:$G")&lt;N46)*(INDIRECT($R$1&amp;"!$H:$H")&gt;=N46),INDIRECT($R$1&amp;"!$L:$L"))))</f>
        <v>60.95</v>
      </c>
      <c r="R46" s="955"/>
    </row>
    <row r="47" ht="17.25" spans="1:18">
      <c r="A47" s="966" t="s">
        <v>110</v>
      </c>
      <c r="B47" s="963" t="s">
        <v>111</v>
      </c>
      <c r="C47" s="964">
        <f ca="1" t="shared" si="3"/>
        <v>5.04105633802817</v>
      </c>
      <c r="D47" s="964">
        <f ca="1" t="shared" si="0"/>
        <v>8.72577464788733</v>
      </c>
      <c r="E47" s="964">
        <f ca="1" t="shared" si="1"/>
        <v>12.4104929577465</v>
      </c>
      <c r="F47" s="965">
        <f ca="1" t="shared" ref="F47:H47" si="46">O47/$P$1</f>
        <v>2.73943661971831</v>
      </c>
      <c r="G47" s="965">
        <f ca="1" t="shared" si="46"/>
        <v>4.2112676056338</v>
      </c>
      <c r="H47" s="965">
        <f ca="1" t="shared" si="46"/>
        <v>5.6830985915493</v>
      </c>
      <c r="I47" s="965">
        <f>(VLOOKUP($B$1,'Product Procurement Sheet'!B:I,8,0)*$L$1)/$P$1</f>
        <v>1.97183098591549</v>
      </c>
      <c r="J47" s="965">
        <f>(VLOOKUP($B$1,'Product Procurement Sheet'!B:I,8,0)*$M$1)/$P$1</f>
        <v>3.94366197183099</v>
      </c>
      <c r="K47" s="965">
        <f>(VLOOKUP($B$1,'Product Procurement Sheet'!B:I,8,0)*$N$1)/$P$1</f>
        <v>5.91549295774648</v>
      </c>
      <c r="L47" s="968">
        <f>VLOOKUP($B$1,'Product Procurement Sheet'!B:D,3,FALSE)*$L$1</f>
        <v>0.11</v>
      </c>
      <c r="M47" s="968">
        <f>VLOOKUP($B$1,'Product Procurement Sheet'!B:D,3,FALSE)*$M$1</f>
        <v>0.22</v>
      </c>
      <c r="N47" s="968">
        <f>VLOOKUP($B$1,'Product Procurement Sheet'!B:D,3,FALSE)*$N$1</f>
        <v>0.33</v>
      </c>
      <c r="O47" s="971" cm="1">
        <f ca="1" t="array" ref="O47">(_xlfn.SINGLE(_xlfn.XLOOKUP(1,(INDIRECT($R$1&amp;"!$C:$C")=B47)*(INDIRECT($R$1&amp;"!$G:$G")&lt;L47)*(INDIRECT($R$1&amp;"!$H:$H")&gt;=L47),INDIRECT($R$1&amp;"!$K:$K"))))*L47+(_xlfn.SINGLE(_xlfn.XLOOKUP(1,(INDIRECT($R$1&amp;"!$C:$C")=B47)*(INDIRECT($R$1&amp;"!$G:$G")&lt;L47)*(INDIRECT($R$1&amp;"!$H:$H")&gt;=L47),INDIRECT($R$1&amp;"!$L:$L"))))</f>
        <v>19.45</v>
      </c>
      <c r="P47" s="971" cm="1">
        <f ca="1" t="array" ref="P47">(_xlfn.SINGLE(_xlfn.XLOOKUP(1,(INDIRECT($R$1&amp;"!$C:$C")=B47)*(INDIRECT($R$1&amp;"!$G:$G")&lt;M47)*(INDIRECT($R$1&amp;"!$H:$H")&gt;=M47),INDIRECT($R$1&amp;"!$K:$K"))))*M47+(_xlfn.SINGLE(_xlfn.XLOOKUP(1,(INDIRECT($R$1&amp;"!$C:$C")=B47)*(INDIRECT($R$1&amp;"!$G:$G")&lt;M47)*(INDIRECT($R$1&amp;"!$H:$H")&gt;=M47),INDIRECT($R$1&amp;"!$L:$L"))))</f>
        <v>29.9</v>
      </c>
      <c r="Q47" s="971" cm="1">
        <f ca="1" t="array" ref="Q47">(_xlfn.SINGLE(_xlfn.XLOOKUP(1,(INDIRECT($R$1&amp;"!$C:$C")=B47)*(INDIRECT($R$1&amp;"!$G:$G")&lt;N47)*(INDIRECT($R$1&amp;"!$H:$H")&gt;=N47),INDIRECT($R$1&amp;"!$K:$K"))))*N47+(_xlfn.SINGLE(_xlfn.XLOOKUP(1,(INDIRECT($R$1&amp;"!$C:$C")=B47)*(INDIRECT($R$1&amp;"!$G:$G")&lt;N47)*(INDIRECT($R$1&amp;"!$H:$H")&gt;=N47),INDIRECT($R$1&amp;"!$L:$L"))))</f>
        <v>40.35</v>
      </c>
      <c r="R47" s="955"/>
    </row>
    <row r="48" ht="17.25" spans="1:18">
      <c r="A48" s="966" t="s">
        <v>112</v>
      </c>
      <c r="B48" s="963" t="s">
        <v>113</v>
      </c>
      <c r="C48" s="964" t="e">
        <f ca="1" t="shared" si="3"/>
        <v>#N/A</v>
      </c>
      <c r="D48" s="964" t="e">
        <f ca="1" t="shared" si="0"/>
        <v>#N/A</v>
      </c>
      <c r="E48" s="964" t="e">
        <f ca="1" t="shared" si="1"/>
        <v>#N/A</v>
      </c>
      <c r="F48" s="965" t="e">
        <f ca="1" t="shared" ref="F48:H48" si="47">O48/$P$1</f>
        <v>#N/A</v>
      </c>
      <c r="G48" s="965" t="e">
        <f ca="1" t="shared" si="47"/>
        <v>#N/A</v>
      </c>
      <c r="H48" s="965" t="e">
        <f ca="1" t="shared" si="47"/>
        <v>#N/A</v>
      </c>
      <c r="I48" s="965">
        <f>(VLOOKUP($B$1,'Product Procurement Sheet'!B:I,8,0)*$L$1)/$P$1</f>
        <v>1.97183098591549</v>
      </c>
      <c r="J48" s="965">
        <f>(VLOOKUP($B$1,'Product Procurement Sheet'!B:I,8,0)*$M$1)/$P$1</f>
        <v>3.94366197183099</v>
      </c>
      <c r="K48" s="965">
        <f>(VLOOKUP($B$1,'Product Procurement Sheet'!B:I,8,0)*$N$1)/$P$1</f>
        <v>5.91549295774648</v>
      </c>
      <c r="L48" s="968">
        <f>VLOOKUP($B$1,'Product Procurement Sheet'!B:D,3,FALSE)*$L$1</f>
        <v>0.11</v>
      </c>
      <c r="M48" s="968">
        <f>VLOOKUP($B$1,'Product Procurement Sheet'!B:D,3,FALSE)*$M$1</f>
        <v>0.22</v>
      </c>
      <c r="N48" s="968">
        <f>VLOOKUP($B$1,'Product Procurement Sheet'!B:D,3,FALSE)*$N$1</f>
        <v>0.33</v>
      </c>
      <c r="O48" s="971" t="e" cm="1">
        <f ca="1" t="array" ref="O48">(_xlfn.SINGLE(_xlfn.XLOOKUP(1,(INDIRECT($R$1&amp;"!$C:$C")=B48)*(INDIRECT($R$1&amp;"!$G:$G")&lt;L48)*(INDIRECT($R$1&amp;"!$H:$H")&gt;=L48),INDIRECT($R$1&amp;"!$K:$K"))))*L48+(_xlfn.SINGLE(_xlfn.XLOOKUP(1,(INDIRECT($R$1&amp;"!$C:$C")=B48)*(INDIRECT($R$1&amp;"!$G:$G")&lt;L48)*(INDIRECT($R$1&amp;"!$H:$H")&gt;=L48),INDIRECT($R$1&amp;"!$L:$L"))))</f>
        <v>#N/A</v>
      </c>
      <c r="P48" s="971" t="e" cm="1">
        <f ca="1" t="array" ref="P48">(_xlfn.SINGLE(_xlfn.XLOOKUP(1,(INDIRECT($R$1&amp;"!$C:$C")=B48)*(INDIRECT($R$1&amp;"!$G:$G")&lt;M48)*(INDIRECT($R$1&amp;"!$H:$H")&gt;=M48),INDIRECT($R$1&amp;"!$K:$K"))))*M48+(_xlfn.SINGLE(_xlfn.XLOOKUP(1,(INDIRECT($R$1&amp;"!$C:$C")=B48)*(INDIRECT($R$1&amp;"!$G:$G")&lt;M48)*(INDIRECT($R$1&amp;"!$H:$H")&gt;=M48),INDIRECT($R$1&amp;"!$L:$L"))))</f>
        <v>#N/A</v>
      </c>
      <c r="Q48" s="971" t="e" cm="1">
        <f ca="1" t="array" ref="Q48">(_xlfn.SINGLE(_xlfn.XLOOKUP(1,(INDIRECT($R$1&amp;"!$C:$C")=B48)*(INDIRECT($R$1&amp;"!$G:$G")&lt;N48)*(INDIRECT($R$1&amp;"!$H:$H")&gt;=N48),INDIRECT($R$1&amp;"!$K:$K"))))*N48+(_xlfn.SINGLE(_xlfn.XLOOKUP(1,(INDIRECT($R$1&amp;"!$C:$C")=B48)*(INDIRECT($R$1&amp;"!$G:$G")&lt;N48)*(INDIRECT($R$1&amp;"!$H:$H")&gt;=N48),INDIRECT($R$1&amp;"!$L:$L"))))</f>
        <v>#N/A</v>
      </c>
      <c r="R48" s="955"/>
    </row>
    <row r="49" ht="17.25" spans="1:18">
      <c r="A49" s="966" t="s">
        <v>114</v>
      </c>
      <c r="B49" s="963" t="s">
        <v>115</v>
      </c>
      <c r="C49" s="964">
        <f ca="1" t="shared" si="3"/>
        <v>7.93457746478873</v>
      </c>
      <c r="D49" s="964">
        <f ca="1" t="shared" si="0"/>
        <v>13.6085915492958</v>
      </c>
      <c r="E49" s="964">
        <f ca="1" t="shared" si="1"/>
        <v>19.2826056338028</v>
      </c>
      <c r="F49" s="965">
        <f ca="1" t="shared" ref="F49:H49" si="48">O49/$P$1</f>
        <v>5.44366197183099</v>
      </c>
      <c r="G49" s="965">
        <f ca="1" t="shared" si="48"/>
        <v>8.77464788732394</v>
      </c>
      <c r="H49" s="965">
        <f ca="1" t="shared" si="48"/>
        <v>12.1056338028169</v>
      </c>
      <c r="I49" s="965">
        <f>(VLOOKUP($B$1,'Product Procurement Sheet'!B:I,8,0)*$L$1)/$P$1</f>
        <v>1.97183098591549</v>
      </c>
      <c r="J49" s="965">
        <f>(VLOOKUP($B$1,'Product Procurement Sheet'!B:I,8,0)*$M$1)/$P$1</f>
        <v>3.94366197183099</v>
      </c>
      <c r="K49" s="965">
        <f>(VLOOKUP($B$1,'Product Procurement Sheet'!B:I,8,0)*$N$1)/$P$1</f>
        <v>5.91549295774648</v>
      </c>
      <c r="L49" s="968">
        <f>VLOOKUP($B$1,'Product Procurement Sheet'!B:D,3,FALSE)*$L$1</f>
        <v>0.11</v>
      </c>
      <c r="M49" s="968">
        <f>VLOOKUP($B$1,'Product Procurement Sheet'!B:D,3,FALSE)*$M$1</f>
        <v>0.22</v>
      </c>
      <c r="N49" s="968">
        <f>VLOOKUP($B$1,'Product Procurement Sheet'!B:D,3,FALSE)*$N$1</f>
        <v>0.33</v>
      </c>
      <c r="O49" s="971" cm="1">
        <f ca="1" t="array" ref="O49">(_xlfn.SINGLE(_xlfn.XLOOKUP(1,(INDIRECT($R$1&amp;"!$C:$C")=B49)*(INDIRECT($R$1&amp;"!$G:$G")&lt;L49)*(INDIRECT($R$1&amp;"!$H:$H")&gt;=L49),INDIRECT($R$1&amp;"!$K:$K"))))*L49+(_xlfn.SINGLE(_xlfn.XLOOKUP(1,(INDIRECT($R$1&amp;"!$C:$C")=B49)*(INDIRECT($R$1&amp;"!$G:$G")&lt;L49)*(INDIRECT($R$1&amp;"!$H:$H")&gt;=L49),INDIRECT($R$1&amp;"!$L:$L"))))</f>
        <v>38.65</v>
      </c>
      <c r="P49" s="971" cm="1">
        <f ca="1" t="array" ref="P49">(_xlfn.SINGLE(_xlfn.XLOOKUP(1,(INDIRECT($R$1&amp;"!$C:$C")=B49)*(INDIRECT($R$1&amp;"!$G:$G")&lt;M49)*(INDIRECT($R$1&amp;"!$H:$H")&gt;=M49),INDIRECT($R$1&amp;"!$K:$K"))))*M49+(_xlfn.SINGLE(_xlfn.XLOOKUP(1,(INDIRECT($R$1&amp;"!$C:$C")=B49)*(INDIRECT($R$1&amp;"!$G:$G")&lt;M49)*(INDIRECT($R$1&amp;"!$H:$H")&gt;=M49),INDIRECT($R$1&amp;"!$L:$L"))))</f>
        <v>62.3</v>
      </c>
      <c r="Q49" s="971" cm="1">
        <f ca="1" t="array" ref="Q49">(_xlfn.SINGLE(_xlfn.XLOOKUP(1,(INDIRECT($R$1&amp;"!$C:$C")=B49)*(INDIRECT($R$1&amp;"!$G:$G")&lt;N49)*(INDIRECT($R$1&amp;"!$H:$H")&gt;=N49),INDIRECT($R$1&amp;"!$K:$K"))))*N49+(_xlfn.SINGLE(_xlfn.XLOOKUP(1,(INDIRECT($R$1&amp;"!$C:$C")=B49)*(INDIRECT($R$1&amp;"!$G:$G")&lt;N49)*(INDIRECT($R$1&amp;"!$H:$H")&gt;=N49),INDIRECT($R$1&amp;"!$L:$L"))))</f>
        <v>85.95</v>
      </c>
      <c r="R49" s="955"/>
    </row>
    <row r="50" ht="17.25" spans="1:18">
      <c r="A50" s="966" t="s">
        <v>116</v>
      </c>
      <c r="B50" s="963" t="s">
        <v>117</v>
      </c>
      <c r="C50" s="964">
        <f ca="1" t="shared" si="3"/>
        <v>13.164014084507</v>
      </c>
      <c r="D50" s="964">
        <f ca="1" t="shared" si="0"/>
        <v>23.3139436619718</v>
      </c>
      <c r="E50" s="964">
        <f ca="1" t="shared" si="1"/>
        <v>33.4638732394366</v>
      </c>
      <c r="F50" s="965">
        <f ca="1" t="shared" ref="F50:H50" si="49">O50/$P$1</f>
        <v>10.330985915493</v>
      </c>
      <c r="G50" s="965">
        <f ca="1" t="shared" si="49"/>
        <v>17.8450704225352</v>
      </c>
      <c r="H50" s="965">
        <f ca="1" t="shared" si="49"/>
        <v>25.3591549295775</v>
      </c>
      <c r="I50" s="965">
        <f>(VLOOKUP($B$1,'Product Procurement Sheet'!B:I,8,0)*$L$1)/$P$1</f>
        <v>1.97183098591549</v>
      </c>
      <c r="J50" s="965">
        <f>(VLOOKUP($B$1,'Product Procurement Sheet'!B:I,8,0)*$M$1)/$P$1</f>
        <v>3.94366197183099</v>
      </c>
      <c r="K50" s="965">
        <f>(VLOOKUP($B$1,'Product Procurement Sheet'!B:I,8,0)*$N$1)/$P$1</f>
        <v>5.91549295774648</v>
      </c>
      <c r="L50" s="968">
        <f>VLOOKUP($B$1,'Product Procurement Sheet'!B:D,3,FALSE)*$L$1</f>
        <v>0.11</v>
      </c>
      <c r="M50" s="968">
        <f>VLOOKUP($B$1,'Product Procurement Sheet'!B:D,3,FALSE)*$M$1</f>
        <v>0.22</v>
      </c>
      <c r="N50" s="968">
        <f>VLOOKUP($B$1,'Product Procurement Sheet'!B:D,3,FALSE)*$N$1</f>
        <v>0.33</v>
      </c>
      <c r="O50" s="971" cm="1">
        <f ca="1" t="array" ref="O50">(_xlfn.SINGLE(_xlfn.XLOOKUP(1,(INDIRECT($R$1&amp;"!$C:$C")=B50)*(INDIRECT($R$1&amp;"!$G:$G")&lt;L50)*(INDIRECT($R$1&amp;"!$H:$H")&gt;=L50),INDIRECT($R$1&amp;"!$K:$K"))))*L50+(_xlfn.SINGLE(_xlfn.XLOOKUP(1,(INDIRECT($R$1&amp;"!$C:$C")=B50)*(INDIRECT($R$1&amp;"!$G:$G")&lt;L50)*(INDIRECT($R$1&amp;"!$H:$H")&gt;=L50),INDIRECT($R$1&amp;"!$L:$L"))))</f>
        <v>73.35</v>
      </c>
      <c r="P50" s="971" cm="1">
        <f ca="1" t="array" ref="P50">(_xlfn.SINGLE(_xlfn.XLOOKUP(1,(INDIRECT($R$1&amp;"!$C:$C")=B50)*(INDIRECT($R$1&amp;"!$G:$G")&lt;M50)*(INDIRECT($R$1&amp;"!$H:$H")&gt;=M50),INDIRECT($R$1&amp;"!$K:$K"))))*M50+(_xlfn.SINGLE(_xlfn.XLOOKUP(1,(INDIRECT($R$1&amp;"!$C:$C")=B50)*(INDIRECT($R$1&amp;"!$G:$G")&lt;M50)*(INDIRECT($R$1&amp;"!$H:$H")&gt;=M50),INDIRECT($R$1&amp;"!$L:$L"))))</f>
        <v>126.7</v>
      </c>
      <c r="Q50" s="971" cm="1">
        <f ca="1" t="array" ref="Q50">(_xlfn.SINGLE(_xlfn.XLOOKUP(1,(INDIRECT($R$1&amp;"!$C:$C")=B50)*(INDIRECT($R$1&amp;"!$G:$G")&lt;N50)*(INDIRECT($R$1&amp;"!$H:$H")&gt;=N50),INDIRECT($R$1&amp;"!$K:$K"))))*N50+(_xlfn.SINGLE(_xlfn.XLOOKUP(1,(INDIRECT($R$1&amp;"!$C:$C")=B50)*(INDIRECT($R$1&amp;"!$G:$G")&lt;N50)*(INDIRECT($R$1&amp;"!$H:$H")&gt;=N50),INDIRECT($R$1&amp;"!$L:$L"))))</f>
        <v>180.05</v>
      </c>
      <c r="R50" s="955"/>
    </row>
    <row r="51" ht="17.25" spans="1:18">
      <c r="A51" s="966" t="s">
        <v>118</v>
      </c>
      <c r="B51" s="963" t="s">
        <v>119</v>
      </c>
      <c r="C51" s="964">
        <f ca="1" t="shared" si="3"/>
        <v>6.47274647887324</v>
      </c>
      <c r="D51" s="964">
        <f ca="1" t="shared" si="0"/>
        <v>10.986338028169</v>
      </c>
      <c r="E51" s="964">
        <f ca="1" t="shared" si="1"/>
        <v>15.4999295774648</v>
      </c>
      <c r="F51" s="965">
        <f ca="1" t="shared" ref="F51:H51" si="50">O51/$P$1</f>
        <v>4.07746478873239</v>
      </c>
      <c r="G51" s="965">
        <f ca="1" t="shared" si="50"/>
        <v>6.32394366197183</v>
      </c>
      <c r="H51" s="965">
        <f ca="1" t="shared" si="50"/>
        <v>8.57042253521127</v>
      </c>
      <c r="I51" s="965">
        <f>(VLOOKUP($B$1,'Product Procurement Sheet'!B:I,8,0)*$L$1)/$P$1</f>
        <v>1.97183098591549</v>
      </c>
      <c r="J51" s="965">
        <f>(VLOOKUP($B$1,'Product Procurement Sheet'!B:I,8,0)*$M$1)/$P$1</f>
        <v>3.94366197183099</v>
      </c>
      <c r="K51" s="965">
        <f>(VLOOKUP($B$1,'Product Procurement Sheet'!B:I,8,0)*$N$1)/$P$1</f>
        <v>5.91549295774648</v>
      </c>
      <c r="L51" s="968">
        <f>VLOOKUP($B$1,'Product Procurement Sheet'!B:D,3,FALSE)*$L$1</f>
        <v>0.11</v>
      </c>
      <c r="M51" s="968">
        <f>VLOOKUP($B$1,'Product Procurement Sheet'!B:D,3,FALSE)*$M$1</f>
        <v>0.22</v>
      </c>
      <c r="N51" s="968">
        <f>VLOOKUP($B$1,'Product Procurement Sheet'!B:D,3,FALSE)*$N$1</f>
        <v>0.33</v>
      </c>
      <c r="O51" s="971" cm="1">
        <f ca="1" t="array" ref="O51">(_xlfn.SINGLE(_xlfn.XLOOKUP(1,(INDIRECT($R$1&amp;"!$C:$C")=B51)*(INDIRECT($R$1&amp;"!$G:$G")&lt;L51)*(INDIRECT($R$1&amp;"!$H:$H")&gt;=L51),INDIRECT($R$1&amp;"!$K:$K"))))*L51+(_xlfn.SINGLE(_xlfn.XLOOKUP(1,(INDIRECT($R$1&amp;"!$C:$C")=B51)*(INDIRECT($R$1&amp;"!$G:$G")&lt;L51)*(INDIRECT($R$1&amp;"!$H:$H")&gt;=L51),INDIRECT($R$1&amp;"!$L:$L"))))</f>
        <v>28.95</v>
      </c>
      <c r="P51" s="971" cm="1">
        <f ca="1" t="array" ref="P51">(_xlfn.SINGLE(_xlfn.XLOOKUP(1,(INDIRECT($R$1&amp;"!$C:$C")=B51)*(INDIRECT($R$1&amp;"!$G:$G")&lt;M51)*(INDIRECT($R$1&amp;"!$H:$H")&gt;=M51),INDIRECT($R$1&amp;"!$K:$K"))))*M51+(_xlfn.SINGLE(_xlfn.XLOOKUP(1,(INDIRECT($R$1&amp;"!$C:$C")=B51)*(INDIRECT($R$1&amp;"!$G:$G")&lt;M51)*(INDIRECT($R$1&amp;"!$H:$H")&gt;=M51),INDIRECT($R$1&amp;"!$L:$L"))))</f>
        <v>44.9</v>
      </c>
      <c r="Q51" s="971" cm="1">
        <f ca="1" t="array" ref="Q51">(_xlfn.SINGLE(_xlfn.XLOOKUP(1,(INDIRECT($R$1&amp;"!$C:$C")=B51)*(INDIRECT($R$1&amp;"!$G:$G")&lt;N51)*(INDIRECT($R$1&amp;"!$H:$H")&gt;=N51),INDIRECT($R$1&amp;"!$K:$K"))))*N51+(_xlfn.SINGLE(_xlfn.XLOOKUP(1,(INDIRECT($R$1&amp;"!$C:$C")=B51)*(INDIRECT($R$1&amp;"!$G:$G")&lt;N51)*(INDIRECT($R$1&amp;"!$H:$H")&gt;=N51),INDIRECT($R$1&amp;"!$L:$L"))))</f>
        <v>60.85</v>
      </c>
      <c r="R51" s="955"/>
    </row>
    <row r="52" ht="17.25" spans="1:18">
      <c r="A52" s="966" t="s">
        <v>120</v>
      </c>
      <c r="B52" s="963" t="s">
        <v>121</v>
      </c>
      <c r="C52" s="964">
        <f ca="1" t="shared" si="3"/>
        <v>4.4231690140845</v>
      </c>
      <c r="D52" s="964">
        <f ca="1" t="shared" si="0"/>
        <v>7.94211267605634</v>
      </c>
      <c r="E52" s="964">
        <f ca="1" t="shared" si="1"/>
        <v>11.4610563380282</v>
      </c>
      <c r="F52" s="965">
        <f ca="1" t="shared" ref="F52:H52" si="51">O52/$P$1</f>
        <v>2.16197183098592</v>
      </c>
      <c r="G52" s="965">
        <f ca="1" t="shared" si="51"/>
        <v>3.47887323943662</v>
      </c>
      <c r="H52" s="965">
        <f ca="1" t="shared" si="51"/>
        <v>4.79577464788732</v>
      </c>
      <c r="I52" s="965">
        <f>(VLOOKUP($B$1,'Product Procurement Sheet'!B:I,8,0)*$L$1)/$P$1</f>
        <v>1.97183098591549</v>
      </c>
      <c r="J52" s="965">
        <f>(VLOOKUP($B$1,'Product Procurement Sheet'!B:I,8,0)*$M$1)/$P$1</f>
        <v>3.94366197183099</v>
      </c>
      <c r="K52" s="965">
        <f>(VLOOKUP($B$1,'Product Procurement Sheet'!B:I,8,0)*$N$1)/$P$1</f>
        <v>5.91549295774648</v>
      </c>
      <c r="L52" s="968">
        <f>VLOOKUP($B$1,'Product Procurement Sheet'!B:D,3,FALSE)*$L$1</f>
        <v>0.11</v>
      </c>
      <c r="M52" s="968">
        <f>VLOOKUP($B$1,'Product Procurement Sheet'!B:D,3,FALSE)*$M$1</f>
        <v>0.22</v>
      </c>
      <c r="N52" s="968">
        <f>VLOOKUP($B$1,'Product Procurement Sheet'!B:D,3,FALSE)*$N$1</f>
        <v>0.33</v>
      </c>
      <c r="O52" s="971" cm="1">
        <f ca="1" t="array" ref="O52">(_xlfn.SINGLE(_xlfn.XLOOKUP(1,(INDIRECT($R$1&amp;"!$C:$C")=B52)*(INDIRECT($R$1&amp;"!$G:$G")&lt;L52)*(INDIRECT($R$1&amp;"!$H:$H")&gt;=L52),INDIRECT($R$1&amp;"!$K:$K"))))*L52+(_xlfn.SINGLE(_xlfn.XLOOKUP(1,(INDIRECT($R$1&amp;"!$C:$C")=B52)*(INDIRECT($R$1&amp;"!$G:$G")&lt;L52)*(INDIRECT($R$1&amp;"!$H:$H")&gt;=L52),INDIRECT($R$1&amp;"!$L:$L"))))</f>
        <v>15.35</v>
      </c>
      <c r="P52" s="971" cm="1">
        <f ca="1" t="array" ref="P52">(_xlfn.SINGLE(_xlfn.XLOOKUP(1,(INDIRECT($R$1&amp;"!$C:$C")=B52)*(INDIRECT($R$1&amp;"!$G:$G")&lt;M52)*(INDIRECT($R$1&amp;"!$H:$H")&gt;=M52),INDIRECT($R$1&amp;"!$K:$K"))))*M52+(_xlfn.SINGLE(_xlfn.XLOOKUP(1,(INDIRECT($R$1&amp;"!$C:$C")=B52)*(INDIRECT($R$1&amp;"!$G:$G")&lt;M52)*(INDIRECT($R$1&amp;"!$H:$H")&gt;=M52),INDIRECT($R$1&amp;"!$L:$L"))))</f>
        <v>24.7</v>
      </c>
      <c r="Q52" s="971" cm="1">
        <f ca="1" t="array" ref="Q52">(_xlfn.SINGLE(_xlfn.XLOOKUP(1,(INDIRECT($R$1&amp;"!$C:$C")=B52)*(INDIRECT($R$1&amp;"!$G:$G")&lt;N52)*(INDIRECT($R$1&amp;"!$H:$H")&gt;=N52),INDIRECT($R$1&amp;"!$K:$K"))))*N52+(_xlfn.SINGLE(_xlfn.XLOOKUP(1,(INDIRECT($R$1&amp;"!$C:$C")=B52)*(INDIRECT($R$1&amp;"!$G:$G")&lt;N52)*(INDIRECT($R$1&amp;"!$H:$H")&gt;=N52),INDIRECT($R$1&amp;"!$L:$L"))))</f>
        <v>34.05</v>
      </c>
      <c r="R52" s="955"/>
    </row>
    <row r="53" ht="17.25" spans="1:18">
      <c r="A53" s="966" t="s">
        <v>122</v>
      </c>
      <c r="B53" s="963" t="s">
        <v>123</v>
      </c>
      <c r="C53" s="964">
        <f ca="1" t="shared" si="3"/>
        <v>5.38767605633803</v>
      </c>
      <c r="D53" s="964">
        <f ca="1" t="shared" si="0"/>
        <v>9.56971830985916</v>
      </c>
      <c r="E53" s="964">
        <f ca="1" t="shared" si="1"/>
        <v>13.7517605633803</v>
      </c>
      <c r="F53" s="965">
        <f ca="1" t="shared" ref="F53:H53" si="52">O53/$P$1</f>
        <v>3.06338028169014</v>
      </c>
      <c r="G53" s="965">
        <f ca="1" t="shared" si="52"/>
        <v>5</v>
      </c>
      <c r="H53" s="965">
        <f ca="1" t="shared" si="52"/>
        <v>6.93661971830986</v>
      </c>
      <c r="I53" s="965">
        <f>(VLOOKUP($B$1,'Product Procurement Sheet'!B:I,8,0)*$L$1)/$P$1</f>
        <v>1.97183098591549</v>
      </c>
      <c r="J53" s="965">
        <f>(VLOOKUP($B$1,'Product Procurement Sheet'!B:I,8,0)*$M$1)/$P$1</f>
        <v>3.94366197183099</v>
      </c>
      <c r="K53" s="965">
        <f>(VLOOKUP($B$1,'Product Procurement Sheet'!B:I,8,0)*$N$1)/$P$1</f>
        <v>5.91549295774648</v>
      </c>
      <c r="L53" s="968">
        <f>VLOOKUP($B$1,'Product Procurement Sheet'!B:D,3,FALSE)*$L$1</f>
        <v>0.11</v>
      </c>
      <c r="M53" s="968">
        <f>VLOOKUP($B$1,'Product Procurement Sheet'!B:D,3,FALSE)*$M$1</f>
        <v>0.22</v>
      </c>
      <c r="N53" s="968">
        <f>VLOOKUP($B$1,'Product Procurement Sheet'!B:D,3,FALSE)*$N$1</f>
        <v>0.33</v>
      </c>
      <c r="O53" s="971" cm="1">
        <f ca="1" t="array" ref="O53">(_xlfn.SINGLE(_xlfn.XLOOKUP(1,(INDIRECT($R$1&amp;"!$C:$C")=B53)*(INDIRECT($R$1&amp;"!$G:$G")&lt;L53)*(INDIRECT($R$1&amp;"!$H:$H")&gt;=L53),INDIRECT($R$1&amp;"!$K:$K"))))*L53+(_xlfn.SINGLE(_xlfn.XLOOKUP(1,(INDIRECT($R$1&amp;"!$C:$C")=B53)*(INDIRECT($R$1&amp;"!$G:$G")&lt;L53)*(INDIRECT($R$1&amp;"!$H:$H")&gt;=L53),INDIRECT($R$1&amp;"!$L:$L"))))</f>
        <v>21.75</v>
      </c>
      <c r="P53" s="971" cm="1">
        <f ca="1" t="array" ref="P53">(_xlfn.SINGLE(_xlfn.XLOOKUP(1,(INDIRECT($R$1&amp;"!$C:$C")=B53)*(INDIRECT($R$1&amp;"!$G:$G")&lt;M53)*(INDIRECT($R$1&amp;"!$H:$H")&gt;=M53),INDIRECT($R$1&amp;"!$K:$K"))))*M53+(_xlfn.SINGLE(_xlfn.XLOOKUP(1,(INDIRECT($R$1&amp;"!$C:$C")=B53)*(INDIRECT($R$1&amp;"!$G:$G")&lt;M53)*(INDIRECT($R$1&amp;"!$H:$H")&gt;=M53),INDIRECT($R$1&amp;"!$L:$L"))))</f>
        <v>35.5</v>
      </c>
      <c r="Q53" s="971" cm="1">
        <f ca="1" t="array" ref="Q53">(_xlfn.SINGLE(_xlfn.XLOOKUP(1,(INDIRECT($R$1&amp;"!$C:$C")=B53)*(INDIRECT($R$1&amp;"!$G:$G")&lt;N53)*(INDIRECT($R$1&amp;"!$H:$H")&gt;=N53),INDIRECT($R$1&amp;"!$K:$K"))))*N53+(_xlfn.SINGLE(_xlfn.XLOOKUP(1,(INDIRECT($R$1&amp;"!$C:$C")=B53)*(INDIRECT($R$1&amp;"!$G:$G")&lt;N53)*(INDIRECT($R$1&amp;"!$H:$H")&gt;=N53),INDIRECT($R$1&amp;"!$L:$L"))))</f>
        <v>49.25</v>
      </c>
      <c r="R53" s="955"/>
    </row>
    <row r="54" ht="17.25" spans="1:18">
      <c r="A54" s="966" t="s">
        <v>124</v>
      </c>
      <c r="B54" s="963" t="s">
        <v>125</v>
      </c>
      <c r="C54" s="964">
        <f ca="1" t="shared" si="3"/>
        <v>5.46302816901408</v>
      </c>
      <c r="D54" s="964">
        <f ca="1" t="shared" si="0"/>
        <v>8.8161971830986</v>
      </c>
      <c r="E54" s="964">
        <f ca="1" t="shared" si="1"/>
        <v>12.1693661971831</v>
      </c>
      <c r="F54" s="965">
        <f ca="1" t="shared" ref="F54:H54" si="53">O54/$P$1</f>
        <v>3.13380281690141</v>
      </c>
      <c r="G54" s="965">
        <f ca="1" t="shared" si="53"/>
        <v>4.29577464788732</v>
      </c>
      <c r="H54" s="965">
        <f ca="1" t="shared" si="53"/>
        <v>5.45774647887324</v>
      </c>
      <c r="I54" s="965">
        <f>(VLOOKUP($B$1,'Product Procurement Sheet'!B:I,8,0)*$L$1)/$P$1</f>
        <v>1.97183098591549</v>
      </c>
      <c r="J54" s="965">
        <f>(VLOOKUP($B$1,'Product Procurement Sheet'!B:I,8,0)*$M$1)/$P$1</f>
        <v>3.94366197183099</v>
      </c>
      <c r="K54" s="965">
        <f>(VLOOKUP($B$1,'Product Procurement Sheet'!B:I,8,0)*$N$1)/$P$1</f>
        <v>5.91549295774648</v>
      </c>
      <c r="L54" s="968">
        <f>VLOOKUP($B$1,'Product Procurement Sheet'!B:D,3,FALSE)*$L$1</f>
        <v>0.11</v>
      </c>
      <c r="M54" s="968">
        <f>VLOOKUP($B$1,'Product Procurement Sheet'!B:D,3,FALSE)*$M$1</f>
        <v>0.22</v>
      </c>
      <c r="N54" s="968">
        <f>VLOOKUP($B$1,'Product Procurement Sheet'!B:D,3,FALSE)*$N$1</f>
        <v>0.33</v>
      </c>
      <c r="O54" s="971" cm="1">
        <f ca="1" t="array" ref="O54">(_xlfn.SINGLE(_xlfn.XLOOKUP(1,(INDIRECT($R$1&amp;"!$C:$C")=B54)*(INDIRECT($R$1&amp;"!$G:$G")&lt;L54)*(INDIRECT($R$1&amp;"!$H:$H")&gt;=L54),INDIRECT($R$1&amp;"!$K:$K"))))*L54+(_xlfn.SINGLE(_xlfn.XLOOKUP(1,(INDIRECT($R$1&amp;"!$C:$C")=B54)*(INDIRECT($R$1&amp;"!$G:$G")&lt;L54)*(INDIRECT($R$1&amp;"!$H:$H")&gt;=L54),INDIRECT($R$1&amp;"!$L:$L"))))</f>
        <v>22.25</v>
      </c>
      <c r="P54" s="971" cm="1">
        <f ca="1" t="array" ref="P54">(_xlfn.SINGLE(_xlfn.XLOOKUP(1,(INDIRECT($R$1&amp;"!$C:$C")=B54)*(INDIRECT($R$1&amp;"!$G:$G")&lt;M54)*(INDIRECT($R$1&amp;"!$H:$H")&gt;=M54),INDIRECT($R$1&amp;"!$K:$K"))))*M54+(_xlfn.SINGLE(_xlfn.XLOOKUP(1,(INDIRECT($R$1&amp;"!$C:$C")=B54)*(INDIRECT($R$1&amp;"!$G:$G")&lt;M54)*(INDIRECT($R$1&amp;"!$H:$H")&gt;=M54),INDIRECT($R$1&amp;"!$L:$L"))))</f>
        <v>30.5</v>
      </c>
      <c r="Q54" s="971" cm="1">
        <f ca="1" t="array" ref="Q54">(_xlfn.SINGLE(_xlfn.XLOOKUP(1,(INDIRECT($R$1&amp;"!$C:$C")=B54)*(INDIRECT($R$1&amp;"!$G:$G")&lt;N54)*(INDIRECT($R$1&amp;"!$H:$H")&gt;=N54),INDIRECT($R$1&amp;"!$K:$K"))))*N54+(_xlfn.SINGLE(_xlfn.XLOOKUP(1,(INDIRECT($R$1&amp;"!$C:$C")=B54)*(INDIRECT($R$1&amp;"!$G:$G")&lt;N54)*(INDIRECT($R$1&amp;"!$H:$H")&gt;=N54),INDIRECT($R$1&amp;"!$L:$L"))))</f>
        <v>38.75</v>
      </c>
      <c r="R54" s="955"/>
    </row>
    <row r="55" ht="17.25" spans="1:18">
      <c r="A55" s="966" t="s">
        <v>126</v>
      </c>
      <c r="B55" s="963" t="s">
        <v>127</v>
      </c>
      <c r="C55" s="964">
        <f ca="1" t="shared" si="3"/>
        <v>8.85387323943662</v>
      </c>
      <c r="D55" s="964">
        <f ca="1" t="shared" si="0"/>
        <v>14.693661971831</v>
      </c>
      <c r="E55" s="964">
        <f ca="1" t="shared" si="1"/>
        <v>20.5334507042254</v>
      </c>
      <c r="F55" s="965">
        <f ca="1" t="shared" ref="F55:H55" si="54">O55/$P$1</f>
        <v>6.30281690140845</v>
      </c>
      <c r="G55" s="965">
        <f ca="1" t="shared" si="54"/>
        <v>9.7887323943662</v>
      </c>
      <c r="H55" s="965">
        <f ca="1" t="shared" si="54"/>
        <v>13.2746478873239</v>
      </c>
      <c r="I55" s="965">
        <f>(VLOOKUP($B$1,'Product Procurement Sheet'!B:I,8,0)*$L$1)/$P$1</f>
        <v>1.97183098591549</v>
      </c>
      <c r="J55" s="965">
        <f>(VLOOKUP($B$1,'Product Procurement Sheet'!B:I,8,0)*$M$1)/$P$1</f>
        <v>3.94366197183099</v>
      </c>
      <c r="K55" s="965">
        <f>(VLOOKUP($B$1,'Product Procurement Sheet'!B:I,8,0)*$N$1)/$P$1</f>
        <v>5.91549295774648</v>
      </c>
      <c r="L55" s="968">
        <f>VLOOKUP($B$1,'Product Procurement Sheet'!B:D,3,FALSE)*$L$1</f>
        <v>0.11</v>
      </c>
      <c r="M55" s="968">
        <f>VLOOKUP($B$1,'Product Procurement Sheet'!B:D,3,FALSE)*$M$1</f>
        <v>0.22</v>
      </c>
      <c r="N55" s="968">
        <f>VLOOKUP($B$1,'Product Procurement Sheet'!B:D,3,FALSE)*$N$1</f>
        <v>0.33</v>
      </c>
      <c r="O55" s="971" cm="1">
        <f ca="1" t="array" ref="O55">(_xlfn.SINGLE(_xlfn.XLOOKUP(1,(INDIRECT($R$1&amp;"!$C:$C")=B55)*(INDIRECT($R$1&amp;"!$G:$G")&lt;L55)*(INDIRECT($R$1&amp;"!$H:$H")&gt;=L55),INDIRECT($R$1&amp;"!$K:$K"))))*L55+(_xlfn.SINGLE(_xlfn.XLOOKUP(1,(INDIRECT($R$1&amp;"!$C:$C")=B55)*(INDIRECT($R$1&amp;"!$G:$G")&lt;L55)*(INDIRECT($R$1&amp;"!$H:$H")&gt;=L55),INDIRECT($R$1&amp;"!$L:$L"))))</f>
        <v>44.75</v>
      </c>
      <c r="P55" s="971" cm="1">
        <f ca="1" t="array" ref="P55">(_xlfn.SINGLE(_xlfn.XLOOKUP(1,(INDIRECT($R$1&amp;"!$C:$C")=B55)*(INDIRECT($R$1&amp;"!$G:$G")&lt;M55)*(INDIRECT($R$1&amp;"!$H:$H")&gt;=M55),INDIRECT($R$1&amp;"!$K:$K"))))*M55+(_xlfn.SINGLE(_xlfn.XLOOKUP(1,(INDIRECT($R$1&amp;"!$C:$C")=B55)*(INDIRECT($R$1&amp;"!$G:$G")&lt;M55)*(INDIRECT($R$1&amp;"!$H:$H")&gt;=M55),INDIRECT($R$1&amp;"!$L:$L"))))</f>
        <v>69.5</v>
      </c>
      <c r="Q55" s="971" cm="1">
        <f ca="1" t="array" ref="Q55">(_xlfn.SINGLE(_xlfn.XLOOKUP(1,(INDIRECT($R$1&amp;"!$C:$C")=B55)*(INDIRECT($R$1&amp;"!$G:$G")&lt;N55)*(INDIRECT($R$1&amp;"!$H:$H")&gt;=N55),INDIRECT($R$1&amp;"!$K:$K"))))*N55+(_xlfn.SINGLE(_xlfn.XLOOKUP(1,(INDIRECT($R$1&amp;"!$C:$C")=B55)*(INDIRECT($R$1&amp;"!$G:$G")&lt;N55)*(INDIRECT($R$1&amp;"!$H:$H")&gt;=N55),INDIRECT($R$1&amp;"!$L:$L"))))</f>
        <v>94.25</v>
      </c>
      <c r="R55" s="955"/>
    </row>
    <row r="56" ht="17.25" spans="1:18">
      <c r="A56" s="966" t="s">
        <v>128</v>
      </c>
      <c r="B56" s="963" t="s">
        <v>129</v>
      </c>
      <c r="C56" s="964">
        <f ca="1" t="shared" si="3"/>
        <v>5.19176056338028</v>
      </c>
      <c r="D56" s="964">
        <f ca="1" t="shared" si="0"/>
        <v>8.87647887323944</v>
      </c>
      <c r="E56" s="964">
        <f ca="1" t="shared" si="1"/>
        <v>12.5611971830986</v>
      </c>
      <c r="F56" s="965">
        <f ca="1" t="shared" ref="F56:H56" si="55">O56/$P$1</f>
        <v>2.88028169014084</v>
      </c>
      <c r="G56" s="965">
        <f ca="1" t="shared" si="55"/>
        <v>4.35211267605634</v>
      </c>
      <c r="H56" s="965">
        <f ca="1" t="shared" si="55"/>
        <v>5.82394366197183</v>
      </c>
      <c r="I56" s="965">
        <f>(VLOOKUP($B$1,'Product Procurement Sheet'!B:I,8,0)*$L$1)/$P$1</f>
        <v>1.97183098591549</v>
      </c>
      <c r="J56" s="965">
        <f>(VLOOKUP($B$1,'Product Procurement Sheet'!B:I,8,0)*$M$1)/$P$1</f>
        <v>3.94366197183099</v>
      </c>
      <c r="K56" s="965">
        <f>(VLOOKUP($B$1,'Product Procurement Sheet'!B:I,8,0)*$N$1)/$P$1</f>
        <v>5.91549295774648</v>
      </c>
      <c r="L56" s="968">
        <f>VLOOKUP($B$1,'Product Procurement Sheet'!B:D,3,FALSE)*$L$1</f>
        <v>0.11</v>
      </c>
      <c r="M56" s="968">
        <f>VLOOKUP($B$1,'Product Procurement Sheet'!B:D,3,FALSE)*$M$1</f>
        <v>0.22</v>
      </c>
      <c r="N56" s="968">
        <f>VLOOKUP($B$1,'Product Procurement Sheet'!B:D,3,FALSE)*$N$1</f>
        <v>0.33</v>
      </c>
      <c r="O56" s="971" cm="1">
        <f ca="1" t="array" ref="O56">(_xlfn.SINGLE(_xlfn.XLOOKUP(1,(INDIRECT($R$1&amp;"!$C:$C")=B56)*(INDIRECT($R$1&amp;"!$G:$G")&lt;L56)*(INDIRECT($R$1&amp;"!$H:$H")&gt;=L56),INDIRECT($R$1&amp;"!$K:$K"))))*L56+(_xlfn.SINGLE(_xlfn.XLOOKUP(1,(INDIRECT($R$1&amp;"!$C:$C")=B56)*(INDIRECT($R$1&amp;"!$G:$G")&lt;L56)*(INDIRECT($R$1&amp;"!$H:$H")&gt;=L56),INDIRECT($R$1&amp;"!$L:$L"))))</f>
        <v>20.45</v>
      </c>
      <c r="P56" s="971" cm="1">
        <f ca="1" t="array" ref="P56">(_xlfn.SINGLE(_xlfn.XLOOKUP(1,(INDIRECT($R$1&amp;"!$C:$C")=B56)*(INDIRECT($R$1&amp;"!$G:$G")&lt;M56)*(INDIRECT($R$1&amp;"!$H:$H")&gt;=M56),INDIRECT($R$1&amp;"!$K:$K"))))*M56+(_xlfn.SINGLE(_xlfn.XLOOKUP(1,(INDIRECT($R$1&amp;"!$C:$C")=B56)*(INDIRECT($R$1&amp;"!$G:$G")&lt;M56)*(INDIRECT($R$1&amp;"!$H:$H")&gt;=M56),INDIRECT($R$1&amp;"!$L:$L"))))</f>
        <v>30.9</v>
      </c>
      <c r="Q56" s="971" cm="1">
        <f ca="1" t="array" ref="Q56">(_xlfn.SINGLE(_xlfn.XLOOKUP(1,(INDIRECT($R$1&amp;"!$C:$C")=B56)*(INDIRECT($R$1&amp;"!$G:$G")&lt;N56)*(INDIRECT($R$1&amp;"!$H:$H")&gt;=N56),INDIRECT($R$1&amp;"!$K:$K"))))*N56+(_xlfn.SINGLE(_xlfn.XLOOKUP(1,(INDIRECT($R$1&amp;"!$C:$C")=B56)*(INDIRECT($R$1&amp;"!$G:$G")&lt;N56)*(INDIRECT($R$1&amp;"!$H:$H")&gt;=N56),INDIRECT($R$1&amp;"!$L:$L"))))</f>
        <v>41.35</v>
      </c>
      <c r="R56" s="955"/>
    </row>
    <row r="57" ht="17.25" spans="1:18">
      <c r="A57" s="966" t="s">
        <v>130</v>
      </c>
      <c r="B57" s="963" t="s">
        <v>131</v>
      </c>
      <c r="C57" s="964">
        <f ca="1" t="shared" si="3"/>
        <v>8.61274647887324</v>
      </c>
      <c r="D57" s="964">
        <f ca="1" t="shared" si="0"/>
        <v>15.1156338028169</v>
      </c>
      <c r="E57" s="964">
        <f ca="1" t="shared" si="1"/>
        <v>21.6185211267606</v>
      </c>
      <c r="F57" s="965">
        <f ca="1" t="shared" ref="F57:H57" si="56">O57/$P$1</f>
        <v>6.07746478873239</v>
      </c>
      <c r="G57" s="965">
        <f ca="1" t="shared" si="56"/>
        <v>10.1830985915493</v>
      </c>
      <c r="H57" s="965">
        <f ca="1" t="shared" si="56"/>
        <v>14.2887323943662</v>
      </c>
      <c r="I57" s="965">
        <f>(VLOOKUP($B$1,'Product Procurement Sheet'!B:I,8,0)*$L$1)/$P$1</f>
        <v>1.97183098591549</v>
      </c>
      <c r="J57" s="965">
        <f>(VLOOKUP($B$1,'Product Procurement Sheet'!B:I,8,0)*$M$1)/$P$1</f>
        <v>3.94366197183099</v>
      </c>
      <c r="K57" s="965">
        <f>(VLOOKUP($B$1,'Product Procurement Sheet'!B:I,8,0)*$N$1)/$P$1</f>
        <v>5.91549295774648</v>
      </c>
      <c r="L57" s="968">
        <f>VLOOKUP($B$1,'Product Procurement Sheet'!B:D,3,FALSE)*$L$1</f>
        <v>0.11</v>
      </c>
      <c r="M57" s="968">
        <f>VLOOKUP($B$1,'Product Procurement Sheet'!B:D,3,FALSE)*$M$1</f>
        <v>0.22</v>
      </c>
      <c r="N57" s="968">
        <f>VLOOKUP($B$1,'Product Procurement Sheet'!B:D,3,FALSE)*$N$1</f>
        <v>0.33</v>
      </c>
      <c r="O57" s="971" cm="1">
        <f ca="1" t="array" ref="O57">(_xlfn.SINGLE(_xlfn.XLOOKUP(1,(INDIRECT($R$1&amp;"!$C:$C")=B57)*(INDIRECT($R$1&amp;"!$G:$G")&lt;L57)*(INDIRECT($R$1&amp;"!$H:$H")&gt;=L57),INDIRECT($R$1&amp;"!$K:$K"))))*L57+(_xlfn.SINGLE(_xlfn.XLOOKUP(1,(INDIRECT($R$1&amp;"!$C:$C")=B57)*(INDIRECT($R$1&amp;"!$G:$G")&lt;L57)*(INDIRECT($R$1&amp;"!$H:$H")&gt;=L57),INDIRECT($R$1&amp;"!$L:$L"))))</f>
        <v>43.15</v>
      </c>
      <c r="P57" s="971" cm="1">
        <f ca="1" t="array" ref="P57">(_xlfn.SINGLE(_xlfn.XLOOKUP(1,(INDIRECT($R$1&amp;"!$C:$C")=B57)*(INDIRECT($R$1&amp;"!$G:$G")&lt;M57)*(INDIRECT($R$1&amp;"!$H:$H")&gt;=M57),INDIRECT($R$1&amp;"!$K:$K"))))*M57+(_xlfn.SINGLE(_xlfn.XLOOKUP(1,(INDIRECT($R$1&amp;"!$C:$C")=B57)*(INDIRECT($R$1&amp;"!$G:$G")&lt;M57)*(INDIRECT($R$1&amp;"!$H:$H")&gt;=M57),INDIRECT($R$1&amp;"!$L:$L"))))</f>
        <v>72.3</v>
      </c>
      <c r="Q57" s="971" cm="1">
        <f ca="1" t="array" ref="Q57">(_xlfn.SINGLE(_xlfn.XLOOKUP(1,(INDIRECT($R$1&amp;"!$C:$C")=B57)*(INDIRECT($R$1&amp;"!$G:$G")&lt;N57)*(INDIRECT($R$1&amp;"!$H:$H")&gt;=N57),INDIRECT($R$1&amp;"!$K:$K"))))*N57+(_xlfn.SINGLE(_xlfn.XLOOKUP(1,(INDIRECT($R$1&amp;"!$C:$C")=B57)*(INDIRECT($R$1&amp;"!$G:$G")&lt;N57)*(INDIRECT($R$1&amp;"!$H:$H")&gt;=N57),INDIRECT($R$1&amp;"!$L:$L"))))</f>
        <v>101.45</v>
      </c>
      <c r="R57" s="955"/>
    </row>
    <row r="58" ht="17.25" spans="1:18">
      <c r="A58" s="966" t="s">
        <v>132</v>
      </c>
      <c r="B58" s="963" t="s">
        <v>133</v>
      </c>
      <c r="C58" s="964">
        <f ca="1" t="shared" si="3"/>
        <v>4.22725352112676</v>
      </c>
      <c r="D58" s="964">
        <f ca="1" t="shared" si="0"/>
        <v>7.24887323943662</v>
      </c>
      <c r="E58" s="964">
        <f ca="1" t="shared" si="1"/>
        <v>10.2704929577465</v>
      </c>
      <c r="F58" s="965">
        <f ca="1" t="shared" ref="F58:H58" si="57">O58/$P$1</f>
        <v>1.97887323943662</v>
      </c>
      <c r="G58" s="965">
        <f ca="1" t="shared" si="57"/>
        <v>2.83098591549296</v>
      </c>
      <c r="H58" s="965">
        <f ca="1" t="shared" si="57"/>
        <v>3.6830985915493</v>
      </c>
      <c r="I58" s="965">
        <f>(VLOOKUP($B$1,'Product Procurement Sheet'!B:I,8,0)*$L$1)/$P$1</f>
        <v>1.97183098591549</v>
      </c>
      <c r="J58" s="965">
        <f>(VLOOKUP($B$1,'Product Procurement Sheet'!B:I,8,0)*$M$1)/$P$1</f>
        <v>3.94366197183099</v>
      </c>
      <c r="K58" s="965">
        <f>(VLOOKUP($B$1,'Product Procurement Sheet'!B:I,8,0)*$N$1)/$P$1</f>
        <v>5.91549295774648</v>
      </c>
      <c r="L58" s="968">
        <f>VLOOKUP($B$1,'Product Procurement Sheet'!B:D,3,FALSE)*$L$1</f>
        <v>0.11</v>
      </c>
      <c r="M58" s="968">
        <f>VLOOKUP($B$1,'Product Procurement Sheet'!B:D,3,FALSE)*$M$1</f>
        <v>0.22</v>
      </c>
      <c r="N58" s="968">
        <f>VLOOKUP($B$1,'Product Procurement Sheet'!B:D,3,FALSE)*$N$1</f>
        <v>0.33</v>
      </c>
      <c r="O58" s="971" cm="1">
        <f ca="1" t="array" ref="O58">(_xlfn.SINGLE(_xlfn.XLOOKUP(1,(INDIRECT($R$1&amp;"!$C:$C")=B58)*(INDIRECT($R$1&amp;"!$G:$G")&lt;L58)*(INDIRECT($R$1&amp;"!$H:$H")&gt;=L58),INDIRECT($R$1&amp;"!$K:$K"))))*L58+(_xlfn.SINGLE(_xlfn.XLOOKUP(1,(INDIRECT($R$1&amp;"!$C:$C")=B58)*(INDIRECT($R$1&amp;"!$G:$G")&lt;L58)*(INDIRECT($R$1&amp;"!$H:$H")&gt;=L58),INDIRECT($R$1&amp;"!$L:$L"))))</f>
        <v>14.05</v>
      </c>
      <c r="P58" s="971" cm="1">
        <f ca="1" t="array" ref="P58">(_xlfn.SINGLE(_xlfn.XLOOKUP(1,(INDIRECT($R$1&amp;"!$C:$C")=B58)*(INDIRECT($R$1&amp;"!$G:$G")&lt;M58)*(INDIRECT($R$1&amp;"!$H:$H")&gt;=M58),INDIRECT($R$1&amp;"!$K:$K"))))*M58+(_xlfn.SINGLE(_xlfn.XLOOKUP(1,(INDIRECT($R$1&amp;"!$C:$C")=B58)*(INDIRECT($R$1&amp;"!$G:$G")&lt;M58)*(INDIRECT($R$1&amp;"!$H:$H")&gt;=M58),INDIRECT($R$1&amp;"!$L:$L"))))</f>
        <v>20.1</v>
      </c>
      <c r="Q58" s="971" cm="1">
        <f ca="1" t="array" ref="Q58">(_xlfn.SINGLE(_xlfn.XLOOKUP(1,(INDIRECT($R$1&amp;"!$C:$C")=B58)*(INDIRECT($R$1&amp;"!$G:$G")&lt;N58)*(INDIRECT($R$1&amp;"!$H:$H")&gt;=N58),INDIRECT($R$1&amp;"!$K:$K"))))*N58+(_xlfn.SINGLE(_xlfn.XLOOKUP(1,(INDIRECT($R$1&amp;"!$C:$C")=B58)*(INDIRECT($R$1&amp;"!$G:$G")&lt;N58)*(INDIRECT($R$1&amp;"!$H:$H")&gt;=N58),INDIRECT($R$1&amp;"!$L:$L"))))</f>
        <v>26.15</v>
      </c>
      <c r="R58" s="955"/>
    </row>
    <row r="59" ht="17.25" spans="1:18">
      <c r="A59" s="966" t="s">
        <v>134</v>
      </c>
      <c r="B59" s="963" t="s">
        <v>135</v>
      </c>
      <c r="C59" s="964">
        <f ca="1" t="shared" si="3"/>
        <v>4.19711267605634</v>
      </c>
      <c r="D59" s="964">
        <f ca="1" t="shared" si="0"/>
        <v>6.88718309859155</v>
      </c>
      <c r="E59" s="964">
        <f ca="1" t="shared" si="1"/>
        <v>9.57725352112676</v>
      </c>
      <c r="F59" s="965">
        <f ca="1" t="shared" ref="F59:H59" si="58">O59/$P$1</f>
        <v>1.95070422535211</v>
      </c>
      <c r="G59" s="965">
        <f ca="1" t="shared" si="58"/>
        <v>2.49295774647887</v>
      </c>
      <c r="H59" s="965">
        <f ca="1" t="shared" si="58"/>
        <v>3.03521126760563</v>
      </c>
      <c r="I59" s="965">
        <f>(VLOOKUP($B$1,'Product Procurement Sheet'!B:I,8,0)*$L$1)/$P$1</f>
        <v>1.97183098591549</v>
      </c>
      <c r="J59" s="965">
        <f>(VLOOKUP($B$1,'Product Procurement Sheet'!B:I,8,0)*$M$1)/$P$1</f>
        <v>3.94366197183099</v>
      </c>
      <c r="K59" s="965">
        <f>(VLOOKUP($B$1,'Product Procurement Sheet'!B:I,8,0)*$N$1)/$P$1</f>
        <v>5.91549295774648</v>
      </c>
      <c r="L59" s="968">
        <f>VLOOKUP($B$1,'Product Procurement Sheet'!B:D,3,FALSE)*$L$1</f>
        <v>0.11</v>
      </c>
      <c r="M59" s="968">
        <f>VLOOKUP($B$1,'Product Procurement Sheet'!B:D,3,FALSE)*$M$1</f>
        <v>0.22</v>
      </c>
      <c r="N59" s="968">
        <f>VLOOKUP($B$1,'Product Procurement Sheet'!B:D,3,FALSE)*$N$1</f>
        <v>0.33</v>
      </c>
      <c r="O59" s="971" cm="1">
        <f ca="1" t="array" ref="O59">(_xlfn.SINGLE(_xlfn.XLOOKUP(1,(INDIRECT($R$1&amp;"!$C:$C")=B59)*(INDIRECT($R$1&amp;"!$G:$G")&lt;L59)*(INDIRECT($R$1&amp;"!$H:$H")&gt;=L59),INDIRECT($R$1&amp;"!$K:$K"))))*L59+(_xlfn.SINGLE(_xlfn.XLOOKUP(1,(INDIRECT($R$1&amp;"!$C:$C")=B59)*(INDIRECT($R$1&amp;"!$G:$G")&lt;L59)*(INDIRECT($R$1&amp;"!$H:$H")&gt;=L59),INDIRECT($R$1&amp;"!$L:$L"))))</f>
        <v>13.85</v>
      </c>
      <c r="P59" s="971" cm="1">
        <f ca="1" t="array" ref="P59">(_xlfn.SINGLE(_xlfn.XLOOKUP(1,(INDIRECT($R$1&amp;"!$C:$C")=B59)*(INDIRECT($R$1&amp;"!$G:$G")&lt;M59)*(INDIRECT($R$1&amp;"!$H:$H")&gt;=M59),INDIRECT($R$1&amp;"!$K:$K"))))*M59+(_xlfn.SINGLE(_xlfn.XLOOKUP(1,(INDIRECT($R$1&amp;"!$C:$C")=B59)*(INDIRECT($R$1&amp;"!$G:$G")&lt;M59)*(INDIRECT($R$1&amp;"!$H:$H")&gt;=M59),INDIRECT($R$1&amp;"!$L:$L"))))</f>
        <v>17.7</v>
      </c>
      <c r="Q59" s="971" cm="1">
        <f ca="1" t="array" ref="Q59">(_xlfn.SINGLE(_xlfn.XLOOKUP(1,(INDIRECT($R$1&amp;"!$C:$C")=B59)*(INDIRECT($R$1&amp;"!$G:$G")&lt;N59)*(INDIRECT($R$1&amp;"!$H:$H")&gt;=N59),INDIRECT($R$1&amp;"!$K:$K"))))*N59+(_xlfn.SINGLE(_xlfn.XLOOKUP(1,(INDIRECT($R$1&amp;"!$C:$C")=B59)*(INDIRECT($R$1&amp;"!$G:$G")&lt;N59)*(INDIRECT($R$1&amp;"!$H:$H")&gt;=N59),INDIRECT($R$1&amp;"!$L:$L"))))</f>
        <v>21.55</v>
      </c>
      <c r="R59" s="955"/>
    </row>
    <row r="60" ht="17.25" spans="1:18">
      <c r="A60" s="966" t="s">
        <v>136</v>
      </c>
      <c r="B60" s="963" t="s">
        <v>137</v>
      </c>
      <c r="C60" s="964">
        <f ca="1" t="shared" si="3"/>
        <v>5.3575352112676</v>
      </c>
      <c r="D60" s="964">
        <f ca="1" t="shared" si="0"/>
        <v>9.20802816901409</v>
      </c>
      <c r="E60" s="964">
        <f ca="1" t="shared" si="1"/>
        <v>13.0585211267606</v>
      </c>
      <c r="F60" s="965">
        <f ca="1" t="shared" ref="F60:H60" si="59">O60/$P$1</f>
        <v>3.03521126760563</v>
      </c>
      <c r="G60" s="965">
        <f ca="1" t="shared" si="59"/>
        <v>4.66197183098592</v>
      </c>
      <c r="H60" s="965">
        <f ca="1" t="shared" si="59"/>
        <v>6.2887323943662</v>
      </c>
      <c r="I60" s="965">
        <f>(VLOOKUP($B$1,'Product Procurement Sheet'!B:I,8,0)*$L$1)/$P$1</f>
        <v>1.97183098591549</v>
      </c>
      <c r="J60" s="965">
        <f>(VLOOKUP($B$1,'Product Procurement Sheet'!B:I,8,0)*$M$1)/$P$1</f>
        <v>3.94366197183099</v>
      </c>
      <c r="K60" s="965">
        <f>(VLOOKUP($B$1,'Product Procurement Sheet'!B:I,8,0)*$N$1)/$P$1</f>
        <v>5.91549295774648</v>
      </c>
      <c r="L60" s="968">
        <f>VLOOKUP($B$1,'Product Procurement Sheet'!B:D,3,FALSE)*$L$1</f>
        <v>0.11</v>
      </c>
      <c r="M60" s="968">
        <f>VLOOKUP($B$1,'Product Procurement Sheet'!B:D,3,FALSE)*$M$1</f>
        <v>0.22</v>
      </c>
      <c r="N60" s="968">
        <f>VLOOKUP($B$1,'Product Procurement Sheet'!B:D,3,FALSE)*$N$1</f>
        <v>0.33</v>
      </c>
      <c r="O60" s="971" cm="1">
        <f ca="1" t="array" ref="O60">(_xlfn.SINGLE(_xlfn.XLOOKUP(1,(INDIRECT($R$1&amp;"!$C:$C")=B60)*(INDIRECT($R$1&amp;"!$G:$G")&lt;L60)*(INDIRECT($R$1&amp;"!$H:$H")&gt;=L60),INDIRECT($R$1&amp;"!$K:$K"))))*L60+(_xlfn.SINGLE(_xlfn.XLOOKUP(1,(INDIRECT($R$1&amp;"!$C:$C")=B60)*(INDIRECT($R$1&amp;"!$G:$G")&lt;L60)*(INDIRECT($R$1&amp;"!$H:$H")&gt;=L60),INDIRECT($R$1&amp;"!$L:$L"))))</f>
        <v>21.55</v>
      </c>
      <c r="P60" s="971" cm="1">
        <f ca="1" t="array" ref="P60">(_xlfn.SINGLE(_xlfn.XLOOKUP(1,(INDIRECT($R$1&amp;"!$C:$C")=B60)*(INDIRECT($R$1&amp;"!$G:$G")&lt;M60)*(INDIRECT($R$1&amp;"!$H:$H")&gt;=M60),INDIRECT($R$1&amp;"!$K:$K"))))*M60+(_xlfn.SINGLE(_xlfn.XLOOKUP(1,(INDIRECT($R$1&amp;"!$C:$C")=B60)*(INDIRECT($R$1&amp;"!$G:$G")&lt;M60)*(INDIRECT($R$1&amp;"!$H:$H")&gt;=M60),INDIRECT($R$1&amp;"!$L:$L"))))</f>
        <v>33.1</v>
      </c>
      <c r="Q60" s="971" cm="1">
        <f ca="1" t="array" ref="Q60">(_xlfn.SINGLE(_xlfn.XLOOKUP(1,(INDIRECT($R$1&amp;"!$C:$C")=B60)*(INDIRECT($R$1&amp;"!$G:$G")&lt;N60)*(INDIRECT($R$1&amp;"!$H:$H")&gt;=N60),INDIRECT($R$1&amp;"!$K:$K"))))*N60+(_xlfn.SINGLE(_xlfn.XLOOKUP(1,(INDIRECT($R$1&amp;"!$C:$C")=B60)*(INDIRECT($R$1&amp;"!$G:$G")&lt;N60)*(INDIRECT($R$1&amp;"!$H:$H")&gt;=N60),INDIRECT($R$1&amp;"!$L:$L"))))</f>
        <v>44.65</v>
      </c>
      <c r="R60" s="955"/>
    </row>
    <row r="61" ht="17.25" spans="1:18">
      <c r="A61" s="966" t="s">
        <v>138</v>
      </c>
      <c r="B61" s="963" t="s">
        <v>139</v>
      </c>
      <c r="C61" s="964">
        <f ca="1" t="shared" si="3"/>
        <v>8.64288732394366</v>
      </c>
      <c r="D61" s="964">
        <f ca="1" t="shared" si="0"/>
        <v>13.8195774647887</v>
      </c>
      <c r="E61" s="964">
        <f ca="1" t="shared" si="1"/>
        <v>18.9962676056338</v>
      </c>
      <c r="F61" s="965">
        <f ca="1" t="shared" ref="F61:H61" si="60">O61/$P$1</f>
        <v>6.1056338028169</v>
      </c>
      <c r="G61" s="965">
        <f ca="1" t="shared" si="60"/>
        <v>8.97183098591549</v>
      </c>
      <c r="H61" s="965">
        <f ca="1" t="shared" si="60"/>
        <v>11.8380281690141</v>
      </c>
      <c r="I61" s="965">
        <f>(VLOOKUP($B$1,'Product Procurement Sheet'!B:I,8,0)*$L$1)/$P$1</f>
        <v>1.97183098591549</v>
      </c>
      <c r="J61" s="965">
        <f>(VLOOKUP($B$1,'Product Procurement Sheet'!B:I,8,0)*$M$1)/$P$1</f>
        <v>3.94366197183099</v>
      </c>
      <c r="K61" s="965">
        <f>(VLOOKUP($B$1,'Product Procurement Sheet'!B:I,8,0)*$N$1)/$P$1</f>
        <v>5.91549295774648</v>
      </c>
      <c r="L61" s="968">
        <f>VLOOKUP($B$1,'Product Procurement Sheet'!B:D,3,FALSE)*$L$1</f>
        <v>0.11</v>
      </c>
      <c r="M61" s="968">
        <f>VLOOKUP($B$1,'Product Procurement Sheet'!B:D,3,FALSE)*$M$1</f>
        <v>0.22</v>
      </c>
      <c r="N61" s="968">
        <f>VLOOKUP($B$1,'Product Procurement Sheet'!B:D,3,FALSE)*$N$1</f>
        <v>0.33</v>
      </c>
      <c r="O61" s="971" cm="1">
        <f ca="1" t="array" ref="O61">(_xlfn.SINGLE(_xlfn.XLOOKUP(1,(INDIRECT($R$1&amp;"!$C:$C")=B61)*(INDIRECT($R$1&amp;"!$G:$G")&lt;L61)*(INDIRECT($R$1&amp;"!$H:$H")&gt;=L61),INDIRECT($R$1&amp;"!$K:$K"))))*L61+(_xlfn.SINGLE(_xlfn.XLOOKUP(1,(INDIRECT($R$1&amp;"!$C:$C")=B61)*(INDIRECT($R$1&amp;"!$G:$G")&lt;L61)*(INDIRECT($R$1&amp;"!$H:$H")&gt;=L61),INDIRECT($R$1&amp;"!$L:$L"))))</f>
        <v>43.35</v>
      </c>
      <c r="P61" s="971" cm="1">
        <f ca="1" t="array" ref="P61">(_xlfn.SINGLE(_xlfn.XLOOKUP(1,(INDIRECT($R$1&amp;"!$C:$C")=B61)*(INDIRECT($R$1&amp;"!$G:$G")&lt;M61)*(INDIRECT($R$1&amp;"!$H:$H")&gt;=M61),INDIRECT($R$1&amp;"!$K:$K"))))*M61+(_xlfn.SINGLE(_xlfn.XLOOKUP(1,(INDIRECT($R$1&amp;"!$C:$C")=B61)*(INDIRECT($R$1&amp;"!$G:$G")&lt;M61)*(INDIRECT($R$1&amp;"!$H:$H")&gt;=M61),INDIRECT($R$1&amp;"!$L:$L"))))</f>
        <v>63.7</v>
      </c>
      <c r="Q61" s="971" cm="1">
        <f ca="1" t="array" ref="Q61">(_xlfn.SINGLE(_xlfn.XLOOKUP(1,(INDIRECT($R$1&amp;"!$C:$C")=B61)*(INDIRECT($R$1&amp;"!$G:$G")&lt;N61)*(INDIRECT($R$1&amp;"!$H:$H")&gt;=N61),INDIRECT($R$1&amp;"!$K:$K"))))*N61+(_xlfn.SINGLE(_xlfn.XLOOKUP(1,(INDIRECT($R$1&amp;"!$C:$C")=B61)*(INDIRECT($R$1&amp;"!$G:$G")&lt;N61)*(INDIRECT($R$1&amp;"!$H:$H")&gt;=N61),INDIRECT($R$1&amp;"!$L:$L"))))</f>
        <v>84.05</v>
      </c>
      <c r="R61" s="955"/>
    </row>
    <row r="62" ht="17.25" spans="1:18">
      <c r="A62" s="966" t="s">
        <v>140</v>
      </c>
      <c r="B62" s="963" t="s">
        <v>141</v>
      </c>
      <c r="C62" s="964">
        <f ca="1" t="shared" si="3"/>
        <v>13.164014084507</v>
      </c>
      <c r="D62" s="964">
        <f ca="1" t="shared" si="0"/>
        <v>23.3139436619718</v>
      </c>
      <c r="E62" s="964">
        <f ca="1" t="shared" si="1"/>
        <v>33.4638732394366</v>
      </c>
      <c r="F62" s="965">
        <f ca="1" t="shared" ref="F62:H62" si="61">O62/$P$1</f>
        <v>10.330985915493</v>
      </c>
      <c r="G62" s="965">
        <f ca="1" t="shared" si="61"/>
        <v>17.8450704225352</v>
      </c>
      <c r="H62" s="965">
        <f ca="1" t="shared" si="61"/>
        <v>25.3591549295775</v>
      </c>
      <c r="I62" s="965">
        <f>(VLOOKUP($B$1,'Product Procurement Sheet'!B:I,8,0)*$L$1)/$P$1</f>
        <v>1.97183098591549</v>
      </c>
      <c r="J62" s="965">
        <f>(VLOOKUP($B$1,'Product Procurement Sheet'!B:I,8,0)*$M$1)/$P$1</f>
        <v>3.94366197183099</v>
      </c>
      <c r="K62" s="965">
        <f>(VLOOKUP($B$1,'Product Procurement Sheet'!B:I,8,0)*$N$1)/$P$1</f>
        <v>5.91549295774648</v>
      </c>
      <c r="L62" s="968">
        <f>VLOOKUP($B$1,'Product Procurement Sheet'!B:D,3,FALSE)*$L$1</f>
        <v>0.11</v>
      </c>
      <c r="M62" s="968">
        <f>VLOOKUP($B$1,'Product Procurement Sheet'!B:D,3,FALSE)*$M$1</f>
        <v>0.22</v>
      </c>
      <c r="N62" s="968">
        <f>VLOOKUP($B$1,'Product Procurement Sheet'!B:D,3,FALSE)*$N$1</f>
        <v>0.33</v>
      </c>
      <c r="O62" s="971" cm="1">
        <f ca="1" t="array" ref="O62">(_xlfn.SINGLE(_xlfn.XLOOKUP(1,(INDIRECT($R$1&amp;"!$C:$C")=B62)*(INDIRECT($R$1&amp;"!$G:$G")&lt;L62)*(INDIRECT($R$1&amp;"!$H:$H")&gt;=L62),INDIRECT($R$1&amp;"!$K:$K"))))*L62+(_xlfn.SINGLE(_xlfn.XLOOKUP(1,(INDIRECT($R$1&amp;"!$C:$C")=B62)*(INDIRECT($R$1&amp;"!$G:$G")&lt;L62)*(INDIRECT($R$1&amp;"!$H:$H")&gt;=L62),INDIRECT($R$1&amp;"!$L:$L"))))</f>
        <v>73.35</v>
      </c>
      <c r="P62" s="971" cm="1">
        <f ca="1" t="array" ref="P62">(_xlfn.SINGLE(_xlfn.XLOOKUP(1,(INDIRECT($R$1&amp;"!$C:$C")=B62)*(INDIRECT($R$1&amp;"!$G:$G")&lt;M62)*(INDIRECT($R$1&amp;"!$H:$H")&gt;=M62),INDIRECT($R$1&amp;"!$K:$K"))))*M62+(_xlfn.SINGLE(_xlfn.XLOOKUP(1,(INDIRECT($R$1&amp;"!$C:$C")=B62)*(INDIRECT($R$1&amp;"!$G:$G")&lt;M62)*(INDIRECT($R$1&amp;"!$H:$H")&gt;=M62),INDIRECT($R$1&amp;"!$L:$L"))))</f>
        <v>126.7</v>
      </c>
      <c r="Q62" s="971" cm="1">
        <f ca="1" t="array" ref="Q62">(_xlfn.SINGLE(_xlfn.XLOOKUP(1,(INDIRECT($R$1&amp;"!$C:$C")=B62)*(INDIRECT($R$1&amp;"!$G:$G")&lt;N62)*(INDIRECT($R$1&amp;"!$H:$H")&gt;=N62),INDIRECT($R$1&amp;"!$K:$K"))))*N62+(_xlfn.SINGLE(_xlfn.XLOOKUP(1,(INDIRECT($R$1&amp;"!$C:$C")=B62)*(INDIRECT($R$1&amp;"!$G:$G")&lt;N62)*(INDIRECT($R$1&amp;"!$H:$H")&gt;=N62),INDIRECT($R$1&amp;"!$L:$L"))))</f>
        <v>180.05</v>
      </c>
      <c r="R62" s="955"/>
    </row>
    <row r="63" ht="17.25" spans="1:18">
      <c r="A63" s="966" t="s">
        <v>142</v>
      </c>
      <c r="B63" s="963" t="s">
        <v>143</v>
      </c>
      <c r="C63" s="964" t="e">
        <f ca="1" t="shared" si="3"/>
        <v>#N/A</v>
      </c>
      <c r="D63" s="964" t="e">
        <f ca="1" t="shared" si="0"/>
        <v>#N/A</v>
      </c>
      <c r="E63" s="964" t="e">
        <f ca="1" t="shared" si="1"/>
        <v>#N/A</v>
      </c>
      <c r="F63" s="965" t="e">
        <f ca="1" t="shared" ref="F63:H63" si="62">O63/$P$1</f>
        <v>#N/A</v>
      </c>
      <c r="G63" s="965" t="e">
        <f ca="1" t="shared" si="62"/>
        <v>#N/A</v>
      </c>
      <c r="H63" s="965" t="e">
        <f ca="1" t="shared" si="62"/>
        <v>#N/A</v>
      </c>
      <c r="I63" s="965">
        <f>(VLOOKUP($B$1,'Product Procurement Sheet'!B:I,8,0)*$L$1)/$P$1</f>
        <v>1.97183098591549</v>
      </c>
      <c r="J63" s="965">
        <f>(VLOOKUP($B$1,'Product Procurement Sheet'!B:I,8,0)*$M$1)/$P$1</f>
        <v>3.94366197183099</v>
      </c>
      <c r="K63" s="965">
        <f>(VLOOKUP($B$1,'Product Procurement Sheet'!B:I,8,0)*$N$1)/$P$1</f>
        <v>5.91549295774648</v>
      </c>
      <c r="L63" s="968">
        <f>VLOOKUP($B$1,'Product Procurement Sheet'!B:D,3,FALSE)*$L$1</f>
        <v>0.11</v>
      </c>
      <c r="M63" s="968">
        <f>VLOOKUP($B$1,'Product Procurement Sheet'!B:D,3,FALSE)*$M$1</f>
        <v>0.22</v>
      </c>
      <c r="N63" s="968">
        <f>VLOOKUP($B$1,'Product Procurement Sheet'!B:D,3,FALSE)*$N$1</f>
        <v>0.33</v>
      </c>
      <c r="O63" s="971" t="e" cm="1">
        <f ca="1" t="array" ref="O63">(_xlfn.SINGLE(_xlfn.XLOOKUP(1,(INDIRECT($R$1&amp;"!$C:$C")=B63)*(INDIRECT($R$1&amp;"!$G:$G")&lt;L63)*(INDIRECT($R$1&amp;"!$H:$H")&gt;=L63),INDIRECT($R$1&amp;"!$K:$K"))))*L63+(_xlfn.SINGLE(_xlfn.XLOOKUP(1,(INDIRECT($R$1&amp;"!$C:$C")=B63)*(INDIRECT($R$1&amp;"!$G:$G")&lt;L63)*(INDIRECT($R$1&amp;"!$H:$H")&gt;=L63),INDIRECT($R$1&amp;"!$L:$L"))))</f>
        <v>#N/A</v>
      </c>
      <c r="P63" s="971" t="e" cm="1">
        <f ca="1" t="array" ref="P63">(_xlfn.SINGLE(_xlfn.XLOOKUP(1,(INDIRECT($R$1&amp;"!$C:$C")=B63)*(INDIRECT($R$1&amp;"!$G:$G")&lt;M63)*(INDIRECT($R$1&amp;"!$H:$H")&gt;=M63),INDIRECT($R$1&amp;"!$K:$K"))))*M63+(_xlfn.SINGLE(_xlfn.XLOOKUP(1,(INDIRECT($R$1&amp;"!$C:$C")=B63)*(INDIRECT($R$1&amp;"!$G:$G")&lt;M63)*(INDIRECT($R$1&amp;"!$H:$H")&gt;=M63),INDIRECT($R$1&amp;"!$L:$L"))))</f>
        <v>#N/A</v>
      </c>
      <c r="Q63" s="971" t="e" cm="1">
        <f ca="1" t="array" ref="Q63">(_xlfn.SINGLE(_xlfn.XLOOKUP(1,(INDIRECT($R$1&amp;"!$C:$C")=B63)*(INDIRECT($R$1&amp;"!$G:$G")&lt;N63)*(INDIRECT($R$1&amp;"!$H:$H")&gt;=N63),INDIRECT($R$1&amp;"!$K:$K"))))*N63+(_xlfn.SINGLE(_xlfn.XLOOKUP(1,(INDIRECT($R$1&amp;"!$C:$C")=B63)*(INDIRECT($R$1&amp;"!$G:$G")&lt;N63)*(INDIRECT($R$1&amp;"!$H:$H")&gt;=N63),INDIRECT($R$1&amp;"!$L:$L"))))</f>
        <v>#N/A</v>
      </c>
      <c r="R63" s="955"/>
    </row>
    <row r="64" ht="17.25" spans="1:18">
      <c r="A64" s="967" t="s">
        <v>144</v>
      </c>
      <c r="B64" s="963" t="s">
        <v>145</v>
      </c>
      <c r="C64" s="964">
        <f ca="1" t="shared" si="3"/>
        <v>6.78922535211267</v>
      </c>
      <c r="D64" s="964">
        <f ca="1" t="shared" si="0"/>
        <v>11.4685915492958</v>
      </c>
      <c r="E64" s="964">
        <f ca="1" t="shared" si="1"/>
        <v>16.1479577464789</v>
      </c>
      <c r="F64" s="965">
        <f ca="1" t="shared" ref="F64:H64" si="63">O64/$P$1</f>
        <v>4.37323943661972</v>
      </c>
      <c r="G64" s="965">
        <f ca="1" t="shared" si="63"/>
        <v>6.77464788732394</v>
      </c>
      <c r="H64" s="965">
        <f ca="1" t="shared" si="63"/>
        <v>9.17605633802817</v>
      </c>
      <c r="I64" s="965">
        <f>(VLOOKUP($B$1,'Product Procurement Sheet'!B:I,8,0)*$L$1)/$P$1</f>
        <v>1.97183098591549</v>
      </c>
      <c r="J64" s="965">
        <f>(VLOOKUP($B$1,'Product Procurement Sheet'!B:I,8,0)*$M$1)/$P$1</f>
        <v>3.94366197183099</v>
      </c>
      <c r="K64" s="965">
        <f>(VLOOKUP($B$1,'Product Procurement Sheet'!B:I,8,0)*$N$1)/$P$1</f>
        <v>5.91549295774648</v>
      </c>
      <c r="L64" s="968">
        <f>VLOOKUP($B$1,'Product Procurement Sheet'!B:D,3,FALSE)*$L$1</f>
        <v>0.11</v>
      </c>
      <c r="M64" s="968">
        <f>VLOOKUP($B$1,'Product Procurement Sheet'!B:D,3,FALSE)*$M$1</f>
        <v>0.22</v>
      </c>
      <c r="N64" s="968">
        <f>VLOOKUP($B$1,'Product Procurement Sheet'!B:D,3,FALSE)*$N$1</f>
        <v>0.33</v>
      </c>
      <c r="O64" s="971" cm="1">
        <f ca="1" t="array" ref="O64">(_xlfn.SINGLE(_xlfn.XLOOKUP(1,(INDIRECT($R$1&amp;"!$C:$C")=B64)*(INDIRECT($R$1&amp;"!$G:$G")&lt;L64)*(INDIRECT($R$1&amp;"!$H:$H")&gt;=L64),INDIRECT($R$1&amp;"!$K:$K"))))*L64+(_xlfn.SINGLE(_xlfn.XLOOKUP(1,(INDIRECT($R$1&amp;"!$C:$C")=B64)*(INDIRECT($R$1&amp;"!$G:$G")&lt;L64)*(INDIRECT($R$1&amp;"!$H:$H")&gt;=L64),INDIRECT($R$1&amp;"!$L:$L"))))</f>
        <v>31.05</v>
      </c>
      <c r="P64" s="971" cm="1">
        <f ca="1" t="array" ref="P64">(_xlfn.SINGLE(_xlfn.XLOOKUP(1,(INDIRECT($R$1&amp;"!$C:$C")=B64)*(INDIRECT($R$1&amp;"!$G:$G")&lt;M64)*(INDIRECT($R$1&amp;"!$H:$H")&gt;=M64),INDIRECT($R$1&amp;"!$K:$K"))))*M64+(_xlfn.SINGLE(_xlfn.XLOOKUP(1,(INDIRECT($R$1&amp;"!$C:$C")=B64)*(INDIRECT($R$1&amp;"!$G:$G")&lt;M64)*(INDIRECT($R$1&amp;"!$H:$H")&gt;=M64),INDIRECT($R$1&amp;"!$L:$L"))))</f>
        <v>48.1</v>
      </c>
      <c r="Q64" s="971" cm="1">
        <f ca="1" t="array" ref="Q64">(_xlfn.SINGLE(_xlfn.XLOOKUP(1,(INDIRECT($R$1&amp;"!$C:$C")=B64)*(INDIRECT($R$1&amp;"!$G:$G")&lt;N64)*(INDIRECT($R$1&amp;"!$H:$H")&gt;=N64),INDIRECT($R$1&amp;"!$K:$K"))))*N64+(_xlfn.SINGLE(_xlfn.XLOOKUP(1,(INDIRECT($R$1&amp;"!$C:$C")=B64)*(INDIRECT($R$1&amp;"!$G:$G")&lt;N64)*(INDIRECT($R$1&amp;"!$H:$H")&gt;=N64),INDIRECT($R$1&amp;"!$L:$L"))))</f>
        <v>65.15</v>
      </c>
      <c r="R64" s="955"/>
    </row>
    <row r="65" ht="17.25" spans="1:18">
      <c r="A65" s="967" t="s">
        <v>146</v>
      </c>
      <c r="B65" s="963" t="s">
        <v>147</v>
      </c>
      <c r="C65" s="964" t="e">
        <f ca="1" t="shared" si="3"/>
        <v>#N/A</v>
      </c>
      <c r="D65" s="964" t="e">
        <f ca="1" t="shared" si="0"/>
        <v>#N/A</v>
      </c>
      <c r="E65" s="964" t="e">
        <f ca="1" t="shared" si="1"/>
        <v>#N/A</v>
      </c>
      <c r="F65" s="965" t="e">
        <f ca="1" t="shared" ref="F65:H65" si="64">O65/$P$1</f>
        <v>#N/A</v>
      </c>
      <c r="G65" s="965" t="e">
        <f ca="1" t="shared" si="64"/>
        <v>#N/A</v>
      </c>
      <c r="H65" s="965" t="e">
        <f ca="1" t="shared" si="64"/>
        <v>#N/A</v>
      </c>
      <c r="I65" s="965">
        <f>(VLOOKUP($B$1,'Product Procurement Sheet'!B:I,8,0)*$L$1)/$P$1</f>
        <v>1.97183098591549</v>
      </c>
      <c r="J65" s="965">
        <f>(VLOOKUP($B$1,'Product Procurement Sheet'!B:I,8,0)*$M$1)/$P$1</f>
        <v>3.94366197183099</v>
      </c>
      <c r="K65" s="965">
        <f>(VLOOKUP($B$1,'Product Procurement Sheet'!B:I,8,0)*$N$1)/$P$1</f>
        <v>5.91549295774648</v>
      </c>
      <c r="L65" s="968">
        <f>VLOOKUP($B$1,'Product Procurement Sheet'!B:D,3,FALSE)*$L$1</f>
        <v>0.11</v>
      </c>
      <c r="M65" s="968">
        <f>VLOOKUP($B$1,'Product Procurement Sheet'!B:D,3,FALSE)*$M$1</f>
        <v>0.22</v>
      </c>
      <c r="N65" s="968">
        <f>VLOOKUP($B$1,'Product Procurement Sheet'!B:D,3,FALSE)*$N$1</f>
        <v>0.33</v>
      </c>
      <c r="O65" s="971" t="e" cm="1">
        <f ca="1" t="array" ref="O65">(_xlfn.SINGLE(_xlfn.XLOOKUP(1,(INDIRECT($R$1&amp;"!$C:$C")=B65)*(INDIRECT($R$1&amp;"!$G:$G")&lt;L65)*(INDIRECT($R$1&amp;"!$H:$H")&gt;=L65),INDIRECT($R$1&amp;"!$K:$K"))))*L65+(_xlfn.SINGLE(_xlfn.XLOOKUP(1,(INDIRECT($R$1&amp;"!$C:$C")=B65)*(INDIRECT($R$1&amp;"!$G:$G")&lt;L65)*(INDIRECT($R$1&amp;"!$H:$H")&gt;=L65),INDIRECT($R$1&amp;"!$L:$L"))))</f>
        <v>#N/A</v>
      </c>
      <c r="P65" s="971" t="e" cm="1">
        <f ca="1" t="array" ref="P65">(_xlfn.SINGLE(_xlfn.XLOOKUP(1,(INDIRECT($R$1&amp;"!$C:$C")=B65)*(INDIRECT($R$1&amp;"!$G:$G")&lt;M65)*(INDIRECT($R$1&amp;"!$H:$H")&gt;=M65),INDIRECT($R$1&amp;"!$K:$K"))))*M65+(_xlfn.SINGLE(_xlfn.XLOOKUP(1,(INDIRECT($R$1&amp;"!$C:$C")=B65)*(INDIRECT($R$1&amp;"!$G:$G")&lt;M65)*(INDIRECT($R$1&amp;"!$H:$H")&gt;=M65),INDIRECT($R$1&amp;"!$L:$L"))))</f>
        <v>#N/A</v>
      </c>
      <c r="Q65" s="971" t="e" cm="1">
        <f ca="1" t="array" ref="Q65">(_xlfn.SINGLE(_xlfn.XLOOKUP(1,(INDIRECT($R$1&amp;"!$C:$C")=B65)*(INDIRECT($R$1&amp;"!$G:$G")&lt;N65)*(INDIRECT($R$1&amp;"!$H:$H")&gt;=N65),INDIRECT($R$1&amp;"!$K:$K"))))*N65+(_xlfn.SINGLE(_xlfn.XLOOKUP(1,(INDIRECT($R$1&amp;"!$C:$C")=B65)*(INDIRECT($R$1&amp;"!$G:$G")&lt;N65)*(INDIRECT($R$1&amp;"!$H:$H")&gt;=N65),INDIRECT($R$1&amp;"!$L:$L"))))</f>
        <v>#N/A</v>
      </c>
      <c r="R65" s="955"/>
    </row>
    <row r="66" ht="17.25" spans="1:18">
      <c r="A66" s="966" t="s">
        <v>148</v>
      </c>
      <c r="B66" s="963" t="s">
        <v>149</v>
      </c>
      <c r="C66" s="964">
        <f ca="1" t="shared" si="3"/>
        <v>8.25105633802817</v>
      </c>
      <c r="D66" s="964">
        <f ca="1" t="shared" si="0"/>
        <v>12.4330985915493</v>
      </c>
      <c r="E66" s="964">
        <f ca="1" t="shared" si="1"/>
        <v>16.6151408450704</v>
      </c>
      <c r="F66" s="965">
        <f ca="1" t="shared" ref="F66:H66" si="65">O66/$P$1</f>
        <v>5.73943661971831</v>
      </c>
      <c r="G66" s="965">
        <f ca="1" t="shared" si="65"/>
        <v>7.67605633802817</v>
      </c>
      <c r="H66" s="965">
        <f ca="1" t="shared" si="65"/>
        <v>9.61267605633803</v>
      </c>
      <c r="I66" s="965">
        <f>(VLOOKUP($B$1,'Product Procurement Sheet'!B:I,8,0)*$L$1)/$P$1</f>
        <v>1.97183098591549</v>
      </c>
      <c r="J66" s="965">
        <f>(VLOOKUP($B$1,'Product Procurement Sheet'!B:I,8,0)*$M$1)/$P$1</f>
        <v>3.94366197183099</v>
      </c>
      <c r="K66" s="965">
        <f>(VLOOKUP($B$1,'Product Procurement Sheet'!B:I,8,0)*$N$1)/$P$1</f>
        <v>5.91549295774648</v>
      </c>
      <c r="L66" s="968">
        <f>VLOOKUP($B$1,'Product Procurement Sheet'!B:D,3,FALSE)*$L$1</f>
        <v>0.11</v>
      </c>
      <c r="M66" s="968">
        <f>VLOOKUP($B$1,'Product Procurement Sheet'!B:D,3,FALSE)*$M$1</f>
        <v>0.22</v>
      </c>
      <c r="N66" s="968">
        <f>VLOOKUP($B$1,'Product Procurement Sheet'!B:D,3,FALSE)*$N$1</f>
        <v>0.33</v>
      </c>
      <c r="O66" s="971" cm="1">
        <f ca="1" t="array" ref="O66">(_xlfn.SINGLE(_xlfn.XLOOKUP(1,(INDIRECT($R$1&amp;"!$C:$C")=B66)*(INDIRECT($R$1&amp;"!$G:$G")&lt;L66)*(INDIRECT($R$1&amp;"!$H:$H")&gt;=L66),INDIRECT($R$1&amp;"!$K:$K"))))*L66+(_xlfn.SINGLE(_xlfn.XLOOKUP(1,(INDIRECT($R$1&amp;"!$C:$C")=B66)*(INDIRECT($R$1&amp;"!$G:$G")&lt;L66)*(INDIRECT($R$1&amp;"!$H:$H")&gt;=L66),INDIRECT($R$1&amp;"!$L:$L"))))</f>
        <v>40.75</v>
      </c>
      <c r="P66" s="971" cm="1">
        <f ca="1" t="array" ref="P66">(_xlfn.SINGLE(_xlfn.XLOOKUP(1,(INDIRECT($R$1&amp;"!$C:$C")=B66)*(INDIRECT($R$1&amp;"!$G:$G")&lt;M66)*(INDIRECT($R$1&amp;"!$H:$H")&gt;=M66),INDIRECT($R$1&amp;"!$K:$K"))))*M66+(_xlfn.SINGLE(_xlfn.XLOOKUP(1,(INDIRECT($R$1&amp;"!$C:$C")=B66)*(INDIRECT($R$1&amp;"!$G:$G")&lt;M66)*(INDIRECT($R$1&amp;"!$H:$H")&gt;=M66),INDIRECT($R$1&amp;"!$L:$L"))))</f>
        <v>54.5</v>
      </c>
      <c r="Q66" s="971" cm="1">
        <f ca="1" t="array" ref="Q66">(_xlfn.SINGLE(_xlfn.XLOOKUP(1,(INDIRECT($R$1&amp;"!$C:$C")=B66)*(INDIRECT($R$1&amp;"!$G:$G")&lt;N66)*(INDIRECT($R$1&amp;"!$H:$H")&gt;=N66),INDIRECT($R$1&amp;"!$K:$K"))))*N66+(_xlfn.SINGLE(_xlfn.XLOOKUP(1,(INDIRECT($R$1&amp;"!$C:$C")=B66)*(INDIRECT($R$1&amp;"!$G:$G")&lt;N66)*(INDIRECT($R$1&amp;"!$H:$H")&gt;=N66),INDIRECT($R$1&amp;"!$L:$L"))))</f>
        <v>68.25</v>
      </c>
      <c r="R66" s="955"/>
    </row>
    <row r="67" ht="17.25" spans="1:18">
      <c r="A67" s="966" t="s">
        <v>150</v>
      </c>
      <c r="B67" s="963" t="s">
        <v>151</v>
      </c>
      <c r="C67" s="964">
        <f ca="1" t="shared" si="3"/>
        <v>7.90443661971831</v>
      </c>
      <c r="D67" s="964">
        <f ca="1" t="shared" si="0"/>
        <v>11.5891549295775</v>
      </c>
      <c r="E67" s="964">
        <f ca="1" t="shared" si="1"/>
        <v>15.2738732394366</v>
      </c>
      <c r="F67" s="965">
        <f ca="1" t="shared" ref="F67:H67" si="66">O67/$P$1</f>
        <v>5.41549295774648</v>
      </c>
      <c r="G67" s="965">
        <f ca="1" t="shared" si="66"/>
        <v>6.88732394366197</v>
      </c>
      <c r="H67" s="965">
        <f ca="1" t="shared" si="66"/>
        <v>8.35915492957747</v>
      </c>
      <c r="I67" s="965">
        <f>(VLOOKUP($B$1,'Product Procurement Sheet'!B:I,8,0)*$L$1)/$P$1</f>
        <v>1.97183098591549</v>
      </c>
      <c r="J67" s="965">
        <f>(VLOOKUP($B$1,'Product Procurement Sheet'!B:I,8,0)*$M$1)/$P$1</f>
        <v>3.94366197183099</v>
      </c>
      <c r="K67" s="965">
        <f>(VLOOKUP($B$1,'Product Procurement Sheet'!B:I,8,0)*$N$1)/$P$1</f>
        <v>5.91549295774648</v>
      </c>
      <c r="L67" s="968">
        <f>VLOOKUP($B$1,'Product Procurement Sheet'!B:D,3,FALSE)*$L$1</f>
        <v>0.11</v>
      </c>
      <c r="M67" s="968">
        <f>VLOOKUP($B$1,'Product Procurement Sheet'!B:D,3,FALSE)*$M$1</f>
        <v>0.22</v>
      </c>
      <c r="N67" s="968">
        <f>VLOOKUP($B$1,'Product Procurement Sheet'!B:D,3,FALSE)*$N$1</f>
        <v>0.33</v>
      </c>
      <c r="O67" s="971" cm="1">
        <f ca="1" t="array" ref="O67">(_xlfn.SINGLE(_xlfn.XLOOKUP(1,(INDIRECT($R$1&amp;"!$C:$C")=B67)*(INDIRECT($R$1&amp;"!$G:$G")&lt;L67)*(INDIRECT($R$1&amp;"!$H:$H")&gt;=L67),INDIRECT($R$1&amp;"!$K:$K"))))*L67+(_xlfn.SINGLE(_xlfn.XLOOKUP(1,(INDIRECT($R$1&amp;"!$C:$C")=B67)*(INDIRECT($R$1&amp;"!$G:$G")&lt;L67)*(INDIRECT($R$1&amp;"!$H:$H")&gt;=L67),INDIRECT($R$1&amp;"!$L:$L"))))</f>
        <v>38.45</v>
      </c>
      <c r="P67" s="971" cm="1">
        <f ca="1" t="array" ref="P67">(_xlfn.SINGLE(_xlfn.XLOOKUP(1,(INDIRECT($R$1&amp;"!$C:$C")=B67)*(INDIRECT($R$1&amp;"!$G:$G")&lt;M67)*(INDIRECT($R$1&amp;"!$H:$H")&gt;=M67),INDIRECT($R$1&amp;"!$K:$K"))))*M67+(_xlfn.SINGLE(_xlfn.XLOOKUP(1,(INDIRECT($R$1&amp;"!$C:$C")=B67)*(INDIRECT($R$1&amp;"!$G:$G")&lt;M67)*(INDIRECT($R$1&amp;"!$H:$H")&gt;=M67),INDIRECT($R$1&amp;"!$L:$L"))))</f>
        <v>48.9</v>
      </c>
      <c r="Q67" s="971" cm="1">
        <f ca="1" t="array" ref="Q67">(_xlfn.SINGLE(_xlfn.XLOOKUP(1,(INDIRECT($R$1&amp;"!$C:$C")=B67)*(INDIRECT($R$1&amp;"!$G:$G")&lt;N67)*(INDIRECT($R$1&amp;"!$H:$H")&gt;=N67),INDIRECT($R$1&amp;"!$K:$K"))))*N67+(_xlfn.SINGLE(_xlfn.XLOOKUP(1,(INDIRECT($R$1&amp;"!$C:$C")=B67)*(INDIRECT($R$1&amp;"!$G:$G")&lt;N67)*(INDIRECT($R$1&amp;"!$H:$H")&gt;=N67),INDIRECT($R$1&amp;"!$L:$L"))))</f>
        <v>59.35</v>
      </c>
      <c r="R67" s="955"/>
    </row>
    <row r="68" ht="17.25" spans="1:18">
      <c r="A68" s="963" t="s">
        <v>152</v>
      </c>
      <c r="B68" s="963" t="s">
        <v>153</v>
      </c>
      <c r="C68" s="964">
        <f ca="1" t="shared" ref="C68:C131" si="67">(F68+I68)*(1+$F$1)</f>
        <v>4.66429577464788</v>
      </c>
      <c r="D68" s="964">
        <f ca="1" t="shared" ref="D68:D131" si="68">(G68+J68)*(1+$F$1)</f>
        <v>7.52014084507043</v>
      </c>
      <c r="E68" s="964">
        <f ca="1" t="shared" ref="E68:E131" si="69">(H68+K68)*(1+$F$1)</f>
        <v>10.375985915493</v>
      </c>
      <c r="F68" s="965">
        <f ca="1" t="shared" ref="F68:H68" si="70">O68/$P$1</f>
        <v>2.38732394366197</v>
      </c>
      <c r="G68" s="965">
        <f ca="1" t="shared" si="70"/>
        <v>3.08450704225352</v>
      </c>
      <c r="H68" s="965">
        <f ca="1" t="shared" si="70"/>
        <v>3.78169014084507</v>
      </c>
      <c r="I68" s="965">
        <f>(VLOOKUP($B$1,'Product Procurement Sheet'!B:I,8,0)*$L$1)/$P$1</f>
        <v>1.97183098591549</v>
      </c>
      <c r="J68" s="965">
        <f>(VLOOKUP($B$1,'Product Procurement Sheet'!B:I,8,0)*$M$1)/$P$1</f>
        <v>3.94366197183099</v>
      </c>
      <c r="K68" s="965">
        <f>(VLOOKUP($B$1,'Product Procurement Sheet'!B:I,8,0)*$N$1)/$P$1</f>
        <v>5.91549295774648</v>
      </c>
      <c r="L68" s="968">
        <f>VLOOKUP($B$1,'Product Procurement Sheet'!B:D,3,FALSE)*$L$1</f>
        <v>0.11</v>
      </c>
      <c r="M68" s="968">
        <f>VLOOKUP($B$1,'Product Procurement Sheet'!B:D,3,FALSE)*$M$1</f>
        <v>0.22</v>
      </c>
      <c r="N68" s="968">
        <f>VLOOKUP($B$1,'Product Procurement Sheet'!B:D,3,FALSE)*$N$1</f>
        <v>0.33</v>
      </c>
      <c r="O68" s="971" cm="1">
        <f ca="1" t="array" ref="O68">(_xlfn.SINGLE(_xlfn.XLOOKUP(1,(INDIRECT($R$1&amp;"!$C:$C")=B68)*(INDIRECT($R$1&amp;"!$G:$G")&lt;L68)*(INDIRECT($R$1&amp;"!$H:$H")&gt;=L68),INDIRECT($R$1&amp;"!$K:$K"))))*L68+(_xlfn.SINGLE(_xlfn.XLOOKUP(1,(INDIRECT($R$1&amp;"!$C:$C")=B68)*(INDIRECT($R$1&amp;"!$G:$G")&lt;L68)*(INDIRECT($R$1&amp;"!$H:$H")&gt;=L68),INDIRECT($R$1&amp;"!$L:$L"))))</f>
        <v>16.95</v>
      </c>
      <c r="P68" s="971" cm="1">
        <f ca="1" t="array" ref="P68">(_xlfn.SINGLE(_xlfn.XLOOKUP(1,(INDIRECT($R$1&amp;"!$C:$C")=B68)*(INDIRECT($R$1&amp;"!$G:$G")&lt;M68)*(INDIRECT($R$1&amp;"!$H:$H")&gt;=M68),INDIRECT($R$1&amp;"!$K:$K"))))*M68+(_xlfn.SINGLE(_xlfn.XLOOKUP(1,(INDIRECT($R$1&amp;"!$C:$C")=B68)*(INDIRECT($R$1&amp;"!$G:$G")&lt;M68)*(INDIRECT($R$1&amp;"!$H:$H")&gt;=M68),INDIRECT($R$1&amp;"!$L:$L"))))</f>
        <v>21.9</v>
      </c>
      <c r="Q68" s="971" cm="1">
        <f ca="1" t="array" ref="Q68">(_xlfn.SINGLE(_xlfn.XLOOKUP(1,(INDIRECT($R$1&amp;"!$C:$C")=B68)*(INDIRECT($R$1&amp;"!$G:$G")&lt;N68)*(INDIRECT($R$1&amp;"!$H:$H")&gt;=N68),INDIRECT($R$1&amp;"!$K:$K"))))*N68+(_xlfn.SINGLE(_xlfn.XLOOKUP(1,(INDIRECT($R$1&amp;"!$C:$C")=B68)*(INDIRECT($R$1&amp;"!$G:$G")&lt;N68)*(INDIRECT($R$1&amp;"!$H:$H")&gt;=N68),INDIRECT($R$1&amp;"!$L:$L"))))</f>
        <v>26.85</v>
      </c>
      <c r="R68" s="955"/>
    </row>
    <row r="69" ht="17.25" spans="1:18">
      <c r="A69" s="963" t="s">
        <v>154</v>
      </c>
      <c r="B69" s="963" t="s">
        <v>155</v>
      </c>
      <c r="C69" s="964">
        <f ca="1" t="shared" si="67"/>
        <v>7.46739436619718</v>
      </c>
      <c r="D69" s="964">
        <f ca="1" t="shared" si="68"/>
        <v>11.3178873239437</v>
      </c>
      <c r="E69" s="964">
        <f ca="1" t="shared" si="69"/>
        <v>15.1683802816901</v>
      </c>
      <c r="F69" s="965">
        <f ca="1" t="shared" ref="F69:H69" si="71">O69/$P$1</f>
        <v>5.00704225352113</v>
      </c>
      <c r="G69" s="965">
        <f ca="1" t="shared" si="71"/>
        <v>6.63380281690141</v>
      </c>
      <c r="H69" s="965">
        <f ca="1" t="shared" si="71"/>
        <v>8.26056338028169</v>
      </c>
      <c r="I69" s="965">
        <f>(VLOOKUP($B$1,'Product Procurement Sheet'!B:I,8,0)*$L$1)/$P$1</f>
        <v>1.97183098591549</v>
      </c>
      <c r="J69" s="965">
        <f>(VLOOKUP($B$1,'Product Procurement Sheet'!B:I,8,0)*$M$1)/$P$1</f>
        <v>3.94366197183099</v>
      </c>
      <c r="K69" s="965">
        <f>(VLOOKUP($B$1,'Product Procurement Sheet'!B:I,8,0)*$N$1)/$P$1</f>
        <v>5.91549295774648</v>
      </c>
      <c r="L69" s="968">
        <f>VLOOKUP($B$1,'Product Procurement Sheet'!B:D,3,FALSE)*$L$1</f>
        <v>0.11</v>
      </c>
      <c r="M69" s="968">
        <f>VLOOKUP($B$1,'Product Procurement Sheet'!B:D,3,FALSE)*$M$1</f>
        <v>0.22</v>
      </c>
      <c r="N69" s="968">
        <f>VLOOKUP($B$1,'Product Procurement Sheet'!B:D,3,FALSE)*$N$1</f>
        <v>0.33</v>
      </c>
      <c r="O69" s="971" cm="1">
        <f ca="1" t="array" ref="O69">(_xlfn.SINGLE(_xlfn.XLOOKUP(1,(INDIRECT($R$1&amp;"!$C:$C")=B69)*(INDIRECT($R$1&amp;"!$G:$G")&lt;L69)*(INDIRECT($R$1&amp;"!$H:$H")&gt;=L69),INDIRECT($R$1&amp;"!$K:$K"))))*L69+(_xlfn.SINGLE(_xlfn.XLOOKUP(1,(INDIRECT($R$1&amp;"!$C:$C")=B69)*(INDIRECT($R$1&amp;"!$G:$G")&lt;L69)*(INDIRECT($R$1&amp;"!$H:$H")&gt;=L69),INDIRECT($R$1&amp;"!$L:$L"))))</f>
        <v>35.55</v>
      </c>
      <c r="P69" s="971" cm="1">
        <f ca="1" t="array" ref="P69">(_xlfn.SINGLE(_xlfn.XLOOKUP(1,(INDIRECT($R$1&amp;"!$C:$C")=B69)*(INDIRECT($R$1&amp;"!$G:$G")&lt;M69)*(INDIRECT($R$1&amp;"!$H:$H")&gt;=M69),INDIRECT($R$1&amp;"!$K:$K"))))*M69+(_xlfn.SINGLE(_xlfn.XLOOKUP(1,(INDIRECT($R$1&amp;"!$C:$C")=B69)*(INDIRECT($R$1&amp;"!$G:$G")&lt;M69)*(INDIRECT($R$1&amp;"!$H:$H")&gt;=M69),INDIRECT($R$1&amp;"!$L:$L"))))</f>
        <v>47.1</v>
      </c>
      <c r="Q69" s="971" cm="1">
        <f ca="1" t="array" ref="Q69">(_xlfn.SINGLE(_xlfn.XLOOKUP(1,(INDIRECT($R$1&amp;"!$C:$C")=B69)*(INDIRECT($R$1&amp;"!$G:$G")&lt;N69)*(INDIRECT($R$1&amp;"!$H:$H")&gt;=N69),INDIRECT($R$1&amp;"!$K:$K"))))*N69+(_xlfn.SINGLE(_xlfn.XLOOKUP(1,(INDIRECT($R$1&amp;"!$C:$C")=B69)*(INDIRECT($R$1&amp;"!$G:$G")&lt;N69)*(INDIRECT($R$1&amp;"!$H:$H")&gt;=N69),INDIRECT($R$1&amp;"!$L:$L"))))</f>
        <v>58.65</v>
      </c>
      <c r="R69" s="955"/>
    </row>
    <row r="70" ht="17.25" spans="1:18">
      <c r="A70" s="963" t="s">
        <v>156</v>
      </c>
      <c r="B70" s="963" t="s">
        <v>157</v>
      </c>
      <c r="C70" s="964" t="e">
        <f ca="1" t="shared" si="67"/>
        <v>#N/A</v>
      </c>
      <c r="D70" s="964" t="e">
        <f ca="1" t="shared" si="68"/>
        <v>#N/A</v>
      </c>
      <c r="E70" s="964" t="e">
        <f ca="1" t="shared" si="69"/>
        <v>#N/A</v>
      </c>
      <c r="F70" s="965" t="e">
        <f ca="1" t="shared" ref="F70:H70" si="72">O70/$P$1</f>
        <v>#N/A</v>
      </c>
      <c r="G70" s="965" t="e">
        <f ca="1" t="shared" si="72"/>
        <v>#N/A</v>
      </c>
      <c r="H70" s="965" t="e">
        <f ca="1" t="shared" si="72"/>
        <v>#N/A</v>
      </c>
      <c r="I70" s="965">
        <f>(VLOOKUP($B$1,'Product Procurement Sheet'!B:I,8,0)*$L$1)/$P$1</f>
        <v>1.97183098591549</v>
      </c>
      <c r="J70" s="965">
        <f>(VLOOKUP($B$1,'Product Procurement Sheet'!B:I,8,0)*$M$1)/$P$1</f>
        <v>3.94366197183099</v>
      </c>
      <c r="K70" s="965">
        <f>(VLOOKUP($B$1,'Product Procurement Sheet'!B:I,8,0)*$N$1)/$P$1</f>
        <v>5.91549295774648</v>
      </c>
      <c r="L70" s="968">
        <f>VLOOKUP($B$1,'Product Procurement Sheet'!B:D,3,FALSE)*$L$1</f>
        <v>0.11</v>
      </c>
      <c r="M70" s="968">
        <f>VLOOKUP($B$1,'Product Procurement Sheet'!B:D,3,FALSE)*$M$1</f>
        <v>0.22</v>
      </c>
      <c r="N70" s="968">
        <f>VLOOKUP($B$1,'Product Procurement Sheet'!B:D,3,FALSE)*$N$1</f>
        <v>0.33</v>
      </c>
      <c r="O70" s="971" t="e" cm="1">
        <f ca="1" t="array" ref="O70">(_xlfn.SINGLE(_xlfn.XLOOKUP(1,(INDIRECT($R$1&amp;"!$C:$C")=B70)*(INDIRECT($R$1&amp;"!$G:$G")&lt;L70)*(INDIRECT($R$1&amp;"!$H:$H")&gt;=L70),INDIRECT($R$1&amp;"!$K:$K"))))*L70+(_xlfn.SINGLE(_xlfn.XLOOKUP(1,(INDIRECT($R$1&amp;"!$C:$C")=B70)*(INDIRECT($R$1&amp;"!$G:$G")&lt;L70)*(INDIRECT($R$1&amp;"!$H:$H")&gt;=L70),INDIRECT($R$1&amp;"!$L:$L"))))</f>
        <v>#N/A</v>
      </c>
      <c r="P70" s="971" t="e" cm="1">
        <f ca="1" t="array" ref="P70">(_xlfn.SINGLE(_xlfn.XLOOKUP(1,(INDIRECT($R$1&amp;"!$C:$C")=B70)*(INDIRECT($R$1&amp;"!$G:$G")&lt;M70)*(INDIRECT($R$1&amp;"!$H:$H")&gt;=M70),INDIRECT($R$1&amp;"!$K:$K"))))*M70+(_xlfn.SINGLE(_xlfn.XLOOKUP(1,(INDIRECT($R$1&amp;"!$C:$C")=B70)*(INDIRECT($R$1&amp;"!$G:$G")&lt;M70)*(INDIRECT($R$1&amp;"!$H:$H")&gt;=M70),INDIRECT($R$1&amp;"!$L:$L"))))</f>
        <v>#N/A</v>
      </c>
      <c r="Q70" s="971" t="e" cm="1">
        <f ca="1" t="array" ref="Q70">(_xlfn.SINGLE(_xlfn.XLOOKUP(1,(INDIRECT($R$1&amp;"!$C:$C")=B70)*(INDIRECT($R$1&amp;"!$G:$G")&lt;N70)*(INDIRECT($R$1&amp;"!$H:$H")&gt;=N70),INDIRECT($R$1&amp;"!$K:$K"))))*N70+(_xlfn.SINGLE(_xlfn.XLOOKUP(1,(INDIRECT($R$1&amp;"!$C:$C")=B70)*(INDIRECT($R$1&amp;"!$G:$G")&lt;N70)*(INDIRECT($R$1&amp;"!$H:$H")&gt;=N70),INDIRECT($R$1&amp;"!$L:$L"))))</f>
        <v>#N/A</v>
      </c>
      <c r="R70" s="955"/>
    </row>
    <row r="71" ht="17.25" spans="1:18">
      <c r="A71" s="963" t="s">
        <v>158</v>
      </c>
      <c r="B71" s="963" t="s">
        <v>159</v>
      </c>
      <c r="C71" s="964" t="e">
        <f ca="1" t="shared" si="67"/>
        <v>#N/A</v>
      </c>
      <c r="D71" s="964" t="e">
        <f ca="1" t="shared" si="68"/>
        <v>#N/A</v>
      </c>
      <c r="E71" s="964" t="e">
        <f ca="1" t="shared" si="69"/>
        <v>#N/A</v>
      </c>
      <c r="F71" s="965" t="e">
        <f ca="1" t="shared" ref="F71:H71" si="73">O71/$P$1</f>
        <v>#N/A</v>
      </c>
      <c r="G71" s="965" t="e">
        <f ca="1" t="shared" si="73"/>
        <v>#N/A</v>
      </c>
      <c r="H71" s="965" t="e">
        <f ca="1" t="shared" si="73"/>
        <v>#N/A</v>
      </c>
      <c r="I71" s="965">
        <f>(VLOOKUP($B$1,'Product Procurement Sheet'!B:I,8,0)*$L$1)/$P$1</f>
        <v>1.97183098591549</v>
      </c>
      <c r="J71" s="965">
        <f>(VLOOKUP($B$1,'Product Procurement Sheet'!B:I,8,0)*$M$1)/$P$1</f>
        <v>3.94366197183099</v>
      </c>
      <c r="K71" s="965">
        <f>(VLOOKUP($B$1,'Product Procurement Sheet'!B:I,8,0)*$N$1)/$P$1</f>
        <v>5.91549295774648</v>
      </c>
      <c r="L71" s="968">
        <f>VLOOKUP($B$1,'Product Procurement Sheet'!B:D,3,FALSE)*$L$1</f>
        <v>0.11</v>
      </c>
      <c r="M71" s="968">
        <f>VLOOKUP($B$1,'Product Procurement Sheet'!B:D,3,FALSE)*$M$1</f>
        <v>0.22</v>
      </c>
      <c r="N71" s="968">
        <f>VLOOKUP($B$1,'Product Procurement Sheet'!B:D,3,FALSE)*$N$1</f>
        <v>0.33</v>
      </c>
      <c r="O71" s="971" t="e" cm="1">
        <f ca="1" t="array" ref="O71">(_xlfn.SINGLE(_xlfn.XLOOKUP(1,(INDIRECT($R$1&amp;"!$C:$C")=B71)*(INDIRECT($R$1&amp;"!$G:$G")&lt;L71)*(INDIRECT($R$1&amp;"!$H:$H")&gt;=L71),INDIRECT($R$1&amp;"!$K:$K"))))*L71+(_xlfn.SINGLE(_xlfn.XLOOKUP(1,(INDIRECT($R$1&amp;"!$C:$C")=B71)*(INDIRECT($R$1&amp;"!$G:$G")&lt;L71)*(INDIRECT($R$1&amp;"!$H:$H")&gt;=L71),INDIRECT($R$1&amp;"!$L:$L"))))</f>
        <v>#N/A</v>
      </c>
      <c r="P71" s="971" t="e" cm="1">
        <f ca="1" t="array" ref="P71">(_xlfn.SINGLE(_xlfn.XLOOKUP(1,(INDIRECT($R$1&amp;"!$C:$C")=B71)*(INDIRECT($R$1&amp;"!$G:$G")&lt;M71)*(INDIRECT($R$1&amp;"!$H:$H")&gt;=M71),INDIRECT($R$1&amp;"!$K:$K"))))*M71+(_xlfn.SINGLE(_xlfn.XLOOKUP(1,(INDIRECT($R$1&amp;"!$C:$C")=B71)*(INDIRECT($R$1&amp;"!$G:$G")&lt;M71)*(INDIRECT($R$1&amp;"!$H:$H")&gt;=M71),INDIRECT($R$1&amp;"!$L:$L"))))</f>
        <v>#N/A</v>
      </c>
      <c r="Q71" s="971" t="e" cm="1">
        <f ca="1" t="array" ref="Q71">(_xlfn.SINGLE(_xlfn.XLOOKUP(1,(INDIRECT($R$1&amp;"!$C:$C")=B71)*(INDIRECT($R$1&amp;"!$G:$G")&lt;N71)*(INDIRECT($R$1&amp;"!$H:$H")&gt;=N71),INDIRECT($R$1&amp;"!$K:$K"))))*N71+(_xlfn.SINGLE(_xlfn.XLOOKUP(1,(INDIRECT($R$1&amp;"!$C:$C")=B71)*(INDIRECT($R$1&amp;"!$G:$G")&lt;N71)*(INDIRECT($R$1&amp;"!$H:$H")&gt;=N71),INDIRECT($R$1&amp;"!$L:$L"))))</f>
        <v>#N/A</v>
      </c>
      <c r="R71" s="955"/>
    </row>
    <row r="72" ht="17.25" spans="1:18">
      <c r="A72" s="963" t="s">
        <v>160</v>
      </c>
      <c r="B72" s="963" t="s">
        <v>161</v>
      </c>
      <c r="C72" s="964">
        <f ca="1" t="shared" si="67"/>
        <v>7.03035211267605</v>
      </c>
      <c r="D72" s="964">
        <f ca="1" t="shared" si="68"/>
        <v>11.0466197183099</v>
      </c>
      <c r="E72" s="964">
        <f ca="1" t="shared" si="69"/>
        <v>15.0628873239437</v>
      </c>
      <c r="F72" s="965">
        <f ca="1" t="shared" ref="F72:H72" si="74">O72/$P$1</f>
        <v>4.59859154929577</v>
      </c>
      <c r="G72" s="965">
        <f ca="1" t="shared" si="74"/>
        <v>6.38028169014085</v>
      </c>
      <c r="H72" s="965">
        <f ca="1" t="shared" si="74"/>
        <v>8.16197183098592</v>
      </c>
      <c r="I72" s="965">
        <f>(VLOOKUP($B$1,'Product Procurement Sheet'!B:I,8,0)*$L$1)/$P$1</f>
        <v>1.97183098591549</v>
      </c>
      <c r="J72" s="965">
        <f>(VLOOKUP($B$1,'Product Procurement Sheet'!B:I,8,0)*$M$1)/$P$1</f>
        <v>3.94366197183099</v>
      </c>
      <c r="K72" s="965">
        <f>(VLOOKUP($B$1,'Product Procurement Sheet'!B:I,8,0)*$N$1)/$P$1</f>
        <v>5.91549295774648</v>
      </c>
      <c r="L72" s="968">
        <f>VLOOKUP($B$1,'Product Procurement Sheet'!B:D,3,FALSE)*$L$1</f>
        <v>0.11</v>
      </c>
      <c r="M72" s="968">
        <f>VLOOKUP($B$1,'Product Procurement Sheet'!B:D,3,FALSE)*$M$1</f>
        <v>0.22</v>
      </c>
      <c r="N72" s="968">
        <f>VLOOKUP($B$1,'Product Procurement Sheet'!B:D,3,FALSE)*$N$1</f>
        <v>0.33</v>
      </c>
      <c r="O72" s="971" cm="1">
        <f ca="1" t="array" ref="O72">(_xlfn.SINGLE(_xlfn.XLOOKUP(1,(INDIRECT($R$1&amp;"!$C:$C")=B72)*(INDIRECT($R$1&amp;"!$G:$G")&lt;L72)*(INDIRECT($R$1&amp;"!$H:$H")&gt;=L72),INDIRECT($R$1&amp;"!$K:$K"))))*L72+(_xlfn.SINGLE(_xlfn.XLOOKUP(1,(INDIRECT($R$1&amp;"!$C:$C")=B72)*(INDIRECT($R$1&amp;"!$G:$G")&lt;L72)*(INDIRECT($R$1&amp;"!$H:$H")&gt;=L72),INDIRECT($R$1&amp;"!$L:$L"))))</f>
        <v>32.65</v>
      </c>
      <c r="P72" s="971" cm="1">
        <f ca="1" t="array" ref="P72">(_xlfn.SINGLE(_xlfn.XLOOKUP(1,(INDIRECT($R$1&amp;"!$C:$C")=B72)*(INDIRECT($R$1&amp;"!$G:$G")&lt;M72)*(INDIRECT($R$1&amp;"!$H:$H")&gt;=M72),INDIRECT($R$1&amp;"!$K:$K"))))*M72+(_xlfn.SINGLE(_xlfn.XLOOKUP(1,(INDIRECT($R$1&amp;"!$C:$C")=B72)*(INDIRECT($R$1&amp;"!$G:$G")&lt;M72)*(INDIRECT($R$1&amp;"!$H:$H")&gt;=M72),INDIRECT($R$1&amp;"!$L:$L"))))</f>
        <v>45.3</v>
      </c>
      <c r="Q72" s="971" cm="1">
        <f ca="1" t="array" ref="Q72">(_xlfn.SINGLE(_xlfn.XLOOKUP(1,(INDIRECT($R$1&amp;"!$C:$C")=B72)*(INDIRECT($R$1&amp;"!$G:$G")&lt;N72)*(INDIRECT($R$1&amp;"!$H:$H")&gt;=N72),INDIRECT($R$1&amp;"!$K:$K"))))*N72+(_xlfn.SINGLE(_xlfn.XLOOKUP(1,(INDIRECT($R$1&amp;"!$C:$C")=B72)*(INDIRECT($R$1&amp;"!$G:$G")&lt;N72)*(INDIRECT($R$1&amp;"!$H:$H")&gt;=N72),INDIRECT($R$1&amp;"!$L:$L"))))</f>
        <v>57.95</v>
      </c>
      <c r="R72" s="955"/>
    </row>
    <row r="73" ht="17.25" spans="1:18">
      <c r="A73" s="963" t="s">
        <v>162</v>
      </c>
      <c r="B73" s="963" t="s">
        <v>163</v>
      </c>
      <c r="C73" s="964">
        <f ca="1" t="shared" si="67"/>
        <v>6.26176056338028</v>
      </c>
      <c r="D73" s="964">
        <f ca="1" t="shared" si="68"/>
        <v>10.1122535211268</v>
      </c>
      <c r="E73" s="964">
        <f ca="1" t="shared" si="69"/>
        <v>13.9627464788732</v>
      </c>
      <c r="F73" s="965">
        <f ca="1" t="shared" ref="F73:H73" si="75">O73/$P$1</f>
        <v>3.88028169014085</v>
      </c>
      <c r="G73" s="965">
        <f ca="1" t="shared" si="75"/>
        <v>5.50704225352113</v>
      </c>
      <c r="H73" s="965">
        <f ca="1" t="shared" si="75"/>
        <v>7.13380281690141</v>
      </c>
      <c r="I73" s="965">
        <f>(VLOOKUP($B$1,'Product Procurement Sheet'!B:I,8,0)*$L$1)/$P$1</f>
        <v>1.97183098591549</v>
      </c>
      <c r="J73" s="965">
        <f>(VLOOKUP($B$1,'Product Procurement Sheet'!B:I,8,0)*$M$1)/$P$1</f>
        <v>3.94366197183099</v>
      </c>
      <c r="K73" s="965">
        <f>(VLOOKUP($B$1,'Product Procurement Sheet'!B:I,8,0)*$N$1)/$P$1</f>
        <v>5.91549295774648</v>
      </c>
      <c r="L73" s="968">
        <f>VLOOKUP($B$1,'Product Procurement Sheet'!B:D,3,FALSE)*$L$1</f>
        <v>0.11</v>
      </c>
      <c r="M73" s="968">
        <f>VLOOKUP($B$1,'Product Procurement Sheet'!B:D,3,FALSE)*$M$1</f>
        <v>0.22</v>
      </c>
      <c r="N73" s="968">
        <f>VLOOKUP($B$1,'Product Procurement Sheet'!B:D,3,FALSE)*$N$1</f>
        <v>0.33</v>
      </c>
      <c r="O73" s="971" cm="1">
        <f ca="1" t="array" ref="O73">(_xlfn.SINGLE(_xlfn.XLOOKUP(1,(INDIRECT($R$1&amp;"!$C:$C")=B73)*(INDIRECT($R$1&amp;"!$G:$G")&lt;L73)*(INDIRECT($R$1&amp;"!$H:$H")&gt;=L73),INDIRECT($R$1&amp;"!$K:$K"))))*L73+(_xlfn.SINGLE(_xlfn.XLOOKUP(1,(INDIRECT($R$1&amp;"!$C:$C")=B73)*(INDIRECT($R$1&amp;"!$G:$G")&lt;L73)*(INDIRECT($R$1&amp;"!$H:$H")&gt;=L73),INDIRECT($R$1&amp;"!$L:$L"))))</f>
        <v>27.55</v>
      </c>
      <c r="P73" s="971" cm="1">
        <f ca="1" t="array" ref="P73">(_xlfn.SINGLE(_xlfn.XLOOKUP(1,(INDIRECT($R$1&amp;"!$C:$C")=B73)*(INDIRECT($R$1&amp;"!$G:$G")&lt;M73)*(INDIRECT($R$1&amp;"!$H:$H")&gt;=M73),INDIRECT($R$1&amp;"!$K:$K"))))*M73+(_xlfn.SINGLE(_xlfn.XLOOKUP(1,(INDIRECT($R$1&amp;"!$C:$C")=B73)*(INDIRECT($R$1&amp;"!$G:$G")&lt;M73)*(INDIRECT($R$1&amp;"!$H:$H")&gt;=M73),INDIRECT($R$1&amp;"!$L:$L"))))</f>
        <v>39.1</v>
      </c>
      <c r="Q73" s="971" cm="1">
        <f ca="1" t="array" ref="Q73">(_xlfn.SINGLE(_xlfn.XLOOKUP(1,(INDIRECT($R$1&amp;"!$C:$C")=B73)*(INDIRECT($R$1&amp;"!$G:$G")&lt;N73)*(INDIRECT($R$1&amp;"!$H:$H")&gt;=N73),INDIRECT($R$1&amp;"!$K:$K"))))*N73+(_xlfn.SINGLE(_xlfn.XLOOKUP(1,(INDIRECT($R$1&amp;"!$C:$C")=B73)*(INDIRECT($R$1&amp;"!$G:$G")&lt;N73)*(INDIRECT($R$1&amp;"!$H:$H")&gt;=N73),INDIRECT($R$1&amp;"!$L:$L"))))</f>
        <v>50.65</v>
      </c>
      <c r="R73" s="955"/>
    </row>
    <row r="74" ht="17.25" spans="1:18">
      <c r="A74" s="963" t="s">
        <v>164</v>
      </c>
      <c r="B74" s="963" t="s">
        <v>165</v>
      </c>
      <c r="C74" s="964" t="e">
        <f ca="1" t="shared" si="67"/>
        <v>#N/A</v>
      </c>
      <c r="D74" s="964" t="e">
        <f ca="1" t="shared" si="68"/>
        <v>#N/A</v>
      </c>
      <c r="E74" s="964" t="e">
        <f ca="1" t="shared" si="69"/>
        <v>#N/A</v>
      </c>
      <c r="F74" s="965" t="e">
        <f ca="1" t="shared" ref="F74:H74" si="76">O74/$P$1</f>
        <v>#N/A</v>
      </c>
      <c r="G74" s="965" t="e">
        <f ca="1" t="shared" si="76"/>
        <v>#N/A</v>
      </c>
      <c r="H74" s="965" t="e">
        <f ca="1" t="shared" si="76"/>
        <v>#N/A</v>
      </c>
      <c r="I74" s="965">
        <f>(VLOOKUP($B$1,'Product Procurement Sheet'!B:I,8,0)*$L$1)/$P$1</f>
        <v>1.97183098591549</v>
      </c>
      <c r="J74" s="965">
        <f>(VLOOKUP($B$1,'Product Procurement Sheet'!B:I,8,0)*$M$1)/$P$1</f>
        <v>3.94366197183099</v>
      </c>
      <c r="K74" s="965">
        <f>(VLOOKUP($B$1,'Product Procurement Sheet'!B:I,8,0)*$N$1)/$P$1</f>
        <v>5.91549295774648</v>
      </c>
      <c r="L74" s="968">
        <f>VLOOKUP($B$1,'Product Procurement Sheet'!B:D,3,FALSE)*$L$1</f>
        <v>0.11</v>
      </c>
      <c r="M74" s="968">
        <f>VLOOKUP($B$1,'Product Procurement Sheet'!B:D,3,FALSE)*$M$1</f>
        <v>0.22</v>
      </c>
      <c r="N74" s="968">
        <f>VLOOKUP($B$1,'Product Procurement Sheet'!B:D,3,FALSE)*$N$1</f>
        <v>0.33</v>
      </c>
      <c r="O74" s="971" t="e" cm="1">
        <f ca="1" t="array" ref="O74">(_xlfn.SINGLE(_xlfn.XLOOKUP(1,(INDIRECT($R$1&amp;"!$C:$C")=B74)*(INDIRECT($R$1&amp;"!$G:$G")&lt;L74)*(INDIRECT($R$1&amp;"!$H:$H")&gt;=L74),INDIRECT($R$1&amp;"!$K:$K"))))*L74+(_xlfn.SINGLE(_xlfn.XLOOKUP(1,(INDIRECT($R$1&amp;"!$C:$C")=B74)*(INDIRECT($R$1&amp;"!$G:$G")&lt;L74)*(INDIRECT($R$1&amp;"!$H:$H")&gt;=L74),INDIRECT($R$1&amp;"!$L:$L"))))</f>
        <v>#N/A</v>
      </c>
      <c r="P74" s="971" t="e" cm="1">
        <f ca="1" t="array" ref="P74">(_xlfn.SINGLE(_xlfn.XLOOKUP(1,(INDIRECT($R$1&amp;"!$C:$C")=B74)*(INDIRECT($R$1&amp;"!$G:$G")&lt;M74)*(INDIRECT($R$1&amp;"!$H:$H")&gt;=M74),INDIRECT($R$1&amp;"!$K:$K"))))*M74+(_xlfn.SINGLE(_xlfn.XLOOKUP(1,(INDIRECT($R$1&amp;"!$C:$C")=B74)*(INDIRECT($R$1&amp;"!$G:$G")&lt;M74)*(INDIRECT($R$1&amp;"!$H:$H")&gt;=M74),INDIRECT($R$1&amp;"!$L:$L"))))</f>
        <v>#N/A</v>
      </c>
      <c r="Q74" s="971" t="e" cm="1">
        <f ca="1" t="array" ref="Q74">(_xlfn.SINGLE(_xlfn.XLOOKUP(1,(INDIRECT($R$1&amp;"!$C:$C")=B74)*(INDIRECT($R$1&amp;"!$G:$G")&lt;N74)*(INDIRECT($R$1&amp;"!$H:$H")&gt;=N74),INDIRECT($R$1&amp;"!$K:$K"))))*N74+(_xlfn.SINGLE(_xlfn.XLOOKUP(1,(INDIRECT($R$1&amp;"!$C:$C")=B74)*(INDIRECT($R$1&amp;"!$G:$G")&lt;N74)*(INDIRECT($R$1&amp;"!$H:$H")&gt;=N74),INDIRECT($R$1&amp;"!$L:$L"))))</f>
        <v>#N/A</v>
      </c>
      <c r="R74" s="955"/>
    </row>
    <row r="75" ht="17.25" spans="1:18">
      <c r="A75" s="963" t="s">
        <v>166</v>
      </c>
      <c r="B75" s="963" t="s">
        <v>167</v>
      </c>
      <c r="C75" s="964" t="e">
        <f ca="1" t="shared" si="67"/>
        <v>#N/A</v>
      </c>
      <c r="D75" s="964" t="e">
        <f ca="1" t="shared" si="68"/>
        <v>#N/A</v>
      </c>
      <c r="E75" s="964" t="e">
        <f ca="1" t="shared" si="69"/>
        <v>#N/A</v>
      </c>
      <c r="F75" s="965" t="e">
        <f ca="1" t="shared" ref="F75:H75" si="77">O75/$P$1</f>
        <v>#N/A</v>
      </c>
      <c r="G75" s="965" t="e">
        <f ca="1" t="shared" si="77"/>
        <v>#N/A</v>
      </c>
      <c r="H75" s="965" t="e">
        <f ca="1" t="shared" si="77"/>
        <v>#N/A</v>
      </c>
      <c r="I75" s="965">
        <f>(VLOOKUP($B$1,'Product Procurement Sheet'!B:I,8,0)*$L$1)/$P$1</f>
        <v>1.97183098591549</v>
      </c>
      <c r="J75" s="965">
        <f>(VLOOKUP($B$1,'Product Procurement Sheet'!B:I,8,0)*$M$1)/$P$1</f>
        <v>3.94366197183099</v>
      </c>
      <c r="K75" s="965">
        <f>(VLOOKUP($B$1,'Product Procurement Sheet'!B:I,8,0)*$N$1)/$P$1</f>
        <v>5.91549295774648</v>
      </c>
      <c r="L75" s="968">
        <f>VLOOKUP($B$1,'Product Procurement Sheet'!B:D,3,FALSE)*$L$1</f>
        <v>0.11</v>
      </c>
      <c r="M75" s="968">
        <f>VLOOKUP($B$1,'Product Procurement Sheet'!B:D,3,FALSE)*$M$1</f>
        <v>0.22</v>
      </c>
      <c r="N75" s="968">
        <f>VLOOKUP($B$1,'Product Procurement Sheet'!B:D,3,FALSE)*$N$1</f>
        <v>0.33</v>
      </c>
      <c r="O75" s="971" t="e" cm="1">
        <f ca="1" t="array" ref="O75">(_xlfn.SINGLE(_xlfn.XLOOKUP(1,(INDIRECT($R$1&amp;"!$C:$C")=B75)*(INDIRECT($R$1&amp;"!$G:$G")&lt;L75)*(INDIRECT($R$1&amp;"!$H:$H")&gt;=L75),INDIRECT($R$1&amp;"!$K:$K"))))*L75+(_xlfn.SINGLE(_xlfn.XLOOKUP(1,(INDIRECT($R$1&amp;"!$C:$C")=B75)*(INDIRECT($R$1&amp;"!$G:$G")&lt;L75)*(INDIRECT($R$1&amp;"!$H:$H")&gt;=L75),INDIRECT($R$1&amp;"!$L:$L"))))</f>
        <v>#N/A</v>
      </c>
      <c r="P75" s="971" t="e" cm="1">
        <f ca="1" t="array" ref="P75">(_xlfn.SINGLE(_xlfn.XLOOKUP(1,(INDIRECT($R$1&amp;"!$C:$C")=B75)*(INDIRECT($R$1&amp;"!$G:$G")&lt;M75)*(INDIRECT($R$1&amp;"!$H:$H")&gt;=M75),INDIRECT($R$1&amp;"!$K:$K"))))*M75+(_xlfn.SINGLE(_xlfn.XLOOKUP(1,(INDIRECT($R$1&amp;"!$C:$C")=B75)*(INDIRECT($R$1&amp;"!$G:$G")&lt;M75)*(INDIRECT($R$1&amp;"!$H:$H")&gt;=M75),INDIRECT($R$1&amp;"!$L:$L"))))</f>
        <v>#N/A</v>
      </c>
      <c r="Q75" s="971" t="e" cm="1">
        <f ca="1" t="array" ref="Q75">(_xlfn.SINGLE(_xlfn.XLOOKUP(1,(INDIRECT($R$1&amp;"!$C:$C")=B75)*(INDIRECT($R$1&amp;"!$G:$G")&lt;N75)*(INDIRECT($R$1&amp;"!$H:$H")&gt;=N75),INDIRECT($R$1&amp;"!$K:$K"))))*N75+(_xlfn.SINGLE(_xlfn.XLOOKUP(1,(INDIRECT($R$1&amp;"!$C:$C")=B75)*(INDIRECT($R$1&amp;"!$G:$G")&lt;N75)*(INDIRECT($R$1&amp;"!$H:$H")&gt;=N75),INDIRECT($R$1&amp;"!$L:$L"))))</f>
        <v>#N/A</v>
      </c>
      <c r="R75" s="955"/>
    </row>
    <row r="76" ht="17.25" spans="1:18">
      <c r="A76" s="963" t="s">
        <v>168</v>
      </c>
      <c r="B76" s="963" t="s">
        <v>169</v>
      </c>
      <c r="C76" s="964">
        <f ca="1" t="shared" si="67"/>
        <v>5.32739436619718</v>
      </c>
      <c r="D76" s="964">
        <f ca="1" t="shared" si="68"/>
        <v>8.84633802816902</v>
      </c>
      <c r="E76" s="964">
        <f ca="1" t="shared" si="69"/>
        <v>12.3652816901408</v>
      </c>
      <c r="F76" s="965">
        <f ca="1" t="shared" ref="F76:H76" si="78">O76/$P$1</f>
        <v>3.00704225352113</v>
      </c>
      <c r="G76" s="965">
        <f ca="1" t="shared" si="78"/>
        <v>4.32394366197183</v>
      </c>
      <c r="H76" s="965">
        <f ca="1" t="shared" si="78"/>
        <v>5.64084507042254</v>
      </c>
      <c r="I76" s="965">
        <f>(VLOOKUP($B$1,'Product Procurement Sheet'!B:I,8,0)*$L$1)/$P$1</f>
        <v>1.97183098591549</v>
      </c>
      <c r="J76" s="965">
        <f>(VLOOKUP($B$1,'Product Procurement Sheet'!B:I,8,0)*$M$1)/$P$1</f>
        <v>3.94366197183099</v>
      </c>
      <c r="K76" s="965">
        <f>(VLOOKUP($B$1,'Product Procurement Sheet'!B:I,8,0)*$N$1)/$P$1</f>
        <v>5.91549295774648</v>
      </c>
      <c r="L76" s="968">
        <f>VLOOKUP($B$1,'Product Procurement Sheet'!B:D,3,FALSE)*$L$1</f>
        <v>0.11</v>
      </c>
      <c r="M76" s="968">
        <f>VLOOKUP($B$1,'Product Procurement Sheet'!B:D,3,FALSE)*$M$1</f>
        <v>0.22</v>
      </c>
      <c r="N76" s="968">
        <f>VLOOKUP($B$1,'Product Procurement Sheet'!B:D,3,FALSE)*$N$1</f>
        <v>0.33</v>
      </c>
      <c r="O76" s="971" cm="1">
        <f ca="1" t="array" ref="O76">(_xlfn.SINGLE(_xlfn.XLOOKUP(1,(INDIRECT($R$1&amp;"!$C:$C")=B76)*(INDIRECT($R$1&amp;"!$G:$G")&lt;L76)*(INDIRECT($R$1&amp;"!$H:$H")&gt;=L76),INDIRECT($R$1&amp;"!$K:$K"))))*L76+(_xlfn.SINGLE(_xlfn.XLOOKUP(1,(INDIRECT($R$1&amp;"!$C:$C")=B76)*(INDIRECT($R$1&amp;"!$G:$G")&lt;L76)*(INDIRECT($R$1&amp;"!$H:$H")&gt;=L76),INDIRECT($R$1&amp;"!$L:$L"))))</f>
        <v>21.35</v>
      </c>
      <c r="P76" s="971" cm="1">
        <f ca="1" t="array" ref="P76">(_xlfn.SINGLE(_xlfn.XLOOKUP(1,(INDIRECT($R$1&amp;"!$C:$C")=B76)*(INDIRECT($R$1&amp;"!$G:$G")&lt;M76)*(INDIRECT($R$1&amp;"!$H:$H")&gt;=M76),INDIRECT($R$1&amp;"!$K:$K"))))*M76+(_xlfn.SINGLE(_xlfn.XLOOKUP(1,(INDIRECT($R$1&amp;"!$C:$C")=B76)*(INDIRECT($R$1&amp;"!$G:$G")&lt;M76)*(INDIRECT($R$1&amp;"!$H:$H")&gt;=M76),INDIRECT($R$1&amp;"!$L:$L"))))</f>
        <v>30.7</v>
      </c>
      <c r="Q76" s="971" cm="1">
        <f ca="1" t="array" ref="Q76">(_xlfn.SINGLE(_xlfn.XLOOKUP(1,(INDIRECT($R$1&amp;"!$C:$C")=B76)*(INDIRECT($R$1&amp;"!$G:$G")&lt;N76)*(INDIRECT($R$1&amp;"!$H:$H")&gt;=N76),INDIRECT($R$1&amp;"!$K:$K"))))*N76+(_xlfn.SINGLE(_xlfn.XLOOKUP(1,(INDIRECT($R$1&amp;"!$C:$C")=B76)*(INDIRECT($R$1&amp;"!$G:$G")&lt;N76)*(INDIRECT($R$1&amp;"!$H:$H")&gt;=N76),INDIRECT($R$1&amp;"!$L:$L"))))</f>
        <v>40.05</v>
      </c>
      <c r="R76" s="955"/>
    </row>
    <row r="77" ht="17.25" spans="1:18">
      <c r="A77" s="963" t="s">
        <v>170</v>
      </c>
      <c r="B77" s="963" t="s">
        <v>171</v>
      </c>
      <c r="C77" s="964">
        <f ca="1" t="shared" si="67"/>
        <v>4.03133802816901</v>
      </c>
      <c r="D77" s="964">
        <f ca="1" t="shared" si="68"/>
        <v>6.55563380281691</v>
      </c>
      <c r="E77" s="964">
        <f ca="1" t="shared" si="69"/>
        <v>9.07992957746479</v>
      </c>
      <c r="F77" s="965">
        <f ca="1" t="shared" ref="F77:H77" si="79">O77/$P$1</f>
        <v>1.79577464788732</v>
      </c>
      <c r="G77" s="965">
        <f ca="1" t="shared" si="79"/>
        <v>2.1830985915493</v>
      </c>
      <c r="H77" s="965">
        <f ca="1" t="shared" si="79"/>
        <v>2.57042253521127</v>
      </c>
      <c r="I77" s="965">
        <f>(VLOOKUP($B$1,'Product Procurement Sheet'!B:I,8,0)*$L$1)/$P$1</f>
        <v>1.97183098591549</v>
      </c>
      <c r="J77" s="965">
        <f>(VLOOKUP($B$1,'Product Procurement Sheet'!B:I,8,0)*$M$1)/$P$1</f>
        <v>3.94366197183099</v>
      </c>
      <c r="K77" s="965">
        <f>(VLOOKUP($B$1,'Product Procurement Sheet'!B:I,8,0)*$N$1)/$P$1</f>
        <v>5.91549295774648</v>
      </c>
      <c r="L77" s="968">
        <f>VLOOKUP($B$1,'Product Procurement Sheet'!B:D,3,FALSE)*$L$1</f>
        <v>0.11</v>
      </c>
      <c r="M77" s="968">
        <f>VLOOKUP($B$1,'Product Procurement Sheet'!B:D,3,FALSE)*$M$1</f>
        <v>0.22</v>
      </c>
      <c r="N77" s="968">
        <f>VLOOKUP($B$1,'Product Procurement Sheet'!B:D,3,FALSE)*$N$1</f>
        <v>0.33</v>
      </c>
      <c r="O77" s="971" cm="1">
        <f ca="1" t="array" ref="O77">(_xlfn.SINGLE(_xlfn.XLOOKUP(1,(INDIRECT($R$1&amp;"!$C:$C")=B77)*(INDIRECT($R$1&amp;"!$G:$G")&lt;L77)*(INDIRECT($R$1&amp;"!$H:$H")&gt;=L77),INDIRECT($R$1&amp;"!$K:$K"))))*L77+(_xlfn.SINGLE(_xlfn.XLOOKUP(1,(INDIRECT($R$1&amp;"!$C:$C")=B77)*(INDIRECT($R$1&amp;"!$G:$G")&lt;L77)*(INDIRECT($R$1&amp;"!$H:$H")&gt;=L77),INDIRECT($R$1&amp;"!$L:$L"))))</f>
        <v>12.75</v>
      </c>
      <c r="P77" s="971" cm="1">
        <f ca="1" t="array" ref="P77">(_xlfn.SINGLE(_xlfn.XLOOKUP(1,(INDIRECT($R$1&amp;"!$C:$C")=B77)*(INDIRECT($R$1&amp;"!$G:$G")&lt;M77)*(INDIRECT($R$1&amp;"!$H:$H")&gt;=M77),INDIRECT($R$1&amp;"!$K:$K"))))*M77+(_xlfn.SINGLE(_xlfn.XLOOKUP(1,(INDIRECT($R$1&amp;"!$C:$C")=B77)*(INDIRECT($R$1&amp;"!$G:$G")&lt;M77)*(INDIRECT($R$1&amp;"!$H:$H")&gt;=M77),INDIRECT($R$1&amp;"!$L:$L"))))</f>
        <v>15.5</v>
      </c>
      <c r="Q77" s="971" cm="1">
        <f ca="1" t="array" ref="Q77">(_xlfn.SINGLE(_xlfn.XLOOKUP(1,(INDIRECT($R$1&amp;"!$C:$C")=B77)*(INDIRECT($R$1&amp;"!$G:$G")&lt;N77)*(INDIRECT($R$1&amp;"!$H:$H")&gt;=N77),INDIRECT($R$1&amp;"!$K:$K"))))*N77+(_xlfn.SINGLE(_xlfn.XLOOKUP(1,(INDIRECT($R$1&amp;"!$C:$C")=B77)*(INDIRECT($R$1&amp;"!$G:$G")&lt;N77)*(INDIRECT($R$1&amp;"!$H:$H")&gt;=N77),INDIRECT($R$1&amp;"!$L:$L"))))</f>
        <v>18.25</v>
      </c>
      <c r="R77" s="955"/>
    </row>
    <row r="78" ht="17.25" spans="1:18">
      <c r="A78" s="963" t="s">
        <v>172</v>
      </c>
      <c r="B78" s="963" t="s">
        <v>173</v>
      </c>
      <c r="C78" s="964">
        <f ca="1" t="shared" si="67"/>
        <v>5.38767605633803</v>
      </c>
      <c r="D78" s="964">
        <f ca="1" t="shared" si="68"/>
        <v>9.56971830985916</v>
      </c>
      <c r="E78" s="964">
        <f ca="1" t="shared" si="69"/>
        <v>13.7517605633803</v>
      </c>
      <c r="F78" s="965">
        <f ca="1" t="shared" ref="F78:H78" si="80">O78/$P$1</f>
        <v>3.06338028169014</v>
      </c>
      <c r="G78" s="965">
        <f ca="1" t="shared" si="80"/>
        <v>5</v>
      </c>
      <c r="H78" s="965">
        <f ca="1" t="shared" si="80"/>
        <v>6.93661971830986</v>
      </c>
      <c r="I78" s="965">
        <f>(VLOOKUP($B$1,'Product Procurement Sheet'!B:I,8,0)*$L$1)/$P$1</f>
        <v>1.97183098591549</v>
      </c>
      <c r="J78" s="965">
        <f>(VLOOKUP($B$1,'Product Procurement Sheet'!B:I,8,0)*$M$1)/$P$1</f>
        <v>3.94366197183099</v>
      </c>
      <c r="K78" s="965">
        <f>(VLOOKUP($B$1,'Product Procurement Sheet'!B:I,8,0)*$N$1)/$P$1</f>
        <v>5.91549295774648</v>
      </c>
      <c r="L78" s="968">
        <f>VLOOKUP($B$1,'Product Procurement Sheet'!B:D,3,FALSE)*$L$1</f>
        <v>0.11</v>
      </c>
      <c r="M78" s="968">
        <f>VLOOKUP($B$1,'Product Procurement Sheet'!B:D,3,FALSE)*$M$1</f>
        <v>0.22</v>
      </c>
      <c r="N78" s="968">
        <f>VLOOKUP($B$1,'Product Procurement Sheet'!B:D,3,FALSE)*$N$1</f>
        <v>0.33</v>
      </c>
      <c r="O78" s="971" cm="1">
        <f ca="1" t="array" ref="O78">(_xlfn.SINGLE(_xlfn.XLOOKUP(1,(INDIRECT($R$1&amp;"!$C:$C")=B78)*(INDIRECT($R$1&amp;"!$G:$G")&lt;L78)*(INDIRECT($R$1&amp;"!$H:$H")&gt;=L78),INDIRECT($R$1&amp;"!$K:$K"))))*L78+(_xlfn.SINGLE(_xlfn.XLOOKUP(1,(INDIRECT($R$1&amp;"!$C:$C")=B78)*(INDIRECT($R$1&amp;"!$G:$G")&lt;L78)*(INDIRECT($R$1&amp;"!$H:$H")&gt;=L78),INDIRECT($R$1&amp;"!$L:$L"))))</f>
        <v>21.75</v>
      </c>
      <c r="P78" s="971" cm="1">
        <f ca="1" t="array" ref="P78">(_xlfn.SINGLE(_xlfn.XLOOKUP(1,(INDIRECT($R$1&amp;"!$C:$C")=B78)*(INDIRECT($R$1&amp;"!$G:$G")&lt;M78)*(INDIRECT($R$1&amp;"!$H:$H")&gt;=M78),INDIRECT($R$1&amp;"!$K:$K"))))*M78+(_xlfn.SINGLE(_xlfn.XLOOKUP(1,(INDIRECT($R$1&amp;"!$C:$C")=B78)*(INDIRECT($R$1&amp;"!$G:$G")&lt;M78)*(INDIRECT($R$1&amp;"!$H:$H")&gt;=M78),INDIRECT($R$1&amp;"!$L:$L"))))</f>
        <v>35.5</v>
      </c>
      <c r="Q78" s="971" cm="1">
        <f ca="1" t="array" ref="Q78">(_xlfn.SINGLE(_xlfn.XLOOKUP(1,(INDIRECT($R$1&amp;"!$C:$C")=B78)*(INDIRECT($R$1&amp;"!$G:$G")&lt;N78)*(INDIRECT($R$1&amp;"!$H:$H")&gt;=N78),INDIRECT($R$1&amp;"!$K:$K"))))*N78+(_xlfn.SINGLE(_xlfn.XLOOKUP(1,(INDIRECT($R$1&amp;"!$C:$C")=B78)*(INDIRECT($R$1&amp;"!$G:$G")&lt;N78)*(INDIRECT($R$1&amp;"!$H:$H")&gt;=N78),INDIRECT($R$1&amp;"!$L:$L"))))</f>
        <v>49.25</v>
      </c>
      <c r="R78" s="955"/>
    </row>
    <row r="79" ht="17.25" spans="1:18">
      <c r="A79" s="963" t="s">
        <v>174</v>
      </c>
      <c r="B79" s="963" t="s">
        <v>175</v>
      </c>
      <c r="C79" s="964">
        <f ca="1" t="shared" si="67"/>
        <v>6.56316901408451</v>
      </c>
      <c r="D79" s="964">
        <f ca="1" t="shared" si="68"/>
        <v>10.413661971831</v>
      </c>
      <c r="E79" s="964">
        <f ca="1" t="shared" si="69"/>
        <v>14.2641549295775</v>
      </c>
      <c r="F79" s="965">
        <f ca="1" t="shared" ref="F79:H79" si="81">O79/$P$1</f>
        <v>4.16197183098592</v>
      </c>
      <c r="G79" s="965">
        <f ca="1" t="shared" si="81"/>
        <v>5.7887323943662</v>
      </c>
      <c r="H79" s="965">
        <f ca="1" t="shared" si="81"/>
        <v>7.41549295774648</v>
      </c>
      <c r="I79" s="965">
        <f>(VLOOKUP($B$1,'Product Procurement Sheet'!B:I,8,0)*$L$1)/$P$1</f>
        <v>1.97183098591549</v>
      </c>
      <c r="J79" s="965">
        <f>(VLOOKUP($B$1,'Product Procurement Sheet'!B:I,8,0)*$M$1)/$P$1</f>
        <v>3.94366197183099</v>
      </c>
      <c r="K79" s="965">
        <f>(VLOOKUP($B$1,'Product Procurement Sheet'!B:I,8,0)*$N$1)/$P$1</f>
        <v>5.91549295774648</v>
      </c>
      <c r="L79" s="968">
        <f>VLOOKUP($B$1,'Product Procurement Sheet'!B:D,3,FALSE)*$L$1</f>
        <v>0.11</v>
      </c>
      <c r="M79" s="968">
        <f>VLOOKUP($B$1,'Product Procurement Sheet'!B:D,3,FALSE)*$M$1</f>
        <v>0.22</v>
      </c>
      <c r="N79" s="968">
        <f>VLOOKUP($B$1,'Product Procurement Sheet'!B:D,3,FALSE)*$N$1</f>
        <v>0.33</v>
      </c>
      <c r="O79" s="971" cm="1">
        <f ca="1" t="array" ref="O79">(_xlfn.SINGLE(_xlfn.XLOOKUP(1,(INDIRECT($R$1&amp;"!$C:$C")=B79)*(INDIRECT($R$1&amp;"!$G:$G")&lt;L79)*(INDIRECT($R$1&amp;"!$H:$H")&gt;=L79),INDIRECT($R$1&amp;"!$K:$K"))))*L79+(_xlfn.SINGLE(_xlfn.XLOOKUP(1,(INDIRECT($R$1&amp;"!$C:$C")=B79)*(INDIRECT($R$1&amp;"!$G:$G")&lt;L79)*(INDIRECT($R$1&amp;"!$H:$H")&gt;=L79),INDIRECT($R$1&amp;"!$L:$L"))))</f>
        <v>29.55</v>
      </c>
      <c r="P79" s="971" cm="1">
        <f ca="1" t="array" ref="P79">(_xlfn.SINGLE(_xlfn.XLOOKUP(1,(INDIRECT($R$1&amp;"!$C:$C")=B79)*(INDIRECT($R$1&amp;"!$G:$G")&lt;M79)*(INDIRECT($R$1&amp;"!$H:$H")&gt;=M79),INDIRECT($R$1&amp;"!$K:$K"))))*M79+(_xlfn.SINGLE(_xlfn.XLOOKUP(1,(INDIRECT($R$1&amp;"!$C:$C")=B79)*(INDIRECT($R$1&amp;"!$G:$G")&lt;M79)*(INDIRECT($R$1&amp;"!$H:$H")&gt;=M79),INDIRECT($R$1&amp;"!$L:$L"))))</f>
        <v>41.1</v>
      </c>
      <c r="Q79" s="971" cm="1">
        <f ca="1" t="array" ref="Q79">(_xlfn.SINGLE(_xlfn.XLOOKUP(1,(INDIRECT($R$1&amp;"!$C:$C")=B79)*(INDIRECT($R$1&amp;"!$G:$G")&lt;N79)*(INDIRECT($R$1&amp;"!$H:$H")&gt;=N79),INDIRECT($R$1&amp;"!$K:$K"))))*N79+(_xlfn.SINGLE(_xlfn.XLOOKUP(1,(INDIRECT($R$1&amp;"!$C:$C")=B79)*(INDIRECT($R$1&amp;"!$G:$G")&lt;N79)*(INDIRECT($R$1&amp;"!$H:$H")&gt;=N79),INDIRECT($R$1&amp;"!$L:$L"))))</f>
        <v>52.65</v>
      </c>
      <c r="R79" s="955"/>
    </row>
    <row r="80" ht="17.25" spans="1:18">
      <c r="A80" s="963" t="s">
        <v>176</v>
      </c>
      <c r="B80" s="963" t="s">
        <v>177</v>
      </c>
      <c r="C80" s="964">
        <f ca="1" t="shared" si="67"/>
        <v>5.70415492957746</v>
      </c>
      <c r="D80" s="964">
        <f ca="1" t="shared" si="68"/>
        <v>8.39422535211268</v>
      </c>
      <c r="E80" s="964">
        <f ca="1" t="shared" si="69"/>
        <v>11.0842957746479</v>
      </c>
      <c r="F80" s="965">
        <f ca="1" t="shared" ref="F80:H80" si="82">O80/$P$1</f>
        <v>3.35915492957746</v>
      </c>
      <c r="G80" s="965">
        <f ca="1" t="shared" si="82"/>
        <v>3.90140845070423</v>
      </c>
      <c r="H80" s="965">
        <f ca="1" t="shared" si="82"/>
        <v>4.44366197183099</v>
      </c>
      <c r="I80" s="965">
        <f>(VLOOKUP($B$1,'Product Procurement Sheet'!B:I,8,0)*$L$1)/$P$1</f>
        <v>1.97183098591549</v>
      </c>
      <c r="J80" s="965">
        <f>(VLOOKUP($B$1,'Product Procurement Sheet'!B:I,8,0)*$M$1)/$P$1</f>
        <v>3.94366197183099</v>
      </c>
      <c r="K80" s="965">
        <f>(VLOOKUP($B$1,'Product Procurement Sheet'!B:I,8,0)*$N$1)/$P$1</f>
        <v>5.91549295774648</v>
      </c>
      <c r="L80" s="968">
        <f>VLOOKUP($B$1,'Product Procurement Sheet'!B:D,3,FALSE)*$L$1</f>
        <v>0.11</v>
      </c>
      <c r="M80" s="968">
        <f>VLOOKUP($B$1,'Product Procurement Sheet'!B:D,3,FALSE)*$M$1</f>
        <v>0.22</v>
      </c>
      <c r="N80" s="968">
        <f>VLOOKUP($B$1,'Product Procurement Sheet'!B:D,3,FALSE)*$N$1</f>
        <v>0.33</v>
      </c>
      <c r="O80" s="971" cm="1">
        <f ca="1" t="array" ref="O80">(_xlfn.SINGLE(_xlfn.XLOOKUP(1,(INDIRECT($R$1&amp;"!$C:$C")=B80)*(INDIRECT($R$1&amp;"!$G:$G")&lt;L80)*(INDIRECT($R$1&amp;"!$H:$H")&gt;=L80),INDIRECT($R$1&amp;"!$K:$K"))))*L80+(_xlfn.SINGLE(_xlfn.XLOOKUP(1,(INDIRECT($R$1&amp;"!$C:$C")=B80)*(INDIRECT($R$1&amp;"!$G:$G")&lt;L80)*(INDIRECT($R$1&amp;"!$H:$H")&gt;=L80),INDIRECT($R$1&amp;"!$L:$L"))))</f>
        <v>23.85</v>
      </c>
      <c r="P80" s="971" cm="1">
        <f ca="1" t="array" ref="P80">(_xlfn.SINGLE(_xlfn.XLOOKUP(1,(INDIRECT($R$1&amp;"!$C:$C")=B80)*(INDIRECT($R$1&amp;"!$G:$G")&lt;M80)*(INDIRECT($R$1&amp;"!$H:$H")&gt;=M80),INDIRECT($R$1&amp;"!$K:$K"))))*M80+(_xlfn.SINGLE(_xlfn.XLOOKUP(1,(INDIRECT($R$1&amp;"!$C:$C")=B80)*(INDIRECT($R$1&amp;"!$G:$G")&lt;M80)*(INDIRECT($R$1&amp;"!$H:$H")&gt;=M80),INDIRECT($R$1&amp;"!$L:$L"))))</f>
        <v>27.7</v>
      </c>
      <c r="Q80" s="971" cm="1">
        <f ca="1" t="array" ref="Q80">(_xlfn.SINGLE(_xlfn.XLOOKUP(1,(INDIRECT($R$1&amp;"!$C:$C")=B80)*(INDIRECT($R$1&amp;"!$G:$G")&lt;N80)*(INDIRECT($R$1&amp;"!$H:$H")&gt;=N80),INDIRECT($R$1&amp;"!$K:$K"))))*N80+(_xlfn.SINGLE(_xlfn.XLOOKUP(1,(INDIRECT($R$1&amp;"!$C:$C")=B80)*(INDIRECT($R$1&amp;"!$G:$G")&lt;N80)*(INDIRECT($R$1&amp;"!$H:$H")&gt;=N80),INDIRECT($R$1&amp;"!$L:$L"))))</f>
        <v>31.55</v>
      </c>
      <c r="R80" s="955"/>
    </row>
    <row r="81" ht="17.25" spans="1:18">
      <c r="A81" s="963" t="s">
        <v>178</v>
      </c>
      <c r="B81" s="963" t="s">
        <v>179</v>
      </c>
      <c r="C81" s="964">
        <f ca="1" t="shared" si="67"/>
        <v>4.48345070422535</v>
      </c>
      <c r="D81" s="964">
        <f ca="1" t="shared" si="68"/>
        <v>7.00774647887324</v>
      </c>
      <c r="E81" s="964">
        <f ca="1" t="shared" si="69"/>
        <v>9.53204225352113</v>
      </c>
      <c r="F81" s="965">
        <f ca="1" t="shared" ref="F81:H81" si="83">O81/$P$1</f>
        <v>2.21830985915493</v>
      </c>
      <c r="G81" s="965">
        <f ca="1" t="shared" si="83"/>
        <v>2.6056338028169</v>
      </c>
      <c r="H81" s="965">
        <f ca="1" t="shared" si="83"/>
        <v>2.99295774647887</v>
      </c>
      <c r="I81" s="965">
        <f>(VLOOKUP($B$1,'Product Procurement Sheet'!B:I,8,0)*$L$1)/$P$1</f>
        <v>1.97183098591549</v>
      </c>
      <c r="J81" s="965">
        <f>(VLOOKUP($B$1,'Product Procurement Sheet'!B:I,8,0)*$M$1)/$P$1</f>
        <v>3.94366197183099</v>
      </c>
      <c r="K81" s="965">
        <f>(VLOOKUP($B$1,'Product Procurement Sheet'!B:I,8,0)*$N$1)/$P$1</f>
        <v>5.91549295774648</v>
      </c>
      <c r="L81" s="968">
        <f>VLOOKUP($B$1,'Product Procurement Sheet'!B:D,3,FALSE)*$L$1</f>
        <v>0.11</v>
      </c>
      <c r="M81" s="968">
        <f>VLOOKUP($B$1,'Product Procurement Sheet'!B:D,3,FALSE)*$M$1</f>
        <v>0.22</v>
      </c>
      <c r="N81" s="968">
        <f>VLOOKUP($B$1,'Product Procurement Sheet'!B:D,3,FALSE)*$N$1</f>
        <v>0.33</v>
      </c>
      <c r="O81" s="971" cm="1">
        <f ca="1" t="array" ref="O81">(_xlfn.SINGLE(_xlfn.XLOOKUP(1,(INDIRECT($R$1&amp;"!$C:$C")=B81)*(INDIRECT($R$1&amp;"!$G:$G")&lt;L81)*(INDIRECT($R$1&amp;"!$H:$H")&gt;=L81),INDIRECT($R$1&amp;"!$K:$K"))))*L81+(_xlfn.SINGLE(_xlfn.XLOOKUP(1,(INDIRECT($R$1&amp;"!$C:$C")=B81)*(INDIRECT($R$1&amp;"!$G:$G")&lt;L81)*(INDIRECT($R$1&amp;"!$H:$H")&gt;=L81),INDIRECT($R$1&amp;"!$L:$L"))))</f>
        <v>15.75</v>
      </c>
      <c r="P81" s="971" cm="1">
        <f ca="1" t="array" ref="P81">(_xlfn.SINGLE(_xlfn.XLOOKUP(1,(INDIRECT($R$1&amp;"!$C:$C")=B81)*(INDIRECT($R$1&amp;"!$G:$G")&lt;M81)*(INDIRECT($R$1&amp;"!$H:$H")&gt;=M81),INDIRECT($R$1&amp;"!$K:$K"))))*M81+(_xlfn.SINGLE(_xlfn.XLOOKUP(1,(INDIRECT($R$1&amp;"!$C:$C")=B81)*(INDIRECT($R$1&amp;"!$G:$G")&lt;M81)*(INDIRECT($R$1&amp;"!$H:$H")&gt;=M81),INDIRECT($R$1&amp;"!$L:$L"))))</f>
        <v>18.5</v>
      </c>
      <c r="Q81" s="971" cm="1">
        <f ca="1" t="array" ref="Q81">(_xlfn.SINGLE(_xlfn.XLOOKUP(1,(INDIRECT($R$1&amp;"!$C:$C")=B81)*(INDIRECT($R$1&amp;"!$G:$G")&lt;N81)*(INDIRECT($R$1&amp;"!$H:$H")&gt;=N81),INDIRECT($R$1&amp;"!$K:$K"))))*N81+(_xlfn.SINGLE(_xlfn.XLOOKUP(1,(INDIRECT($R$1&amp;"!$C:$C")=B81)*(INDIRECT($R$1&amp;"!$G:$G")&lt;N81)*(INDIRECT($R$1&amp;"!$H:$H")&gt;=N81),INDIRECT($R$1&amp;"!$L:$L"))))</f>
        <v>21.25</v>
      </c>
      <c r="R81" s="955"/>
    </row>
    <row r="82" ht="17.25" spans="1:18">
      <c r="A82" s="963" t="s">
        <v>180</v>
      </c>
      <c r="B82" s="963" t="s">
        <v>181</v>
      </c>
      <c r="C82" s="964">
        <f ca="1" t="shared" si="67"/>
        <v>5.16161971830986</v>
      </c>
      <c r="D82" s="964">
        <f ca="1" t="shared" si="68"/>
        <v>8.51478873239437</v>
      </c>
      <c r="E82" s="964">
        <f ca="1" t="shared" si="69"/>
        <v>11.8679577464789</v>
      </c>
      <c r="F82" s="965">
        <f ca="1" t="shared" ref="F82:H82" si="84">O82/$P$1</f>
        <v>2.85211267605634</v>
      </c>
      <c r="G82" s="965">
        <f ca="1" t="shared" si="84"/>
        <v>4.01408450704225</v>
      </c>
      <c r="H82" s="965">
        <f ca="1" t="shared" si="84"/>
        <v>5.17605633802817</v>
      </c>
      <c r="I82" s="965">
        <f>(VLOOKUP($B$1,'Product Procurement Sheet'!B:I,8,0)*$L$1)/$P$1</f>
        <v>1.97183098591549</v>
      </c>
      <c r="J82" s="965">
        <f>(VLOOKUP($B$1,'Product Procurement Sheet'!B:I,8,0)*$M$1)/$P$1</f>
        <v>3.94366197183099</v>
      </c>
      <c r="K82" s="965">
        <f>(VLOOKUP($B$1,'Product Procurement Sheet'!B:I,8,0)*$N$1)/$P$1</f>
        <v>5.91549295774648</v>
      </c>
      <c r="L82" s="968">
        <f>VLOOKUP($B$1,'Product Procurement Sheet'!B:D,3,FALSE)*$L$1</f>
        <v>0.11</v>
      </c>
      <c r="M82" s="968">
        <f>VLOOKUP($B$1,'Product Procurement Sheet'!B:D,3,FALSE)*$M$1</f>
        <v>0.22</v>
      </c>
      <c r="N82" s="968">
        <f>VLOOKUP($B$1,'Product Procurement Sheet'!B:D,3,FALSE)*$N$1</f>
        <v>0.33</v>
      </c>
      <c r="O82" s="971" cm="1">
        <f ca="1" t="array" ref="O82">(_xlfn.SINGLE(_xlfn.XLOOKUP(1,(INDIRECT($R$1&amp;"!$C:$C")=B82)*(INDIRECT($R$1&amp;"!$G:$G")&lt;L82)*(INDIRECT($R$1&amp;"!$H:$H")&gt;=L82),INDIRECT($R$1&amp;"!$K:$K"))))*L82+(_xlfn.SINGLE(_xlfn.XLOOKUP(1,(INDIRECT($R$1&amp;"!$C:$C")=B82)*(INDIRECT($R$1&amp;"!$G:$G")&lt;L82)*(INDIRECT($R$1&amp;"!$H:$H")&gt;=L82),INDIRECT($R$1&amp;"!$L:$L"))))</f>
        <v>20.25</v>
      </c>
      <c r="P82" s="971" cm="1">
        <f ca="1" t="array" ref="P82">(_xlfn.SINGLE(_xlfn.XLOOKUP(1,(INDIRECT($R$1&amp;"!$C:$C")=B82)*(INDIRECT($R$1&amp;"!$G:$G")&lt;M82)*(INDIRECT($R$1&amp;"!$H:$H")&gt;=M82),INDIRECT($R$1&amp;"!$K:$K"))))*M82+(_xlfn.SINGLE(_xlfn.XLOOKUP(1,(INDIRECT($R$1&amp;"!$C:$C")=B82)*(INDIRECT($R$1&amp;"!$G:$G")&lt;M82)*(INDIRECT($R$1&amp;"!$H:$H")&gt;=M82),INDIRECT($R$1&amp;"!$L:$L"))))</f>
        <v>28.5</v>
      </c>
      <c r="Q82" s="971" cm="1">
        <f ca="1" t="array" ref="Q82">(_xlfn.SINGLE(_xlfn.XLOOKUP(1,(INDIRECT($R$1&amp;"!$C:$C")=B82)*(INDIRECT($R$1&amp;"!$G:$G")&lt;N82)*(INDIRECT($R$1&amp;"!$H:$H")&gt;=N82),INDIRECT($R$1&amp;"!$K:$K"))))*N82+(_xlfn.SINGLE(_xlfn.XLOOKUP(1,(INDIRECT($R$1&amp;"!$C:$C")=B82)*(INDIRECT($R$1&amp;"!$G:$G")&lt;N82)*(INDIRECT($R$1&amp;"!$H:$H")&gt;=N82),INDIRECT($R$1&amp;"!$L:$L"))))</f>
        <v>36.75</v>
      </c>
      <c r="R82" s="955"/>
    </row>
    <row r="83" ht="17.25" spans="1:18">
      <c r="A83" s="963" t="s">
        <v>182</v>
      </c>
      <c r="B83" s="963" t="s">
        <v>183</v>
      </c>
      <c r="C83" s="964">
        <f ca="1" t="shared" si="67"/>
        <v>4.73964788732394</v>
      </c>
      <c r="D83" s="964">
        <f ca="1" t="shared" si="68"/>
        <v>8.4243661971831</v>
      </c>
      <c r="E83" s="964">
        <f ca="1" t="shared" si="69"/>
        <v>12.1090845070423</v>
      </c>
      <c r="F83" s="965">
        <f ca="1" t="shared" ref="F83:H83" si="85">O83/$P$1</f>
        <v>2.45774647887324</v>
      </c>
      <c r="G83" s="965">
        <f ca="1" t="shared" si="85"/>
        <v>3.92957746478873</v>
      </c>
      <c r="H83" s="965">
        <f ca="1" t="shared" si="85"/>
        <v>5.40140845070423</v>
      </c>
      <c r="I83" s="965">
        <f>(VLOOKUP($B$1,'Product Procurement Sheet'!B:I,8,0)*$L$1)/$P$1</f>
        <v>1.97183098591549</v>
      </c>
      <c r="J83" s="965">
        <f>(VLOOKUP($B$1,'Product Procurement Sheet'!B:I,8,0)*$M$1)/$P$1</f>
        <v>3.94366197183099</v>
      </c>
      <c r="K83" s="965">
        <f>(VLOOKUP($B$1,'Product Procurement Sheet'!B:I,8,0)*$N$1)/$P$1</f>
        <v>5.91549295774648</v>
      </c>
      <c r="L83" s="968">
        <f>VLOOKUP($B$1,'Product Procurement Sheet'!B:D,3,FALSE)*$L$1</f>
        <v>0.11</v>
      </c>
      <c r="M83" s="968">
        <f>VLOOKUP($B$1,'Product Procurement Sheet'!B:D,3,FALSE)*$M$1</f>
        <v>0.22</v>
      </c>
      <c r="N83" s="968">
        <f>VLOOKUP($B$1,'Product Procurement Sheet'!B:D,3,FALSE)*$N$1</f>
        <v>0.33</v>
      </c>
      <c r="O83" s="971" cm="1">
        <f ca="1" t="array" ref="O83">(_xlfn.SINGLE(_xlfn.XLOOKUP(1,(INDIRECT($R$1&amp;"!$C:$C")=B83)*(INDIRECT($R$1&amp;"!$G:$G")&lt;L83)*(INDIRECT($R$1&amp;"!$H:$H")&gt;=L83),INDIRECT($R$1&amp;"!$K:$K"))))*L83+(_xlfn.SINGLE(_xlfn.XLOOKUP(1,(INDIRECT($R$1&amp;"!$C:$C")=B83)*(INDIRECT($R$1&amp;"!$G:$G")&lt;L83)*(INDIRECT($R$1&amp;"!$H:$H")&gt;=L83),INDIRECT($R$1&amp;"!$L:$L"))))</f>
        <v>17.45</v>
      </c>
      <c r="P83" s="971" cm="1">
        <f ca="1" t="array" ref="P83">(_xlfn.SINGLE(_xlfn.XLOOKUP(1,(INDIRECT($R$1&amp;"!$C:$C")=B83)*(INDIRECT($R$1&amp;"!$G:$G")&lt;M83)*(INDIRECT($R$1&amp;"!$H:$H")&gt;=M83),INDIRECT($R$1&amp;"!$K:$K"))))*M83+(_xlfn.SINGLE(_xlfn.XLOOKUP(1,(INDIRECT($R$1&amp;"!$C:$C")=B83)*(INDIRECT($R$1&amp;"!$G:$G")&lt;M83)*(INDIRECT($R$1&amp;"!$H:$H")&gt;=M83),INDIRECT($R$1&amp;"!$L:$L"))))</f>
        <v>27.9</v>
      </c>
      <c r="Q83" s="971" cm="1">
        <f ca="1" t="array" ref="Q83">(_xlfn.SINGLE(_xlfn.XLOOKUP(1,(INDIRECT($R$1&amp;"!$C:$C")=B83)*(INDIRECT($R$1&amp;"!$G:$G")&lt;N83)*(INDIRECT($R$1&amp;"!$H:$H")&gt;=N83),INDIRECT($R$1&amp;"!$K:$K"))))*N83+(_xlfn.SINGLE(_xlfn.XLOOKUP(1,(INDIRECT($R$1&amp;"!$C:$C")=B83)*(INDIRECT($R$1&amp;"!$G:$G")&lt;N83)*(INDIRECT($R$1&amp;"!$H:$H")&gt;=N83),INDIRECT($R$1&amp;"!$L:$L"))))</f>
        <v>38.35</v>
      </c>
      <c r="R83" s="955"/>
    </row>
    <row r="84" ht="17.25" spans="1:18">
      <c r="A84" s="963" t="s">
        <v>184</v>
      </c>
      <c r="B84" s="963" t="s">
        <v>185</v>
      </c>
      <c r="C84" s="964">
        <f ca="1" t="shared" si="67"/>
        <v>10.5417605633803</v>
      </c>
      <c r="D84" s="964">
        <f ca="1" t="shared" si="68"/>
        <v>15.0553521126761</v>
      </c>
      <c r="E84" s="964">
        <f ca="1" t="shared" si="69"/>
        <v>19.5689436619718</v>
      </c>
      <c r="F84" s="965">
        <f ca="1" t="shared" ref="F84:H84" si="86">O84/$P$1</f>
        <v>7.88028169014085</v>
      </c>
      <c r="G84" s="965">
        <f ca="1" t="shared" si="86"/>
        <v>10.1267605633803</v>
      </c>
      <c r="H84" s="965">
        <f ca="1" t="shared" si="86"/>
        <v>12.3732394366197</v>
      </c>
      <c r="I84" s="965">
        <f>(VLOOKUP($B$1,'Product Procurement Sheet'!B:I,8,0)*$L$1)/$P$1</f>
        <v>1.97183098591549</v>
      </c>
      <c r="J84" s="965">
        <f>(VLOOKUP($B$1,'Product Procurement Sheet'!B:I,8,0)*$M$1)/$P$1</f>
        <v>3.94366197183099</v>
      </c>
      <c r="K84" s="965">
        <f>(VLOOKUP($B$1,'Product Procurement Sheet'!B:I,8,0)*$N$1)/$P$1</f>
        <v>5.91549295774648</v>
      </c>
      <c r="L84" s="968">
        <f>VLOOKUP($B$1,'Product Procurement Sheet'!B:D,3,FALSE)*$L$1</f>
        <v>0.11</v>
      </c>
      <c r="M84" s="968">
        <f>VLOOKUP($B$1,'Product Procurement Sheet'!B:D,3,FALSE)*$M$1</f>
        <v>0.22</v>
      </c>
      <c r="N84" s="968">
        <f>VLOOKUP($B$1,'Product Procurement Sheet'!B:D,3,FALSE)*$N$1</f>
        <v>0.33</v>
      </c>
      <c r="O84" s="971" cm="1">
        <f ca="1" t="array" ref="O84">(_xlfn.SINGLE(_xlfn.XLOOKUP(1,(INDIRECT($R$1&amp;"!$C:$C")=B84)*(INDIRECT($R$1&amp;"!$G:$G")&lt;L84)*(INDIRECT($R$1&amp;"!$H:$H")&gt;=L84),INDIRECT($R$1&amp;"!$K:$K"))))*L84+(_xlfn.SINGLE(_xlfn.XLOOKUP(1,(INDIRECT($R$1&amp;"!$C:$C")=B84)*(INDIRECT($R$1&amp;"!$G:$G")&lt;L84)*(INDIRECT($R$1&amp;"!$H:$H")&gt;=L84),INDIRECT($R$1&amp;"!$L:$L"))))</f>
        <v>55.95</v>
      </c>
      <c r="P84" s="971" cm="1">
        <f ca="1" t="array" ref="P84">(_xlfn.SINGLE(_xlfn.XLOOKUP(1,(INDIRECT($R$1&amp;"!$C:$C")=B84)*(INDIRECT($R$1&amp;"!$G:$G")&lt;M84)*(INDIRECT($R$1&amp;"!$H:$H")&gt;=M84),INDIRECT($R$1&amp;"!$K:$K"))))*M84+(_xlfn.SINGLE(_xlfn.XLOOKUP(1,(INDIRECT($R$1&amp;"!$C:$C")=B84)*(INDIRECT($R$1&amp;"!$G:$G")&lt;M84)*(INDIRECT($R$1&amp;"!$H:$H")&gt;=M84),INDIRECT($R$1&amp;"!$L:$L"))))</f>
        <v>71.9</v>
      </c>
      <c r="Q84" s="971" cm="1">
        <f ca="1" t="array" ref="Q84">(_xlfn.SINGLE(_xlfn.XLOOKUP(1,(INDIRECT($R$1&amp;"!$C:$C")=B84)*(INDIRECT($R$1&amp;"!$G:$G")&lt;N84)*(INDIRECT($R$1&amp;"!$H:$H")&gt;=N84),INDIRECT($R$1&amp;"!$K:$K"))))*N84+(_xlfn.SINGLE(_xlfn.XLOOKUP(1,(INDIRECT($R$1&amp;"!$C:$C")=B84)*(INDIRECT($R$1&amp;"!$G:$G")&lt;N84)*(INDIRECT($R$1&amp;"!$H:$H")&gt;=N84),INDIRECT($R$1&amp;"!$L:$L"))))</f>
        <v>87.85</v>
      </c>
      <c r="R84" s="955"/>
    </row>
    <row r="85" ht="17.25" spans="1:18">
      <c r="A85" s="963" t="s">
        <v>186</v>
      </c>
      <c r="B85" s="963" t="s">
        <v>113</v>
      </c>
      <c r="C85" s="964" t="e">
        <f ca="1" t="shared" si="67"/>
        <v>#N/A</v>
      </c>
      <c r="D85" s="964" t="e">
        <f ca="1" t="shared" si="68"/>
        <v>#N/A</v>
      </c>
      <c r="E85" s="964" t="e">
        <f ca="1" t="shared" si="69"/>
        <v>#N/A</v>
      </c>
      <c r="F85" s="965" t="e">
        <f ca="1" t="shared" ref="F85:H85" si="87">O85/$P$1</f>
        <v>#N/A</v>
      </c>
      <c r="G85" s="965" t="e">
        <f ca="1" t="shared" si="87"/>
        <v>#N/A</v>
      </c>
      <c r="H85" s="965" t="e">
        <f ca="1" t="shared" si="87"/>
        <v>#N/A</v>
      </c>
      <c r="I85" s="965">
        <f>(VLOOKUP($B$1,'Product Procurement Sheet'!B:I,8,0)*$L$1)/$P$1</f>
        <v>1.97183098591549</v>
      </c>
      <c r="J85" s="965">
        <f>(VLOOKUP($B$1,'Product Procurement Sheet'!B:I,8,0)*$M$1)/$P$1</f>
        <v>3.94366197183099</v>
      </c>
      <c r="K85" s="965">
        <f>(VLOOKUP($B$1,'Product Procurement Sheet'!B:I,8,0)*$N$1)/$P$1</f>
        <v>5.91549295774648</v>
      </c>
      <c r="L85" s="968">
        <f>VLOOKUP($B$1,'Product Procurement Sheet'!B:D,3,FALSE)*$L$1</f>
        <v>0.11</v>
      </c>
      <c r="M85" s="968">
        <f>VLOOKUP($B$1,'Product Procurement Sheet'!B:D,3,FALSE)*$M$1</f>
        <v>0.22</v>
      </c>
      <c r="N85" s="968">
        <f>VLOOKUP($B$1,'Product Procurement Sheet'!B:D,3,FALSE)*$N$1</f>
        <v>0.33</v>
      </c>
      <c r="O85" s="971" t="e" cm="1">
        <f ca="1" t="array" ref="O85">(_xlfn.SINGLE(_xlfn.XLOOKUP(1,(INDIRECT($R$1&amp;"!$C:$C")=B85)*(INDIRECT($R$1&amp;"!$G:$G")&lt;L85)*(INDIRECT($R$1&amp;"!$H:$H")&gt;=L85),INDIRECT($R$1&amp;"!$K:$K"))))*L85+(_xlfn.SINGLE(_xlfn.XLOOKUP(1,(INDIRECT($R$1&amp;"!$C:$C")=B85)*(INDIRECT($R$1&amp;"!$G:$G")&lt;L85)*(INDIRECT($R$1&amp;"!$H:$H")&gt;=L85),INDIRECT($R$1&amp;"!$L:$L"))))</f>
        <v>#N/A</v>
      </c>
      <c r="P85" s="971" t="e" cm="1">
        <f ca="1" t="array" ref="P85">(_xlfn.SINGLE(_xlfn.XLOOKUP(1,(INDIRECT($R$1&amp;"!$C:$C")=B85)*(INDIRECT($R$1&amp;"!$G:$G")&lt;M85)*(INDIRECT($R$1&amp;"!$H:$H")&gt;=M85),INDIRECT($R$1&amp;"!$K:$K"))))*M85+(_xlfn.SINGLE(_xlfn.XLOOKUP(1,(INDIRECT($R$1&amp;"!$C:$C")=B85)*(INDIRECT($R$1&amp;"!$G:$G")&lt;M85)*(INDIRECT($R$1&amp;"!$H:$H")&gt;=M85),INDIRECT($R$1&amp;"!$L:$L"))))</f>
        <v>#N/A</v>
      </c>
      <c r="Q85" s="971" t="e" cm="1">
        <f ca="1" t="array" ref="Q85">(_xlfn.SINGLE(_xlfn.XLOOKUP(1,(INDIRECT($R$1&amp;"!$C:$C")=B85)*(INDIRECT($R$1&amp;"!$G:$G")&lt;N85)*(INDIRECT($R$1&amp;"!$H:$H")&gt;=N85),INDIRECT($R$1&amp;"!$K:$K"))))*N85+(_xlfn.SINGLE(_xlfn.XLOOKUP(1,(INDIRECT($R$1&amp;"!$C:$C")=B85)*(INDIRECT($R$1&amp;"!$G:$G")&lt;N85)*(INDIRECT($R$1&amp;"!$H:$H")&gt;=N85),INDIRECT($R$1&amp;"!$L:$L"))))</f>
        <v>#N/A</v>
      </c>
      <c r="R85" s="955"/>
    </row>
    <row r="86" customFormat="1" ht="17.25" spans="1:19">
      <c r="A86" s="963" t="s">
        <v>187</v>
      </c>
      <c r="B86" s="963" t="s">
        <v>87</v>
      </c>
      <c r="C86" s="964" t="e">
        <f ca="1" t="shared" si="67"/>
        <v>#N/A</v>
      </c>
      <c r="D86" s="964" t="e">
        <f ca="1" t="shared" si="68"/>
        <v>#N/A</v>
      </c>
      <c r="E86" s="964" t="e">
        <f ca="1" t="shared" si="69"/>
        <v>#N/A</v>
      </c>
      <c r="F86" s="965" t="e">
        <f ca="1" t="shared" ref="F86:H86" si="88">O86/$P$1</f>
        <v>#N/A</v>
      </c>
      <c r="G86" s="965" t="e">
        <f ca="1" t="shared" si="88"/>
        <v>#N/A</v>
      </c>
      <c r="H86" s="965" t="e">
        <f ca="1" t="shared" si="88"/>
        <v>#N/A</v>
      </c>
      <c r="I86" s="965">
        <f>(VLOOKUP($B$1,'Product Procurement Sheet'!B:I,8,0)*$L$1)/$P$1</f>
        <v>1.97183098591549</v>
      </c>
      <c r="J86" s="965">
        <f>(VLOOKUP($B$1,'Product Procurement Sheet'!B:I,8,0)*$M$1)/$P$1</f>
        <v>3.94366197183099</v>
      </c>
      <c r="K86" s="965">
        <f>(VLOOKUP($B$1,'Product Procurement Sheet'!B:I,8,0)*$N$1)/$P$1</f>
        <v>5.91549295774648</v>
      </c>
      <c r="L86" s="968">
        <f>VLOOKUP($B$1,'Product Procurement Sheet'!B:D,3,FALSE)*$L$1</f>
        <v>0.11</v>
      </c>
      <c r="M86" s="968">
        <f>VLOOKUP($B$1,'Product Procurement Sheet'!B:D,3,FALSE)*$M$1</f>
        <v>0.22</v>
      </c>
      <c r="N86" s="968">
        <f>VLOOKUP($B$1,'Product Procurement Sheet'!B:D,3,FALSE)*$N$1</f>
        <v>0.33</v>
      </c>
      <c r="O86" s="971" t="e" cm="1">
        <f ca="1" t="array" ref="O86">(_xlfn.SINGLE(_xlfn.XLOOKUP(1,(INDIRECT($R$1&amp;"!$C:$C")=B86)*(INDIRECT($R$1&amp;"!$G:$G")&lt;L86)*(INDIRECT($R$1&amp;"!$H:$H")&gt;=L86),INDIRECT($R$1&amp;"!$K:$K"))))*L86+(_xlfn.SINGLE(_xlfn.XLOOKUP(1,(INDIRECT($R$1&amp;"!$C:$C")=B86)*(INDIRECT($R$1&amp;"!$G:$G")&lt;L86)*(INDIRECT($R$1&amp;"!$H:$H")&gt;=L86),INDIRECT($R$1&amp;"!$L:$L"))))</f>
        <v>#N/A</v>
      </c>
      <c r="P86" s="971" t="e" cm="1">
        <f ca="1" t="array" ref="P86">(_xlfn.SINGLE(_xlfn.XLOOKUP(1,(INDIRECT($R$1&amp;"!$C:$C")=B86)*(INDIRECT($R$1&amp;"!$G:$G")&lt;M86)*(INDIRECT($R$1&amp;"!$H:$H")&gt;=M86),INDIRECT($R$1&amp;"!$K:$K"))))*M86+(_xlfn.SINGLE(_xlfn.XLOOKUP(1,(INDIRECT($R$1&amp;"!$C:$C")=B86)*(INDIRECT($R$1&amp;"!$G:$G")&lt;M86)*(INDIRECT($R$1&amp;"!$H:$H")&gt;=M86),INDIRECT($R$1&amp;"!$L:$L"))))</f>
        <v>#N/A</v>
      </c>
      <c r="Q86" s="971" t="e" cm="1">
        <f ca="1" t="array" ref="Q86">(_xlfn.SINGLE(_xlfn.XLOOKUP(1,(INDIRECT($R$1&amp;"!$C:$C")=B86)*(INDIRECT($R$1&amp;"!$G:$G")&lt;N86)*(INDIRECT($R$1&amp;"!$H:$H")&gt;=N86),INDIRECT($R$1&amp;"!$K:$K"))))*N86+(_xlfn.SINGLE(_xlfn.XLOOKUP(1,(INDIRECT($R$1&amp;"!$C:$C")=B86)*(INDIRECT($R$1&amp;"!$G:$G")&lt;N86)*(INDIRECT($R$1&amp;"!$H:$H")&gt;=N86),INDIRECT($R$1&amp;"!$L:$L"))))</f>
        <v>#N/A</v>
      </c>
      <c r="R86" s="955"/>
      <c r="S86" s="955"/>
    </row>
    <row r="87" ht="17.25" spans="1:18">
      <c r="A87" s="963" t="s">
        <v>188</v>
      </c>
      <c r="B87" s="963" t="s">
        <v>189</v>
      </c>
      <c r="C87" s="964">
        <f ca="1" t="shared" si="67"/>
        <v>4.52866197183098</v>
      </c>
      <c r="D87" s="964">
        <f ca="1" t="shared" si="68"/>
        <v>7.55028169014085</v>
      </c>
      <c r="E87" s="964">
        <f ca="1" t="shared" si="69"/>
        <v>10.5719014084507</v>
      </c>
      <c r="F87" s="965">
        <f ca="1" t="shared" ref="F87:H87" si="89">O87/$P$1</f>
        <v>2.26056338028169</v>
      </c>
      <c r="G87" s="965">
        <f ca="1" t="shared" si="89"/>
        <v>3.11267605633803</v>
      </c>
      <c r="H87" s="965">
        <f ca="1" t="shared" si="89"/>
        <v>3.96478873239437</v>
      </c>
      <c r="I87" s="965">
        <f>(VLOOKUP($B$1,'Product Procurement Sheet'!B:I,8,0)*$L$1)/$P$1</f>
        <v>1.97183098591549</v>
      </c>
      <c r="J87" s="965">
        <f>(VLOOKUP($B$1,'Product Procurement Sheet'!B:I,8,0)*$M$1)/$P$1</f>
        <v>3.94366197183099</v>
      </c>
      <c r="K87" s="965">
        <f>(VLOOKUP($B$1,'Product Procurement Sheet'!B:I,8,0)*$N$1)/$P$1</f>
        <v>5.91549295774648</v>
      </c>
      <c r="L87" s="968">
        <f>VLOOKUP($B$1,'Product Procurement Sheet'!B:D,3,FALSE)*$L$1</f>
        <v>0.11</v>
      </c>
      <c r="M87" s="968">
        <f>VLOOKUP($B$1,'Product Procurement Sheet'!B:D,3,FALSE)*$M$1</f>
        <v>0.22</v>
      </c>
      <c r="N87" s="968">
        <f>VLOOKUP($B$1,'Product Procurement Sheet'!B:D,3,FALSE)*$N$1</f>
        <v>0.33</v>
      </c>
      <c r="O87" s="971" cm="1">
        <f ca="1" t="array" ref="O87">(_xlfn.SINGLE(_xlfn.XLOOKUP(1,(INDIRECT($R$1&amp;"!$C:$C")=B87)*(INDIRECT($R$1&amp;"!$G:$G")&lt;L87)*(INDIRECT($R$1&amp;"!$H:$H")&gt;=L87),INDIRECT($R$1&amp;"!$K:$K"))))*L87+(_xlfn.SINGLE(_xlfn.XLOOKUP(1,(INDIRECT($R$1&amp;"!$C:$C")=B87)*(INDIRECT($R$1&amp;"!$G:$G")&lt;L87)*(INDIRECT($R$1&amp;"!$H:$H")&gt;=L87),INDIRECT($R$1&amp;"!$L:$L"))))</f>
        <v>16.05</v>
      </c>
      <c r="P87" s="971" cm="1">
        <f ca="1" t="array" ref="P87">(_xlfn.SINGLE(_xlfn.XLOOKUP(1,(INDIRECT($R$1&amp;"!$C:$C")=B87)*(INDIRECT($R$1&amp;"!$G:$G")&lt;M87)*(INDIRECT($R$1&amp;"!$H:$H")&gt;=M87),INDIRECT($R$1&amp;"!$K:$K"))))*M87+(_xlfn.SINGLE(_xlfn.XLOOKUP(1,(INDIRECT($R$1&amp;"!$C:$C")=B87)*(INDIRECT($R$1&amp;"!$G:$G")&lt;M87)*(INDIRECT($R$1&amp;"!$H:$H")&gt;=M87),INDIRECT($R$1&amp;"!$L:$L"))))</f>
        <v>22.1</v>
      </c>
      <c r="Q87" s="971" cm="1">
        <f ca="1" t="array" ref="Q87">(_xlfn.SINGLE(_xlfn.XLOOKUP(1,(INDIRECT($R$1&amp;"!$C:$C")=B87)*(INDIRECT($R$1&amp;"!$G:$G")&lt;N87)*(INDIRECT($R$1&amp;"!$H:$H")&gt;=N87),INDIRECT($R$1&amp;"!$K:$K"))))*N87+(_xlfn.SINGLE(_xlfn.XLOOKUP(1,(INDIRECT($R$1&amp;"!$C:$C")=B87)*(INDIRECT($R$1&amp;"!$G:$G")&lt;N87)*(INDIRECT($R$1&amp;"!$H:$H")&gt;=N87),INDIRECT($R$1&amp;"!$L:$L"))))</f>
        <v>28.15</v>
      </c>
      <c r="R87" s="955"/>
    </row>
    <row r="88" ht="17.25" spans="1:18">
      <c r="A88" s="963" t="s">
        <v>190</v>
      </c>
      <c r="B88" s="963" t="s">
        <v>191</v>
      </c>
      <c r="C88" s="964">
        <f ca="1" t="shared" si="67"/>
        <v>5.31232394366197</v>
      </c>
      <c r="D88" s="964">
        <f ca="1" t="shared" si="68"/>
        <v>8.66549295774649</v>
      </c>
      <c r="E88" s="964">
        <f ca="1" t="shared" si="69"/>
        <v>12.018661971831</v>
      </c>
      <c r="F88" s="965">
        <f ca="1" t="shared" ref="F88:H88" si="90">O88/$P$1</f>
        <v>2.99295774647887</v>
      </c>
      <c r="G88" s="965">
        <f ca="1" t="shared" si="90"/>
        <v>4.15492957746479</v>
      </c>
      <c r="H88" s="965">
        <f ca="1" t="shared" si="90"/>
        <v>5.3169014084507</v>
      </c>
      <c r="I88" s="965">
        <f>(VLOOKUP($B$1,'Product Procurement Sheet'!B:I,8,0)*$L$1)/$P$1</f>
        <v>1.97183098591549</v>
      </c>
      <c r="J88" s="965">
        <f>(VLOOKUP($B$1,'Product Procurement Sheet'!B:I,8,0)*$M$1)/$P$1</f>
        <v>3.94366197183099</v>
      </c>
      <c r="K88" s="965">
        <f>(VLOOKUP($B$1,'Product Procurement Sheet'!B:I,8,0)*$N$1)/$P$1</f>
        <v>5.91549295774648</v>
      </c>
      <c r="L88" s="968">
        <f>VLOOKUP($B$1,'Product Procurement Sheet'!B:D,3,FALSE)*$L$1</f>
        <v>0.11</v>
      </c>
      <c r="M88" s="968">
        <f>VLOOKUP($B$1,'Product Procurement Sheet'!B:D,3,FALSE)*$M$1</f>
        <v>0.22</v>
      </c>
      <c r="N88" s="968">
        <f>VLOOKUP($B$1,'Product Procurement Sheet'!B:D,3,FALSE)*$N$1</f>
        <v>0.33</v>
      </c>
      <c r="O88" s="971" cm="1">
        <f ca="1" t="array" ref="O88">(_xlfn.SINGLE(_xlfn.XLOOKUP(1,(INDIRECT($R$1&amp;"!$C:$C")=B88)*(INDIRECT($R$1&amp;"!$G:$G")&lt;L88)*(INDIRECT($R$1&amp;"!$H:$H")&gt;=L88),INDIRECT($R$1&amp;"!$K:$K"))))*L88+(_xlfn.SINGLE(_xlfn.XLOOKUP(1,(INDIRECT($R$1&amp;"!$C:$C")=B88)*(INDIRECT($R$1&amp;"!$G:$G")&lt;L88)*(INDIRECT($R$1&amp;"!$H:$H")&gt;=L88),INDIRECT($R$1&amp;"!$L:$L"))))</f>
        <v>21.25</v>
      </c>
      <c r="P88" s="971" cm="1">
        <f ca="1" t="array" ref="P88">(_xlfn.SINGLE(_xlfn.XLOOKUP(1,(INDIRECT($R$1&amp;"!$C:$C")=B88)*(INDIRECT($R$1&amp;"!$G:$G")&lt;M88)*(INDIRECT($R$1&amp;"!$H:$H")&gt;=M88),INDIRECT($R$1&amp;"!$K:$K"))))*M88+(_xlfn.SINGLE(_xlfn.XLOOKUP(1,(INDIRECT($R$1&amp;"!$C:$C")=B88)*(INDIRECT($R$1&amp;"!$G:$G")&lt;M88)*(INDIRECT($R$1&amp;"!$H:$H")&gt;=M88),INDIRECT($R$1&amp;"!$L:$L"))))</f>
        <v>29.5</v>
      </c>
      <c r="Q88" s="971" cm="1">
        <f ca="1" t="array" ref="Q88">(_xlfn.SINGLE(_xlfn.XLOOKUP(1,(INDIRECT($R$1&amp;"!$C:$C")=B88)*(INDIRECT($R$1&amp;"!$G:$G")&lt;N88)*(INDIRECT($R$1&amp;"!$H:$H")&gt;=N88),INDIRECT($R$1&amp;"!$K:$K"))))*N88+(_xlfn.SINGLE(_xlfn.XLOOKUP(1,(INDIRECT($R$1&amp;"!$C:$C")=B88)*(INDIRECT($R$1&amp;"!$G:$G")&lt;N88)*(INDIRECT($R$1&amp;"!$H:$H")&gt;=N88),INDIRECT($R$1&amp;"!$L:$L"))))</f>
        <v>37.75</v>
      </c>
      <c r="R88" s="955"/>
    </row>
    <row r="89" ht="17.25" spans="1:18">
      <c r="A89" s="963" t="s">
        <v>192</v>
      </c>
      <c r="B89" s="963" t="s">
        <v>193</v>
      </c>
      <c r="C89" s="964">
        <f ca="1" t="shared" si="67"/>
        <v>7.27147887323943</v>
      </c>
      <c r="D89" s="964">
        <f ca="1" t="shared" si="68"/>
        <v>12.2823943661972</v>
      </c>
      <c r="E89" s="964">
        <f ca="1" t="shared" si="69"/>
        <v>17.2933098591549</v>
      </c>
      <c r="F89" s="965">
        <f ca="1" t="shared" ref="F89:H89" si="91">O89/$P$1</f>
        <v>4.82394366197183</v>
      </c>
      <c r="G89" s="965">
        <f ca="1" t="shared" si="91"/>
        <v>7.53521126760563</v>
      </c>
      <c r="H89" s="965">
        <f ca="1" t="shared" si="91"/>
        <v>10.2464788732394</v>
      </c>
      <c r="I89" s="965">
        <f>(VLOOKUP($B$1,'Product Procurement Sheet'!B:I,8,0)*$L$1)/$P$1</f>
        <v>1.97183098591549</v>
      </c>
      <c r="J89" s="965">
        <f>(VLOOKUP($B$1,'Product Procurement Sheet'!B:I,8,0)*$M$1)/$P$1</f>
        <v>3.94366197183099</v>
      </c>
      <c r="K89" s="965">
        <f>(VLOOKUP($B$1,'Product Procurement Sheet'!B:I,8,0)*$N$1)/$P$1</f>
        <v>5.91549295774648</v>
      </c>
      <c r="L89" s="968">
        <f>VLOOKUP($B$1,'Product Procurement Sheet'!B:D,3,FALSE)*$L$1</f>
        <v>0.11</v>
      </c>
      <c r="M89" s="968">
        <f>VLOOKUP($B$1,'Product Procurement Sheet'!B:D,3,FALSE)*$M$1</f>
        <v>0.22</v>
      </c>
      <c r="N89" s="968">
        <f>VLOOKUP($B$1,'Product Procurement Sheet'!B:D,3,FALSE)*$N$1</f>
        <v>0.33</v>
      </c>
      <c r="O89" s="971" cm="1">
        <f ca="1" t="array" ref="O89">(_xlfn.SINGLE(_xlfn.XLOOKUP(1,(INDIRECT($R$1&amp;"!$C:$C")=B89)*(INDIRECT($R$1&amp;"!$G:$G")&lt;L89)*(INDIRECT($R$1&amp;"!$H:$H")&gt;=L89),INDIRECT($R$1&amp;"!$K:$K"))))*L89+(_xlfn.SINGLE(_xlfn.XLOOKUP(1,(INDIRECT($R$1&amp;"!$C:$C")=B89)*(INDIRECT($R$1&amp;"!$G:$G")&lt;L89)*(INDIRECT($R$1&amp;"!$H:$H")&gt;=L89),INDIRECT($R$1&amp;"!$L:$L"))))</f>
        <v>34.25</v>
      </c>
      <c r="P89" s="971" cm="1">
        <f ca="1" t="array" ref="P89">(_xlfn.SINGLE(_xlfn.XLOOKUP(1,(INDIRECT($R$1&amp;"!$C:$C")=B89)*(INDIRECT($R$1&amp;"!$G:$G")&lt;M89)*(INDIRECT($R$1&amp;"!$H:$H")&gt;=M89),INDIRECT($R$1&amp;"!$K:$K"))))*M89+(_xlfn.SINGLE(_xlfn.XLOOKUP(1,(INDIRECT($R$1&amp;"!$C:$C")=B89)*(INDIRECT($R$1&amp;"!$G:$G")&lt;M89)*(INDIRECT($R$1&amp;"!$H:$H")&gt;=M89),INDIRECT($R$1&amp;"!$L:$L"))))</f>
        <v>53.5</v>
      </c>
      <c r="Q89" s="971" cm="1">
        <f ca="1" t="array" ref="Q89">(_xlfn.SINGLE(_xlfn.XLOOKUP(1,(INDIRECT($R$1&amp;"!$C:$C")=B89)*(INDIRECT($R$1&amp;"!$G:$G")&lt;N89)*(INDIRECT($R$1&amp;"!$H:$H")&gt;=N89),INDIRECT($R$1&amp;"!$K:$K"))))*N89+(_xlfn.SINGLE(_xlfn.XLOOKUP(1,(INDIRECT($R$1&amp;"!$C:$C")=B89)*(INDIRECT($R$1&amp;"!$G:$G")&lt;N89)*(INDIRECT($R$1&amp;"!$H:$H")&gt;=N89),INDIRECT($R$1&amp;"!$L:$L"))))</f>
        <v>72.75</v>
      </c>
      <c r="R89" s="955"/>
    </row>
    <row r="90" ht="17.25" spans="1:18">
      <c r="A90" s="963" t="s">
        <v>194</v>
      </c>
      <c r="B90" s="963" t="s">
        <v>195</v>
      </c>
      <c r="C90" s="964">
        <f ca="1" t="shared" si="67"/>
        <v>7.45232394366197</v>
      </c>
      <c r="D90" s="964">
        <f ca="1" t="shared" si="68"/>
        <v>12.7947887323944</v>
      </c>
      <c r="E90" s="964">
        <f ca="1" t="shared" si="69"/>
        <v>18.1372535211268</v>
      </c>
      <c r="F90" s="965">
        <f ca="1" t="shared" ref="F90:H90" si="92">O90/$P$1</f>
        <v>4.99295774647887</v>
      </c>
      <c r="G90" s="965">
        <f ca="1" t="shared" si="92"/>
        <v>8.01408450704225</v>
      </c>
      <c r="H90" s="965">
        <f ca="1" t="shared" si="92"/>
        <v>11.0352112676056</v>
      </c>
      <c r="I90" s="965">
        <f>(VLOOKUP($B$1,'Product Procurement Sheet'!B:I,8,0)*$L$1)/$P$1</f>
        <v>1.97183098591549</v>
      </c>
      <c r="J90" s="965">
        <f>(VLOOKUP($B$1,'Product Procurement Sheet'!B:I,8,0)*$M$1)/$P$1</f>
        <v>3.94366197183099</v>
      </c>
      <c r="K90" s="965">
        <f>(VLOOKUP($B$1,'Product Procurement Sheet'!B:I,8,0)*$N$1)/$P$1</f>
        <v>5.91549295774648</v>
      </c>
      <c r="L90" s="968">
        <f>VLOOKUP($B$1,'Product Procurement Sheet'!B:D,3,FALSE)*$L$1</f>
        <v>0.11</v>
      </c>
      <c r="M90" s="968">
        <f>VLOOKUP($B$1,'Product Procurement Sheet'!B:D,3,FALSE)*$M$1</f>
        <v>0.22</v>
      </c>
      <c r="N90" s="968">
        <f>VLOOKUP($B$1,'Product Procurement Sheet'!B:D,3,FALSE)*$N$1</f>
        <v>0.33</v>
      </c>
      <c r="O90" s="971" cm="1">
        <f ca="1" t="array" ref="O90">(_xlfn.SINGLE(_xlfn.XLOOKUP(1,(INDIRECT($R$1&amp;"!$C:$C")=B90)*(INDIRECT($R$1&amp;"!$G:$G")&lt;L90)*(INDIRECT($R$1&amp;"!$H:$H")&gt;=L90),INDIRECT($R$1&amp;"!$K:$K"))))*L90+(_xlfn.SINGLE(_xlfn.XLOOKUP(1,(INDIRECT($R$1&amp;"!$C:$C")=B90)*(INDIRECT($R$1&amp;"!$G:$G")&lt;L90)*(INDIRECT($R$1&amp;"!$H:$H")&gt;=L90),INDIRECT($R$1&amp;"!$L:$L"))))</f>
        <v>35.45</v>
      </c>
      <c r="P90" s="971" cm="1">
        <f ca="1" t="array" ref="P90">(_xlfn.SINGLE(_xlfn.XLOOKUP(1,(INDIRECT($R$1&amp;"!$C:$C")=B90)*(INDIRECT($R$1&amp;"!$G:$G")&lt;M90)*(INDIRECT($R$1&amp;"!$H:$H")&gt;=M90),INDIRECT($R$1&amp;"!$K:$K"))))*M90+(_xlfn.SINGLE(_xlfn.XLOOKUP(1,(INDIRECT($R$1&amp;"!$C:$C")=B90)*(INDIRECT($R$1&amp;"!$G:$G")&lt;M90)*(INDIRECT($R$1&amp;"!$H:$H")&gt;=M90),INDIRECT($R$1&amp;"!$L:$L"))))</f>
        <v>56.9</v>
      </c>
      <c r="Q90" s="971" cm="1">
        <f ca="1" t="array" ref="Q90">(_xlfn.SINGLE(_xlfn.XLOOKUP(1,(INDIRECT($R$1&amp;"!$C:$C")=B90)*(INDIRECT($R$1&amp;"!$G:$G")&lt;N90)*(INDIRECT($R$1&amp;"!$H:$H")&gt;=N90),INDIRECT($R$1&amp;"!$K:$K"))))*N90+(_xlfn.SINGLE(_xlfn.XLOOKUP(1,(INDIRECT($R$1&amp;"!$C:$C")=B90)*(INDIRECT($R$1&amp;"!$G:$G")&lt;N90)*(INDIRECT($R$1&amp;"!$H:$H")&gt;=N90),INDIRECT($R$1&amp;"!$L:$L"))))</f>
        <v>78.35</v>
      </c>
      <c r="R90" s="955"/>
    </row>
    <row r="91" ht="17.25" spans="1:18">
      <c r="A91" s="963" t="s">
        <v>196</v>
      </c>
      <c r="B91" s="963" t="s">
        <v>197</v>
      </c>
      <c r="C91" s="964">
        <f ca="1" t="shared" si="67"/>
        <v>8.44697183098591</v>
      </c>
      <c r="D91" s="964">
        <f ca="1" t="shared" si="68"/>
        <v>14.7840845070423</v>
      </c>
      <c r="E91" s="964">
        <f ca="1" t="shared" si="69"/>
        <v>21.1211971830986</v>
      </c>
      <c r="F91" s="965">
        <f ca="1" t="shared" ref="F91:H91" si="93">O91/$P$1</f>
        <v>5.92253521126761</v>
      </c>
      <c r="G91" s="965">
        <f ca="1" t="shared" si="93"/>
        <v>9.87323943661972</v>
      </c>
      <c r="H91" s="965">
        <f ca="1" t="shared" si="93"/>
        <v>13.8239436619718</v>
      </c>
      <c r="I91" s="965">
        <f>(VLOOKUP($B$1,'Product Procurement Sheet'!B:I,8,0)*$L$1)/$P$1</f>
        <v>1.97183098591549</v>
      </c>
      <c r="J91" s="965">
        <f>(VLOOKUP($B$1,'Product Procurement Sheet'!B:I,8,0)*$M$1)/$P$1</f>
        <v>3.94366197183099</v>
      </c>
      <c r="K91" s="965">
        <f>(VLOOKUP($B$1,'Product Procurement Sheet'!B:I,8,0)*$N$1)/$P$1</f>
        <v>5.91549295774648</v>
      </c>
      <c r="L91" s="968">
        <f>VLOOKUP($B$1,'Product Procurement Sheet'!B:D,3,FALSE)*$L$1</f>
        <v>0.11</v>
      </c>
      <c r="M91" s="968">
        <f>VLOOKUP($B$1,'Product Procurement Sheet'!B:D,3,FALSE)*$M$1</f>
        <v>0.22</v>
      </c>
      <c r="N91" s="968">
        <f>VLOOKUP($B$1,'Product Procurement Sheet'!B:D,3,FALSE)*$N$1</f>
        <v>0.33</v>
      </c>
      <c r="O91" s="971" cm="1">
        <f ca="1" t="array" ref="O91">(_xlfn.SINGLE(_xlfn.XLOOKUP(1,(INDIRECT($R$1&amp;"!$C:$C")=B91)*(INDIRECT($R$1&amp;"!$G:$G")&lt;L91)*(INDIRECT($R$1&amp;"!$H:$H")&gt;=L91),INDIRECT($R$1&amp;"!$K:$K"))))*L91+(_xlfn.SINGLE(_xlfn.XLOOKUP(1,(INDIRECT($R$1&amp;"!$C:$C")=B91)*(INDIRECT($R$1&amp;"!$G:$G")&lt;L91)*(INDIRECT($R$1&amp;"!$H:$H")&gt;=L91),INDIRECT($R$1&amp;"!$L:$L"))))</f>
        <v>42.05</v>
      </c>
      <c r="P91" s="971" cm="1">
        <f ca="1" t="array" ref="P91">(_xlfn.SINGLE(_xlfn.XLOOKUP(1,(INDIRECT($R$1&amp;"!$C:$C")=B91)*(INDIRECT($R$1&amp;"!$G:$G")&lt;M91)*(INDIRECT($R$1&amp;"!$H:$H")&gt;=M91),INDIRECT($R$1&amp;"!$K:$K"))))*M91+(_xlfn.SINGLE(_xlfn.XLOOKUP(1,(INDIRECT($R$1&amp;"!$C:$C")=B91)*(INDIRECT($R$1&amp;"!$G:$G")&lt;M91)*(INDIRECT($R$1&amp;"!$H:$H")&gt;=M91),INDIRECT($R$1&amp;"!$L:$L"))))</f>
        <v>70.1</v>
      </c>
      <c r="Q91" s="971" cm="1">
        <f ca="1" t="array" ref="Q91">(_xlfn.SINGLE(_xlfn.XLOOKUP(1,(INDIRECT($R$1&amp;"!$C:$C")=B91)*(INDIRECT($R$1&amp;"!$G:$G")&lt;N91)*(INDIRECT($R$1&amp;"!$H:$H")&gt;=N91),INDIRECT($R$1&amp;"!$K:$K"))))*N91+(_xlfn.SINGLE(_xlfn.XLOOKUP(1,(INDIRECT($R$1&amp;"!$C:$C")=B91)*(INDIRECT($R$1&amp;"!$G:$G")&lt;N91)*(INDIRECT($R$1&amp;"!$H:$H")&gt;=N91),INDIRECT($R$1&amp;"!$L:$L"))))</f>
        <v>98.15</v>
      </c>
      <c r="R91" s="955"/>
    </row>
    <row r="92" ht="17.25" spans="1:18">
      <c r="A92" s="963" t="s">
        <v>198</v>
      </c>
      <c r="B92" s="963" t="s">
        <v>199</v>
      </c>
      <c r="C92" s="964">
        <f ca="1" t="shared" si="67"/>
        <v>7.27147887323943</v>
      </c>
      <c r="D92" s="964">
        <f ca="1" t="shared" si="68"/>
        <v>12.2823943661972</v>
      </c>
      <c r="E92" s="964">
        <f ca="1" t="shared" si="69"/>
        <v>17.2933098591549</v>
      </c>
      <c r="F92" s="965">
        <f ca="1" t="shared" ref="F92:H92" si="94">O92/$P$1</f>
        <v>4.82394366197183</v>
      </c>
      <c r="G92" s="965">
        <f ca="1" t="shared" si="94"/>
        <v>7.53521126760563</v>
      </c>
      <c r="H92" s="965">
        <f ca="1" t="shared" si="94"/>
        <v>10.2464788732394</v>
      </c>
      <c r="I92" s="965">
        <f>(VLOOKUP($B$1,'Product Procurement Sheet'!B:I,8,0)*$L$1)/$P$1</f>
        <v>1.97183098591549</v>
      </c>
      <c r="J92" s="965">
        <f>(VLOOKUP($B$1,'Product Procurement Sheet'!B:I,8,0)*$M$1)/$P$1</f>
        <v>3.94366197183099</v>
      </c>
      <c r="K92" s="965">
        <f>(VLOOKUP($B$1,'Product Procurement Sheet'!B:I,8,0)*$N$1)/$P$1</f>
        <v>5.91549295774648</v>
      </c>
      <c r="L92" s="968">
        <f>VLOOKUP($B$1,'Product Procurement Sheet'!B:D,3,FALSE)*$L$1</f>
        <v>0.11</v>
      </c>
      <c r="M92" s="968">
        <f>VLOOKUP($B$1,'Product Procurement Sheet'!B:D,3,FALSE)*$M$1</f>
        <v>0.22</v>
      </c>
      <c r="N92" s="968">
        <f>VLOOKUP($B$1,'Product Procurement Sheet'!B:D,3,FALSE)*$N$1</f>
        <v>0.33</v>
      </c>
      <c r="O92" s="971" cm="1">
        <f ca="1" t="array" ref="O92">(_xlfn.SINGLE(_xlfn.XLOOKUP(1,(INDIRECT($R$1&amp;"!$C:$C")=B92)*(INDIRECT($R$1&amp;"!$G:$G")&lt;L92)*(INDIRECT($R$1&amp;"!$H:$H")&gt;=L92),INDIRECT($R$1&amp;"!$K:$K"))))*L92+(_xlfn.SINGLE(_xlfn.XLOOKUP(1,(INDIRECT($R$1&amp;"!$C:$C")=B92)*(INDIRECT($R$1&amp;"!$G:$G")&lt;L92)*(INDIRECT($R$1&amp;"!$H:$H")&gt;=L92),INDIRECT($R$1&amp;"!$L:$L"))))</f>
        <v>34.25</v>
      </c>
      <c r="P92" s="971" cm="1">
        <f ca="1" t="array" ref="P92">(_xlfn.SINGLE(_xlfn.XLOOKUP(1,(INDIRECT($R$1&amp;"!$C:$C")=B92)*(INDIRECT($R$1&amp;"!$G:$G")&lt;M92)*(INDIRECT($R$1&amp;"!$H:$H")&gt;=M92),INDIRECT($R$1&amp;"!$K:$K"))))*M92+(_xlfn.SINGLE(_xlfn.XLOOKUP(1,(INDIRECT($R$1&amp;"!$C:$C")=B92)*(INDIRECT($R$1&amp;"!$G:$G")&lt;M92)*(INDIRECT($R$1&amp;"!$H:$H")&gt;=M92),INDIRECT($R$1&amp;"!$L:$L"))))</f>
        <v>53.5</v>
      </c>
      <c r="Q92" s="971" cm="1">
        <f ca="1" t="array" ref="Q92">(_xlfn.SINGLE(_xlfn.XLOOKUP(1,(INDIRECT($R$1&amp;"!$C:$C")=B92)*(INDIRECT($R$1&amp;"!$G:$G")&lt;N92)*(INDIRECT($R$1&amp;"!$H:$H")&gt;=N92),INDIRECT($R$1&amp;"!$K:$K"))))*N92+(_xlfn.SINGLE(_xlfn.XLOOKUP(1,(INDIRECT($R$1&amp;"!$C:$C")=B92)*(INDIRECT($R$1&amp;"!$G:$G")&lt;N92)*(INDIRECT($R$1&amp;"!$H:$H")&gt;=N92),INDIRECT($R$1&amp;"!$L:$L"))))</f>
        <v>72.75</v>
      </c>
      <c r="R92" s="955"/>
    </row>
    <row r="93" ht="17.25" spans="1:18">
      <c r="A93" s="963" t="s">
        <v>200</v>
      </c>
      <c r="B93" s="963" t="s">
        <v>201</v>
      </c>
      <c r="C93" s="964">
        <f ca="1" t="shared" si="67"/>
        <v>10.0293661971831</v>
      </c>
      <c r="D93" s="964">
        <f ca="1" t="shared" si="68"/>
        <v>15.5376056338028</v>
      </c>
      <c r="E93" s="964">
        <f ca="1" t="shared" si="69"/>
        <v>21.0458450704225</v>
      </c>
      <c r="F93" s="965">
        <f ca="1" t="shared" ref="F93:H93" si="95">O93/$P$1</f>
        <v>7.40140845070423</v>
      </c>
      <c r="G93" s="965">
        <f ca="1" t="shared" si="95"/>
        <v>10.5774647887324</v>
      </c>
      <c r="H93" s="965">
        <f ca="1" t="shared" si="95"/>
        <v>13.7535211267606</v>
      </c>
      <c r="I93" s="965">
        <f>(VLOOKUP($B$1,'Product Procurement Sheet'!B:I,8,0)*$L$1)/$P$1</f>
        <v>1.97183098591549</v>
      </c>
      <c r="J93" s="965">
        <f>(VLOOKUP($B$1,'Product Procurement Sheet'!B:I,8,0)*$M$1)/$P$1</f>
        <v>3.94366197183099</v>
      </c>
      <c r="K93" s="965">
        <f>(VLOOKUP($B$1,'Product Procurement Sheet'!B:I,8,0)*$N$1)/$P$1</f>
        <v>5.91549295774648</v>
      </c>
      <c r="L93" s="968">
        <f>VLOOKUP($B$1,'Product Procurement Sheet'!B:D,3,FALSE)*$L$1</f>
        <v>0.11</v>
      </c>
      <c r="M93" s="968">
        <f>VLOOKUP($B$1,'Product Procurement Sheet'!B:D,3,FALSE)*$M$1</f>
        <v>0.22</v>
      </c>
      <c r="N93" s="968">
        <f>VLOOKUP($B$1,'Product Procurement Sheet'!B:D,3,FALSE)*$N$1</f>
        <v>0.33</v>
      </c>
      <c r="O93" s="971" cm="1">
        <f ca="1" t="array" ref="O93">(_xlfn.SINGLE(_xlfn.XLOOKUP(1,(INDIRECT($R$1&amp;"!$C:$C")=B93)*(INDIRECT($R$1&amp;"!$G:$G")&lt;L93)*(INDIRECT($R$1&amp;"!$H:$H")&gt;=L93),INDIRECT($R$1&amp;"!$K:$K"))))*L93+(_xlfn.SINGLE(_xlfn.XLOOKUP(1,(INDIRECT($R$1&amp;"!$C:$C")=B93)*(INDIRECT($R$1&amp;"!$G:$G")&lt;L93)*(INDIRECT($R$1&amp;"!$H:$H")&gt;=L93),INDIRECT($R$1&amp;"!$L:$L"))))</f>
        <v>52.55</v>
      </c>
      <c r="P93" s="971" cm="1">
        <f ca="1" t="array" ref="P93">(_xlfn.SINGLE(_xlfn.XLOOKUP(1,(INDIRECT($R$1&amp;"!$C:$C")=B93)*(INDIRECT($R$1&amp;"!$G:$G")&lt;M93)*(INDIRECT($R$1&amp;"!$H:$H")&gt;=M93),INDIRECT($R$1&amp;"!$K:$K"))))*M93+(_xlfn.SINGLE(_xlfn.XLOOKUP(1,(INDIRECT($R$1&amp;"!$C:$C")=B93)*(INDIRECT($R$1&amp;"!$G:$G")&lt;M93)*(INDIRECT($R$1&amp;"!$H:$H")&gt;=M93),INDIRECT($R$1&amp;"!$L:$L"))))</f>
        <v>75.1</v>
      </c>
      <c r="Q93" s="971" cm="1">
        <f ca="1" t="array" ref="Q93">(_xlfn.SINGLE(_xlfn.XLOOKUP(1,(INDIRECT($R$1&amp;"!$C:$C")=B93)*(INDIRECT($R$1&amp;"!$G:$G")&lt;N93)*(INDIRECT($R$1&amp;"!$H:$H")&gt;=N93),INDIRECT($R$1&amp;"!$K:$K"))))*N93+(_xlfn.SINGLE(_xlfn.XLOOKUP(1,(INDIRECT($R$1&amp;"!$C:$C")=B93)*(INDIRECT($R$1&amp;"!$G:$G")&lt;N93)*(INDIRECT($R$1&amp;"!$H:$H")&gt;=N93),INDIRECT($R$1&amp;"!$L:$L"))))</f>
        <v>97.65</v>
      </c>
      <c r="R93" s="955"/>
    </row>
    <row r="94" ht="17.25" spans="1:18">
      <c r="A94" s="963" t="s">
        <v>202</v>
      </c>
      <c r="B94" s="963" t="s">
        <v>203</v>
      </c>
      <c r="C94" s="964">
        <f ca="1" t="shared" si="67"/>
        <v>6.62345070422535</v>
      </c>
      <c r="D94" s="964">
        <f ca="1" t="shared" si="68"/>
        <v>11.1370422535211</v>
      </c>
      <c r="E94" s="964">
        <f ca="1" t="shared" si="69"/>
        <v>15.6506338028169</v>
      </c>
      <c r="F94" s="965">
        <f ca="1" t="shared" ref="F94:H94" si="96">O94/$P$1</f>
        <v>4.21830985915493</v>
      </c>
      <c r="G94" s="965">
        <f ca="1" t="shared" si="96"/>
        <v>6.46478873239437</v>
      </c>
      <c r="H94" s="965">
        <f ca="1" t="shared" si="96"/>
        <v>8.7112676056338</v>
      </c>
      <c r="I94" s="965">
        <f>(VLOOKUP($B$1,'Product Procurement Sheet'!B:I,8,0)*$L$1)/$P$1</f>
        <v>1.97183098591549</v>
      </c>
      <c r="J94" s="965">
        <f>(VLOOKUP($B$1,'Product Procurement Sheet'!B:I,8,0)*$M$1)/$P$1</f>
        <v>3.94366197183099</v>
      </c>
      <c r="K94" s="965">
        <f>(VLOOKUP($B$1,'Product Procurement Sheet'!B:I,8,0)*$N$1)/$P$1</f>
        <v>5.91549295774648</v>
      </c>
      <c r="L94" s="968">
        <f>VLOOKUP($B$1,'Product Procurement Sheet'!B:D,3,FALSE)*$L$1</f>
        <v>0.11</v>
      </c>
      <c r="M94" s="968">
        <f>VLOOKUP($B$1,'Product Procurement Sheet'!B:D,3,FALSE)*$M$1</f>
        <v>0.22</v>
      </c>
      <c r="N94" s="968">
        <f>VLOOKUP($B$1,'Product Procurement Sheet'!B:D,3,FALSE)*$N$1</f>
        <v>0.33</v>
      </c>
      <c r="O94" s="971" cm="1">
        <f ca="1" t="array" ref="O94">(_xlfn.SINGLE(_xlfn.XLOOKUP(1,(INDIRECT($R$1&amp;"!$C:$C")=B94)*(INDIRECT($R$1&amp;"!$G:$G")&lt;L94)*(INDIRECT($R$1&amp;"!$H:$H")&gt;=L94),INDIRECT($R$1&amp;"!$K:$K"))))*L94+(_xlfn.SINGLE(_xlfn.XLOOKUP(1,(INDIRECT($R$1&amp;"!$C:$C")=B94)*(INDIRECT($R$1&amp;"!$G:$G")&lt;L94)*(INDIRECT($R$1&amp;"!$H:$H")&gt;=L94),INDIRECT($R$1&amp;"!$L:$L"))))</f>
        <v>29.95</v>
      </c>
      <c r="P94" s="971" cm="1">
        <f ca="1" t="array" ref="P94">(_xlfn.SINGLE(_xlfn.XLOOKUP(1,(INDIRECT($R$1&amp;"!$C:$C")=B94)*(INDIRECT($R$1&amp;"!$G:$G")&lt;M94)*(INDIRECT($R$1&amp;"!$H:$H")&gt;=M94),INDIRECT($R$1&amp;"!$K:$K"))))*M94+(_xlfn.SINGLE(_xlfn.XLOOKUP(1,(INDIRECT($R$1&amp;"!$C:$C")=B94)*(INDIRECT($R$1&amp;"!$G:$G")&lt;M94)*(INDIRECT($R$1&amp;"!$H:$H")&gt;=M94),INDIRECT($R$1&amp;"!$L:$L"))))</f>
        <v>45.9</v>
      </c>
      <c r="Q94" s="971" cm="1">
        <f ca="1" t="array" ref="Q94">(_xlfn.SINGLE(_xlfn.XLOOKUP(1,(INDIRECT($R$1&amp;"!$C:$C")=B94)*(INDIRECT($R$1&amp;"!$G:$G")&lt;N94)*(INDIRECT($R$1&amp;"!$H:$H")&gt;=N94),INDIRECT($R$1&amp;"!$K:$K"))))*N94+(_xlfn.SINGLE(_xlfn.XLOOKUP(1,(INDIRECT($R$1&amp;"!$C:$C")=B94)*(INDIRECT($R$1&amp;"!$G:$G")&lt;N94)*(INDIRECT($R$1&amp;"!$H:$H")&gt;=N94),INDIRECT($R$1&amp;"!$L:$L"))))</f>
        <v>61.85</v>
      </c>
      <c r="R94" s="955"/>
    </row>
    <row r="95" ht="17.25" spans="1:18">
      <c r="A95" s="963" t="s">
        <v>204</v>
      </c>
      <c r="B95" s="963" t="s">
        <v>205</v>
      </c>
      <c r="C95" s="964">
        <f ca="1" t="shared" si="67"/>
        <v>7.85922535211267</v>
      </c>
      <c r="D95" s="964">
        <f ca="1" t="shared" si="68"/>
        <v>12.7043661971831</v>
      </c>
      <c r="E95" s="964">
        <f ca="1" t="shared" si="69"/>
        <v>17.5495070422535</v>
      </c>
      <c r="F95" s="965">
        <f ca="1" t="shared" ref="F95:H95" si="97">O95/$P$1</f>
        <v>5.37323943661972</v>
      </c>
      <c r="G95" s="965">
        <f ca="1" t="shared" si="97"/>
        <v>7.92957746478873</v>
      </c>
      <c r="H95" s="965">
        <f ca="1" t="shared" si="97"/>
        <v>10.4859154929577</v>
      </c>
      <c r="I95" s="965">
        <f>(VLOOKUP($B$1,'Product Procurement Sheet'!B:I,8,0)*$L$1)/$P$1</f>
        <v>1.97183098591549</v>
      </c>
      <c r="J95" s="965">
        <f>(VLOOKUP($B$1,'Product Procurement Sheet'!B:I,8,0)*$M$1)/$P$1</f>
        <v>3.94366197183099</v>
      </c>
      <c r="K95" s="965">
        <f>(VLOOKUP($B$1,'Product Procurement Sheet'!B:I,8,0)*$N$1)/$P$1</f>
        <v>5.91549295774648</v>
      </c>
      <c r="L95" s="968">
        <f>VLOOKUP($B$1,'Product Procurement Sheet'!B:D,3,FALSE)*$L$1</f>
        <v>0.11</v>
      </c>
      <c r="M95" s="968">
        <f>VLOOKUP($B$1,'Product Procurement Sheet'!B:D,3,FALSE)*$M$1</f>
        <v>0.22</v>
      </c>
      <c r="N95" s="968">
        <f>VLOOKUP($B$1,'Product Procurement Sheet'!B:D,3,FALSE)*$N$1</f>
        <v>0.33</v>
      </c>
      <c r="O95" s="971" cm="1">
        <f ca="1" t="array" ref="O95">(_xlfn.SINGLE(_xlfn.XLOOKUP(1,(INDIRECT($R$1&amp;"!$C:$C")=B95)*(INDIRECT($R$1&amp;"!$G:$G")&lt;L95)*(INDIRECT($R$1&amp;"!$H:$H")&gt;=L95),INDIRECT($R$1&amp;"!$K:$K"))))*L95+(_xlfn.SINGLE(_xlfn.XLOOKUP(1,(INDIRECT($R$1&amp;"!$C:$C")=B95)*(INDIRECT($R$1&amp;"!$G:$G")&lt;L95)*(INDIRECT($R$1&amp;"!$H:$H")&gt;=L95),INDIRECT($R$1&amp;"!$L:$L"))))</f>
        <v>38.15</v>
      </c>
      <c r="P95" s="971" cm="1">
        <f ca="1" t="array" ref="P95">(_xlfn.SINGLE(_xlfn.XLOOKUP(1,(INDIRECT($R$1&amp;"!$C:$C")=B95)*(INDIRECT($R$1&amp;"!$G:$G")&lt;M95)*(INDIRECT($R$1&amp;"!$H:$H")&gt;=M95),INDIRECT($R$1&amp;"!$K:$K"))))*M95+(_xlfn.SINGLE(_xlfn.XLOOKUP(1,(INDIRECT($R$1&amp;"!$C:$C")=B95)*(INDIRECT($R$1&amp;"!$G:$G")&lt;M95)*(INDIRECT($R$1&amp;"!$H:$H")&gt;=M95),INDIRECT($R$1&amp;"!$L:$L"))))</f>
        <v>56.3</v>
      </c>
      <c r="Q95" s="971" cm="1">
        <f ca="1" t="array" ref="Q95">(_xlfn.SINGLE(_xlfn.XLOOKUP(1,(INDIRECT($R$1&amp;"!$C:$C")=B95)*(INDIRECT($R$1&amp;"!$G:$G")&lt;N95)*(INDIRECT($R$1&amp;"!$H:$H")&gt;=N95),INDIRECT($R$1&amp;"!$K:$K"))))*N95+(_xlfn.SINGLE(_xlfn.XLOOKUP(1,(INDIRECT($R$1&amp;"!$C:$C")=B95)*(INDIRECT($R$1&amp;"!$G:$G")&lt;N95)*(INDIRECT($R$1&amp;"!$H:$H")&gt;=N95),INDIRECT($R$1&amp;"!$L:$L"))))</f>
        <v>74.45</v>
      </c>
      <c r="R95" s="955"/>
    </row>
    <row r="96" ht="17.25" spans="1:18">
      <c r="A96" s="963" t="s">
        <v>206</v>
      </c>
      <c r="B96" s="963" t="s">
        <v>207</v>
      </c>
      <c r="C96" s="964">
        <f ca="1" t="shared" si="67"/>
        <v>7.93457746478873</v>
      </c>
      <c r="D96" s="964">
        <f ca="1" t="shared" si="68"/>
        <v>13.6085915492958</v>
      </c>
      <c r="E96" s="964">
        <f ca="1" t="shared" si="69"/>
        <v>19.2826056338028</v>
      </c>
      <c r="F96" s="965">
        <f ca="1" t="shared" ref="F96:H96" si="98">O96/$P$1</f>
        <v>5.44366197183099</v>
      </c>
      <c r="G96" s="965">
        <f ca="1" t="shared" si="98"/>
        <v>8.77464788732394</v>
      </c>
      <c r="H96" s="965">
        <f ca="1" t="shared" si="98"/>
        <v>12.1056338028169</v>
      </c>
      <c r="I96" s="965">
        <f>(VLOOKUP($B$1,'Product Procurement Sheet'!B:I,8,0)*$L$1)/$P$1</f>
        <v>1.97183098591549</v>
      </c>
      <c r="J96" s="965">
        <f>(VLOOKUP($B$1,'Product Procurement Sheet'!B:I,8,0)*$M$1)/$P$1</f>
        <v>3.94366197183099</v>
      </c>
      <c r="K96" s="965">
        <f>(VLOOKUP($B$1,'Product Procurement Sheet'!B:I,8,0)*$N$1)/$P$1</f>
        <v>5.91549295774648</v>
      </c>
      <c r="L96" s="968">
        <f>VLOOKUP($B$1,'Product Procurement Sheet'!B:D,3,FALSE)*$L$1</f>
        <v>0.11</v>
      </c>
      <c r="M96" s="968">
        <f>VLOOKUP($B$1,'Product Procurement Sheet'!B:D,3,FALSE)*$M$1</f>
        <v>0.22</v>
      </c>
      <c r="N96" s="968">
        <f>VLOOKUP($B$1,'Product Procurement Sheet'!B:D,3,FALSE)*$N$1</f>
        <v>0.33</v>
      </c>
      <c r="O96" s="971" cm="1">
        <f ca="1" t="array" ref="O96">(_xlfn.SINGLE(_xlfn.XLOOKUP(1,(INDIRECT($R$1&amp;"!$C:$C")=B96)*(INDIRECT($R$1&amp;"!$G:$G")&lt;L96)*(INDIRECT($R$1&amp;"!$H:$H")&gt;=L96),INDIRECT($R$1&amp;"!$K:$K"))))*L96+(_xlfn.SINGLE(_xlfn.XLOOKUP(1,(INDIRECT($R$1&amp;"!$C:$C")=B96)*(INDIRECT($R$1&amp;"!$G:$G")&lt;L96)*(INDIRECT($R$1&amp;"!$H:$H")&gt;=L96),INDIRECT($R$1&amp;"!$L:$L"))))</f>
        <v>38.65</v>
      </c>
      <c r="P96" s="971" cm="1">
        <f ca="1" t="array" ref="P96">(_xlfn.SINGLE(_xlfn.XLOOKUP(1,(INDIRECT($R$1&amp;"!$C:$C")=B96)*(INDIRECT($R$1&amp;"!$G:$G")&lt;M96)*(INDIRECT($R$1&amp;"!$H:$H")&gt;=M96),INDIRECT($R$1&amp;"!$K:$K"))))*M96+(_xlfn.SINGLE(_xlfn.XLOOKUP(1,(INDIRECT($R$1&amp;"!$C:$C")=B96)*(INDIRECT($R$1&amp;"!$G:$G")&lt;M96)*(INDIRECT($R$1&amp;"!$H:$H")&gt;=M96),INDIRECT($R$1&amp;"!$L:$L"))))</f>
        <v>62.3</v>
      </c>
      <c r="Q96" s="971" cm="1">
        <f ca="1" t="array" ref="Q96">(_xlfn.SINGLE(_xlfn.XLOOKUP(1,(INDIRECT($R$1&amp;"!$C:$C")=B96)*(INDIRECT($R$1&amp;"!$G:$G")&lt;N96)*(INDIRECT($R$1&amp;"!$H:$H")&gt;=N96),INDIRECT($R$1&amp;"!$K:$K"))))*N96+(_xlfn.SINGLE(_xlfn.XLOOKUP(1,(INDIRECT($R$1&amp;"!$C:$C")=B96)*(INDIRECT($R$1&amp;"!$G:$G")&lt;N96)*(INDIRECT($R$1&amp;"!$H:$H")&gt;=N96),INDIRECT($R$1&amp;"!$L:$L"))))</f>
        <v>85.95</v>
      </c>
      <c r="R96" s="955"/>
    </row>
    <row r="97" ht="17.25" spans="1:18">
      <c r="A97" s="963" t="s">
        <v>208</v>
      </c>
      <c r="B97" s="963" t="s">
        <v>209</v>
      </c>
      <c r="C97" s="964">
        <f ca="1" t="shared" si="67"/>
        <v>5.28218309859155</v>
      </c>
      <c r="D97" s="964">
        <f ca="1" t="shared" si="68"/>
        <v>8.30380281690141</v>
      </c>
      <c r="E97" s="964">
        <f ca="1" t="shared" si="69"/>
        <v>11.3254225352113</v>
      </c>
      <c r="F97" s="965">
        <f ca="1" t="shared" ref="F97:H97" si="99">O97/$P$1</f>
        <v>2.96478873239437</v>
      </c>
      <c r="G97" s="965">
        <f ca="1" t="shared" si="99"/>
        <v>3.8169014084507</v>
      </c>
      <c r="H97" s="965">
        <f ca="1" t="shared" si="99"/>
        <v>4.66901408450704</v>
      </c>
      <c r="I97" s="965">
        <f>(VLOOKUP($B$1,'Product Procurement Sheet'!B:I,8,0)*$L$1)/$P$1</f>
        <v>1.97183098591549</v>
      </c>
      <c r="J97" s="965">
        <f>(VLOOKUP($B$1,'Product Procurement Sheet'!B:I,8,0)*$M$1)/$P$1</f>
        <v>3.94366197183099</v>
      </c>
      <c r="K97" s="965">
        <f>(VLOOKUP($B$1,'Product Procurement Sheet'!B:I,8,0)*$N$1)/$P$1</f>
        <v>5.91549295774648</v>
      </c>
      <c r="L97" s="968">
        <f>VLOOKUP($B$1,'Product Procurement Sheet'!B:D,3,FALSE)*$L$1</f>
        <v>0.11</v>
      </c>
      <c r="M97" s="968">
        <f>VLOOKUP($B$1,'Product Procurement Sheet'!B:D,3,FALSE)*$M$1</f>
        <v>0.22</v>
      </c>
      <c r="N97" s="968">
        <f>VLOOKUP($B$1,'Product Procurement Sheet'!B:D,3,FALSE)*$N$1</f>
        <v>0.33</v>
      </c>
      <c r="O97" s="971" cm="1">
        <f ca="1" t="array" ref="O97">(_xlfn.SINGLE(_xlfn.XLOOKUP(1,(INDIRECT($R$1&amp;"!$C:$C")=B97)*(INDIRECT($R$1&amp;"!$G:$G")&lt;L97)*(INDIRECT($R$1&amp;"!$H:$H")&gt;=L97),INDIRECT($R$1&amp;"!$K:$K"))))*L97+(_xlfn.SINGLE(_xlfn.XLOOKUP(1,(INDIRECT($R$1&amp;"!$C:$C")=B97)*(INDIRECT($R$1&amp;"!$G:$G")&lt;L97)*(INDIRECT($R$1&amp;"!$H:$H")&gt;=L97),INDIRECT($R$1&amp;"!$L:$L"))))</f>
        <v>21.05</v>
      </c>
      <c r="P97" s="971" cm="1">
        <f ca="1" t="array" ref="P97">(_xlfn.SINGLE(_xlfn.XLOOKUP(1,(INDIRECT($R$1&amp;"!$C:$C")=B97)*(INDIRECT($R$1&amp;"!$G:$G")&lt;M97)*(INDIRECT($R$1&amp;"!$H:$H")&gt;=M97),INDIRECT($R$1&amp;"!$K:$K"))))*M97+(_xlfn.SINGLE(_xlfn.XLOOKUP(1,(INDIRECT($R$1&amp;"!$C:$C")=B97)*(INDIRECT($R$1&amp;"!$G:$G")&lt;M97)*(INDIRECT($R$1&amp;"!$H:$H")&gt;=M97),INDIRECT($R$1&amp;"!$L:$L"))))</f>
        <v>27.1</v>
      </c>
      <c r="Q97" s="971" cm="1">
        <f ca="1" t="array" ref="Q97">(_xlfn.SINGLE(_xlfn.XLOOKUP(1,(INDIRECT($R$1&amp;"!$C:$C")=B97)*(INDIRECT($R$1&amp;"!$G:$G")&lt;N97)*(INDIRECT($R$1&amp;"!$H:$H")&gt;=N97),INDIRECT($R$1&amp;"!$K:$K"))))*N97+(_xlfn.SINGLE(_xlfn.XLOOKUP(1,(INDIRECT($R$1&amp;"!$C:$C")=B97)*(INDIRECT($R$1&amp;"!$G:$G")&lt;N97)*(INDIRECT($R$1&amp;"!$H:$H")&gt;=N97),INDIRECT($R$1&amp;"!$L:$L"))))</f>
        <v>33.15</v>
      </c>
      <c r="R97" s="955"/>
    </row>
    <row r="98" ht="17.25" spans="1:18">
      <c r="A98" s="963" t="s">
        <v>210</v>
      </c>
      <c r="B98" s="963" t="s">
        <v>211</v>
      </c>
      <c r="C98" s="964">
        <f ca="1" t="shared" si="67"/>
        <v>7.85922535211267</v>
      </c>
      <c r="D98" s="964">
        <f ca="1" t="shared" si="68"/>
        <v>12.7043661971831</v>
      </c>
      <c r="E98" s="964">
        <f ca="1" t="shared" si="69"/>
        <v>17.5495070422535</v>
      </c>
      <c r="F98" s="965">
        <f ca="1" t="shared" ref="F98:H98" si="100">O98/$P$1</f>
        <v>5.37323943661972</v>
      </c>
      <c r="G98" s="965">
        <f ca="1" t="shared" si="100"/>
        <v>7.92957746478873</v>
      </c>
      <c r="H98" s="965">
        <f ca="1" t="shared" si="100"/>
        <v>10.4859154929577</v>
      </c>
      <c r="I98" s="965">
        <f>(VLOOKUP($B$1,'Product Procurement Sheet'!B:I,8,0)*$L$1)/$P$1</f>
        <v>1.97183098591549</v>
      </c>
      <c r="J98" s="965">
        <f>(VLOOKUP($B$1,'Product Procurement Sheet'!B:I,8,0)*$M$1)/$P$1</f>
        <v>3.94366197183099</v>
      </c>
      <c r="K98" s="965">
        <f>(VLOOKUP($B$1,'Product Procurement Sheet'!B:I,8,0)*$N$1)/$P$1</f>
        <v>5.91549295774648</v>
      </c>
      <c r="L98" s="968">
        <f>VLOOKUP($B$1,'Product Procurement Sheet'!B:D,3,FALSE)*$L$1</f>
        <v>0.11</v>
      </c>
      <c r="M98" s="968">
        <f>VLOOKUP($B$1,'Product Procurement Sheet'!B:D,3,FALSE)*$M$1</f>
        <v>0.22</v>
      </c>
      <c r="N98" s="968">
        <f>VLOOKUP($B$1,'Product Procurement Sheet'!B:D,3,FALSE)*$N$1</f>
        <v>0.33</v>
      </c>
      <c r="O98" s="971" cm="1">
        <f ca="1" t="array" ref="O98">(_xlfn.SINGLE(_xlfn.XLOOKUP(1,(INDIRECT($R$1&amp;"!$C:$C")=B98)*(INDIRECT($R$1&amp;"!$G:$G")&lt;L98)*(INDIRECT($R$1&amp;"!$H:$H")&gt;=L98),INDIRECT($R$1&amp;"!$K:$K"))))*L98+(_xlfn.SINGLE(_xlfn.XLOOKUP(1,(INDIRECT($R$1&amp;"!$C:$C")=B98)*(INDIRECT($R$1&amp;"!$G:$G")&lt;L98)*(INDIRECT($R$1&amp;"!$H:$H")&gt;=L98),INDIRECT($R$1&amp;"!$L:$L"))))</f>
        <v>38.15</v>
      </c>
      <c r="P98" s="971" cm="1">
        <f ca="1" t="array" ref="P98">(_xlfn.SINGLE(_xlfn.XLOOKUP(1,(INDIRECT($R$1&amp;"!$C:$C")=B98)*(INDIRECT($R$1&amp;"!$G:$G")&lt;M98)*(INDIRECT($R$1&amp;"!$H:$H")&gt;=M98),INDIRECT($R$1&amp;"!$K:$K"))))*M98+(_xlfn.SINGLE(_xlfn.XLOOKUP(1,(INDIRECT($R$1&amp;"!$C:$C")=B98)*(INDIRECT($R$1&amp;"!$G:$G")&lt;M98)*(INDIRECT($R$1&amp;"!$H:$H")&gt;=M98),INDIRECT($R$1&amp;"!$L:$L"))))</f>
        <v>56.3</v>
      </c>
      <c r="Q98" s="971" cm="1">
        <f ca="1" t="array" ref="Q98">(_xlfn.SINGLE(_xlfn.XLOOKUP(1,(INDIRECT($R$1&amp;"!$C:$C")=B98)*(INDIRECT($R$1&amp;"!$G:$G")&lt;N98)*(INDIRECT($R$1&amp;"!$H:$H")&gt;=N98),INDIRECT($R$1&amp;"!$K:$K"))))*N98+(_xlfn.SINGLE(_xlfn.XLOOKUP(1,(INDIRECT($R$1&amp;"!$C:$C")=B98)*(INDIRECT($R$1&amp;"!$G:$G")&lt;N98)*(INDIRECT($R$1&amp;"!$H:$H")&gt;=N98),INDIRECT($R$1&amp;"!$L:$L"))))</f>
        <v>74.45</v>
      </c>
      <c r="R98" s="955"/>
    </row>
    <row r="99" ht="17.25" spans="1:18">
      <c r="A99" s="963" t="s">
        <v>212</v>
      </c>
      <c r="B99" s="963" t="s">
        <v>213</v>
      </c>
      <c r="C99" s="964">
        <f ca="1" t="shared" si="67"/>
        <v>4.03133802816901</v>
      </c>
      <c r="D99" s="964">
        <f ca="1" t="shared" si="68"/>
        <v>6.55563380281691</v>
      </c>
      <c r="E99" s="964">
        <f ca="1" t="shared" si="69"/>
        <v>9.07992957746479</v>
      </c>
      <c r="F99" s="965">
        <f ca="1" t="shared" ref="F99:H99" si="101">O99/$P$1</f>
        <v>1.79577464788732</v>
      </c>
      <c r="G99" s="965">
        <f ca="1" t="shared" si="101"/>
        <v>2.1830985915493</v>
      </c>
      <c r="H99" s="965">
        <f ca="1" t="shared" si="101"/>
        <v>2.57042253521127</v>
      </c>
      <c r="I99" s="965">
        <f>(VLOOKUP($B$1,'Product Procurement Sheet'!B:I,8,0)*$L$1)/$P$1</f>
        <v>1.97183098591549</v>
      </c>
      <c r="J99" s="965">
        <f>(VLOOKUP($B$1,'Product Procurement Sheet'!B:I,8,0)*$M$1)/$P$1</f>
        <v>3.94366197183099</v>
      </c>
      <c r="K99" s="965">
        <f>(VLOOKUP($B$1,'Product Procurement Sheet'!B:I,8,0)*$N$1)/$P$1</f>
        <v>5.91549295774648</v>
      </c>
      <c r="L99" s="968">
        <f>VLOOKUP($B$1,'Product Procurement Sheet'!B:D,3,FALSE)*$L$1</f>
        <v>0.11</v>
      </c>
      <c r="M99" s="968">
        <f>VLOOKUP($B$1,'Product Procurement Sheet'!B:D,3,FALSE)*$M$1</f>
        <v>0.22</v>
      </c>
      <c r="N99" s="968">
        <f>VLOOKUP($B$1,'Product Procurement Sheet'!B:D,3,FALSE)*$N$1</f>
        <v>0.33</v>
      </c>
      <c r="O99" s="971" cm="1">
        <f ca="1" t="array" ref="O99">(_xlfn.SINGLE(_xlfn.XLOOKUP(1,(INDIRECT($R$1&amp;"!$C:$C")=B99)*(INDIRECT($R$1&amp;"!$G:$G")&lt;L99)*(INDIRECT($R$1&amp;"!$H:$H")&gt;=L99),INDIRECT($R$1&amp;"!$K:$K"))))*L99+(_xlfn.SINGLE(_xlfn.XLOOKUP(1,(INDIRECT($R$1&amp;"!$C:$C")=B99)*(INDIRECT($R$1&amp;"!$G:$G")&lt;L99)*(INDIRECT($R$1&amp;"!$H:$H")&gt;=L99),INDIRECT($R$1&amp;"!$L:$L"))))</f>
        <v>12.75</v>
      </c>
      <c r="P99" s="971" cm="1">
        <f ca="1" t="array" ref="P99">(_xlfn.SINGLE(_xlfn.XLOOKUP(1,(INDIRECT($R$1&amp;"!$C:$C")=B99)*(INDIRECT($R$1&amp;"!$G:$G")&lt;M99)*(INDIRECT($R$1&amp;"!$H:$H")&gt;=M99),INDIRECT($R$1&amp;"!$K:$K"))))*M99+(_xlfn.SINGLE(_xlfn.XLOOKUP(1,(INDIRECT($R$1&amp;"!$C:$C")=B99)*(INDIRECT($R$1&amp;"!$G:$G")&lt;M99)*(INDIRECT($R$1&amp;"!$H:$H")&gt;=M99),INDIRECT($R$1&amp;"!$L:$L"))))</f>
        <v>15.5</v>
      </c>
      <c r="Q99" s="971" cm="1">
        <f ca="1" t="array" ref="Q99">(_xlfn.SINGLE(_xlfn.XLOOKUP(1,(INDIRECT($R$1&amp;"!$C:$C")=B99)*(INDIRECT($R$1&amp;"!$G:$G")&lt;N99)*(INDIRECT($R$1&amp;"!$H:$H")&gt;=N99),INDIRECT($R$1&amp;"!$K:$K"))))*N99+(_xlfn.SINGLE(_xlfn.XLOOKUP(1,(INDIRECT($R$1&amp;"!$C:$C")=B99)*(INDIRECT($R$1&amp;"!$G:$G")&lt;N99)*(INDIRECT($R$1&amp;"!$H:$H")&gt;=N99),INDIRECT($R$1&amp;"!$L:$L"))))</f>
        <v>18.25</v>
      </c>
      <c r="R99" s="955"/>
    </row>
    <row r="100" ht="17.25" spans="1:18">
      <c r="A100" s="963" t="s">
        <v>214</v>
      </c>
      <c r="B100" s="963" t="s">
        <v>215</v>
      </c>
      <c r="C100" s="964">
        <f ca="1" t="shared" si="67"/>
        <v>7.27147887323943</v>
      </c>
      <c r="D100" s="964">
        <f ca="1" t="shared" si="68"/>
        <v>12.2823943661972</v>
      </c>
      <c r="E100" s="964">
        <f ca="1" t="shared" si="69"/>
        <v>17.2933098591549</v>
      </c>
      <c r="F100" s="965">
        <f ca="1" t="shared" ref="F100:H100" si="102">O100/$P$1</f>
        <v>4.82394366197183</v>
      </c>
      <c r="G100" s="965">
        <f ca="1" t="shared" si="102"/>
        <v>7.53521126760563</v>
      </c>
      <c r="H100" s="965">
        <f ca="1" t="shared" si="102"/>
        <v>10.2464788732394</v>
      </c>
      <c r="I100" s="965">
        <f>(VLOOKUP($B$1,'Product Procurement Sheet'!B:I,8,0)*$L$1)/$P$1</f>
        <v>1.97183098591549</v>
      </c>
      <c r="J100" s="965">
        <f>(VLOOKUP($B$1,'Product Procurement Sheet'!B:I,8,0)*$M$1)/$P$1</f>
        <v>3.94366197183099</v>
      </c>
      <c r="K100" s="965">
        <f>(VLOOKUP($B$1,'Product Procurement Sheet'!B:I,8,0)*$N$1)/$P$1</f>
        <v>5.91549295774648</v>
      </c>
      <c r="L100" s="968">
        <f>VLOOKUP($B$1,'Product Procurement Sheet'!B:D,3,FALSE)*$L$1</f>
        <v>0.11</v>
      </c>
      <c r="M100" s="968">
        <f>VLOOKUP($B$1,'Product Procurement Sheet'!B:D,3,FALSE)*$M$1</f>
        <v>0.22</v>
      </c>
      <c r="N100" s="968">
        <f>VLOOKUP($B$1,'Product Procurement Sheet'!B:D,3,FALSE)*$N$1</f>
        <v>0.33</v>
      </c>
      <c r="O100" s="971" cm="1">
        <f ca="1" t="array" ref="O100">(_xlfn.SINGLE(_xlfn.XLOOKUP(1,(INDIRECT($R$1&amp;"!$C:$C")=B100)*(INDIRECT($R$1&amp;"!$G:$G")&lt;L100)*(INDIRECT($R$1&amp;"!$H:$H")&gt;=L100),INDIRECT($R$1&amp;"!$K:$K"))))*L100+(_xlfn.SINGLE(_xlfn.XLOOKUP(1,(INDIRECT($R$1&amp;"!$C:$C")=B100)*(INDIRECT($R$1&amp;"!$G:$G")&lt;L100)*(INDIRECT($R$1&amp;"!$H:$H")&gt;=L100),INDIRECT($R$1&amp;"!$L:$L"))))</f>
        <v>34.25</v>
      </c>
      <c r="P100" s="971" cm="1">
        <f ca="1" t="array" ref="P100">(_xlfn.SINGLE(_xlfn.XLOOKUP(1,(INDIRECT($R$1&amp;"!$C:$C")=B100)*(INDIRECT($R$1&amp;"!$G:$G")&lt;M100)*(INDIRECT($R$1&amp;"!$H:$H")&gt;=M100),INDIRECT($R$1&amp;"!$K:$K"))))*M100+(_xlfn.SINGLE(_xlfn.XLOOKUP(1,(INDIRECT($R$1&amp;"!$C:$C")=B100)*(INDIRECT($R$1&amp;"!$G:$G")&lt;M100)*(INDIRECT($R$1&amp;"!$H:$H")&gt;=M100),INDIRECT($R$1&amp;"!$L:$L"))))</f>
        <v>53.5</v>
      </c>
      <c r="Q100" s="971" cm="1">
        <f ca="1" t="array" ref="Q100">(_xlfn.SINGLE(_xlfn.XLOOKUP(1,(INDIRECT($R$1&amp;"!$C:$C")=B100)*(INDIRECT($R$1&amp;"!$G:$G")&lt;N100)*(INDIRECT($R$1&amp;"!$H:$H")&gt;=N100),INDIRECT($R$1&amp;"!$K:$K"))))*N100+(_xlfn.SINGLE(_xlfn.XLOOKUP(1,(INDIRECT($R$1&amp;"!$C:$C")=B100)*(INDIRECT($R$1&amp;"!$G:$G")&lt;N100)*(INDIRECT($R$1&amp;"!$H:$H")&gt;=N100),INDIRECT($R$1&amp;"!$L:$L"))))</f>
        <v>72.75</v>
      </c>
      <c r="R100" s="955"/>
    </row>
    <row r="101" ht="17.25" spans="1:18">
      <c r="A101" s="963" t="s">
        <v>216</v>
      </c>
      <c r="B101" s="963" t="s">
        <v>217</v>
      </c>
      <c r="C101" s="964">
        <f ca="1" t="shared" si="67"/>
        <v>8.61274647887324</v>
      </c>
      <c r="D101" s="964">
        <f ca="1" t="shared" si="68"/>
        <v>15.1156338028169</v>
      </c>
      <c r="E101" s="964">
        <f ca="1" t="shared" si="69"/>
        <v>21.6185211267606</v>
      </c>
      <c r="F101" s="965">
        <f ca="1" t="shared" ref="F101:H101" si="103">O101/$P$1</f>
        <v>6.07746478873239</v>
      </c>
      <c r="G101" s="965">
        <f ca="1" t="shared" si="103"/>
        <v>10.1830985915493</v>
      </c>
      <c r="H101" s="965">
        <f ca="1" t="shared" si="103"/>
        <v>14.2887323943662</v>
      </c>
      <c r="I101" s="965">
        <f>(VLOOKUP($B$1,'Product Procurement Sheet'!B:I,8,0)*$L$1)/$P$1</f>
        <v>1.97183098591549</v>
      </c>
      <c r="J101" s="965">
        <f>(VLOOKUP($B$1,'Product Procurement Sheet'!B:I,8,0)*$M$1)/$P$1</f>
        <v>3.94366197183099</v>
      </c>
      <c r="K101" s="965">
        <f>(VLOOKUP($B$1,'Product Procurement Sheet'!B:I,8,0)*$N$1)/$P$1</f>
        <v>5.91549295774648</v>
      </c>
      <c r="L101" s="968">
        <f>VLOOKUP($B$1,'Product Procurement Sheet'!B:D,3,FALSE)*$L$1</f>
        <v>0.11</v>
      </c>
      <c r="M101" s="968">
        <f>VLOOKUP($B$1,'Product Procurement Sheet'!B:D,3,FALSE)*$M$1</f>
        <v>0.22</v>
      </c>
      <c r="N101" s="968">
        <f>VLOOKUP($B$1,'Product Procurement Sheet'!B:D,3,FALSE)*$N$1</f>
        <v>0.33</v>
      </c>
      <c r="O101" s="971" cm="1">
        <f ca="1" t="array" ref="O101">(_xlfn.SINGLE(_xlfn.XLOOKUP(1,(INDIRECT($R$1&amp;"!$C:$C")=B101)*(INDIRECT($R$1&amp;"!$G:$G")&lt;L101)*(INDIRECT($R$1&amp;"!$H:$H")&gt;=L101),INDIRECT($R$1&amp;"!$K:$K"))))*L101+(_xlfn.SINGLE(_xlfn.XLOOKUP(1,(INDIRECT($R$1&amp;"!$C:$C")=B101)*(INDIRECT($R$1&amp;"!$G:$G")&lt;L101)*(INDIRECT($R$1&amp;"!$H:$H")&gt;=L101),INDIRECT($R$1&amp;"!$L:$L"))))</f>
        <v>43.15</v>
      </c>
      <c r="P101" s="971" cm="1">
        <f ca="1" t="array" ref="P101">(_xlfn.SINGLE(_xlfn.XLOOKUP(1,(INDIRECT($R$1&amp;"!$C:$C")=B101)*(INDIRECT($R$1&amp;"!$G:$G")&lt;M101)*(INDIRECT($R$1&amp;"!$H:$H")&gt;=M101),INDIRECT($R$1&amp;"!$K:$K"))))*M101+(_xlfn.SINGLE(_xlfn.XLOOKUP(1,(INDIRECT($R$1&amp;"!$C:$C")=B101)*(INDIRECT($R$1&amp;"!$G:$G")&lt;M101)*(INDIRECT($R$1&amp;"!$H:$H")&gt;=M101),INDIRECT($R$1&amp;"!$L:$L"))))</f>
        <v>72.3</v>
      </c>
      <c r="Q101" s="971" cm="1">
        <f ca="1" t="array" ref="Q101">(_xlfn.SINGLE(_xlfn.XLOOKUP(1,(INDIRECT($R$1&amp;"!$C:$C")=B101)*(INDIRECT($R$1&amp;"!$G:$G")&lt;N101)*(INDIRECT($R$1&amp;"!$H:$H")&gt;=N101),INDIRECT($R$1&amp;"!$K:$K"))))*N101+(_xlfn.SINGLE(_xlfn.XLOOKUP(1,(INDIRECT($R$1&amp;"!$C:$C")=B101)*(INDIRECT($R$1&amp;"!$G:$G")&lt;N101)*(INDIRECT($R$1&amp;"!$H:$H")&gt;=N101),INDIRECT($R$1&amp;"!$L:$L"))))</f>
        <v>101.45</v>
      </c>
      <c r="R101" s="955"/>
    </row>
    <row r="102" ht="17.25" spans="1:18">
      <c r="A102" s="963" t="s">
        <v>218</v>
      </c>
      <c r="B102" s="963" t="s">
        <v>219</v>
      </c>
      <c r="C102" s="964">
        <f ca="1" t="shared" si="67"/>
        <v>9.33612676056338</v>
      </c>
      <c r="D102" s="964">
        <f ca="1" t="shared" si="68"/>
        <v>15.5074647887324</v>
      </c>
      <c r="E102" s="964">
        <f ca="1" t="shared" si="69"/>
        <v>21.6788028169014</v>
      </c>
      <c r="F102" s="965">
        <f ca="1" t="shared" ref="F102:H102" si="104">O102/$P$1</f>
        <v>6.75352112676056</v>
      </c>
      <c r="G102" s="965">
        <f ca="1" t="shared" si="104"/>
        <v>10.5492957746479</v>
      </c>
      <c r="H102" s="965">
        <f ca="1" t="shared" si="104"/>
        <v>14.3450704225352</v>
      </c>
      <c r="I102" s="965">
        <f>(VLOOKUP($B$1,'Product Procurement Sheet'!B:I,8,0)*$L$1)/$P$1</f>
        <v>1.97183098591549</v>
      </c>
      <c r="J102" s="965">
        <f>(VLOOKUP($B$1,'Product Procurement Sheet'!B:I,8,0)*$M$1)/$P$1</f>
        <v>3.94366197183099</v>
      </c>
      <c r="K102" s="965">
        <f>(VLOOKUP($B$1,'Product Procurement Sheet'!B:I,8,0)*$N$1)/$P$1</f>
        <v>5.91549295774648</v>
      </c>
      <c r="L102" s="968">
        <f>VLOOKUP($B$1,'Product Procurement Sheet'!B:D,3,FALSE)*$L$1</f>
        <v>0.11</v>
      </c>
      <c r="M102" s="968">
        <f>VLOOKUP($B$1,'Product Procurement Sheet'!B:D,3,FALSE)*$M$1</f>
        <v>0.22</v>
      </c>
      <c r="N102" s="968">
        <f>VLOOKUP($B$1,'Product Procurement Sheet'!B:D,3,FALSE)*$N$1</f>
        <v>0.33</v>
      </c>
      <c r="O102" s="971" cm="1">
        <f ca="1" t="array" ref="O102">(_xlfn.SINGLE(_xlfn.XLOOKUP(1,(INDIRECT($R$1&amp;"!$C:$C")=B102)*(INDIRECT($R$1&amp;"!$G:$G")&lt;L102)*(INDIRECT($R$1&amp;"!$H:$H")&gt;=L102),INDIRECT($R$1&amp;"!$K:$K"))))*L102+(_xlfn.SINGLE(_xlfn.XLOOKUP(1,(INDIRECT($R$1&amp;"!$C:$C")=B102)*(INDIRECT($R$1&amp;"!$G:$G")&lt;L102)*(INDIRECT($R$1&amp;"!$H:$H")&gt;=L102),INDIRECT($R$1&amp;"!$L:$L"))))</f>
        <v>47.95</v>
      </c>
      <c r="P102" s="971" cm="1">
        <f ca="1" t="array" ref="P102">(_xlfn.SINGLE(_xlfn.XLOOKUP(1,(INDIRECT($R$1&amp;"!$C:$C")=B102)*(INDIRECT($R$1&amp;"!$G:$G")&lt;M102)*(INDIRECT($R$1&amp;"!$H:$H")&gt;=M102),INDIRECT($R$1&amp;"!$K:$K"))))*M102+(_xlfn.SINGLE(_xlfn.XLOOKUP(1,(INDIRECT($R$1&amp;"!$C:$C")=B102)*(INDIRECT($R$1&amp;"!$G:$G")&lt;M102)*(INDIRECT($R$1&amp;"!$H:$H")&gt;=M102),INDIRECT($R$1&amp;"!$L:$L"))))</f>
        <v>74.9</v>
      </c>
      <c r="Q102" s="971" cm="1">
        <f ca="1" t="array" ref="Q102">(_xlfn.SINGLE(_xlfn.XLOOKUP(1,(INDIRECT($R$1&amp;"!$C:$C")=B102)*(INDIRECT($R$1&amp;"!$G:$G")&lt;N102)*(INDIRECT($R$1&amp;"!$H:$H")&gt;=N102),INDIRECT($R$1&amp;"!$K:$K"))))*N102+(_xlfn.SINGLE(_xlfn.XLOOKUP(1,(INDIRECT($R$1&amp;"!$C:$C")=B102)*(INDIRECT($R$1&amp;"!$G:$G")&lt;N102)*(INDIRECT($R$1&amp;"!$H:$H")&gt;=N102),INDIRECT($R$1&amp;"!$L:$L"))))</f>
        <v>101.85</v>
      </c>
      <c r="R102" s="955"/>
    </row>
    <row r="103" ht="17.25" spans="1:18">
      <c r="A103" s="963" t="s">
        <v>220</v>
      </c>
      <c r="B103" s="963" t="s">
        <v>221</v>
      </c>
      <c r="C103" s="964">
        <f ca="1" t="shared" si="67"/>
        <v>7.12077464788732</v>
      </c>
      <c r="D103" s="964">
        <f ca="1" t="shared" si="68"/>
        <v>12.1316901408451</v>
      </c>
      <c r="E103" s="964">
        <f ca="1" t="shared" si="69"/>
        <v>17.1426056338028</v>
      </c>
      <c r="F103" s="965">
        <f ca="1" t="shared" ref="F103:H103" si="105">O103/$P$1</f>
        <v>4.6830985915493</v>
      </c>
      <c r="G103" s="965">
        <f ca="1" t="shared" si="105"/>
        <v>7.3943661971831</v>
      </c>
      <c r="H103" s="965">
        <f ca="1" t="shared" si="105"/>
        <v>10.1056338028169</v>
      </c>
      <c r="I103" s="965">
        <f>(VLOOKUP($B$1,'Product Procurement Sheet'!B:I,8,0)*$L$1)/$P$1</f>
        <v>1.97183098591549</v>
      </c>
      <c r="J103" s="965">
        <f>(VLOOKUP($B$1,'Product Procurement Sheet'!B:I,8,0)*$M$1)/$P$1</f>
        <v>3.94366197183099</v>
      </c>
      <c r="K103" s="965">
        <f>(VLOOKUP($B$1,'Product Procurement Sheet'!B:I,8,0)*$N$1)/$P$1</f>
        <v>5.91549295774648</v>
      </c>
      <c r="L103" s="968">
        <f>VLOOKUP($B$1,'Product Procurement Sheet'!B:D,3,FALSE)*$L$1</f>
        <v>0.11</v>
      </c>
      <c r="M103" s="968">
        <f>VLOOKUP($B$1,'Product Procurement Sheet'!B:D,3,FALSE)*$M$1</f>
        <v>0.22</v>
      </c>
      <c r="N103" s="968">
        <f>VLOOKUP($B$1,'Product Procurement Sheet'!B:D,3,FALSE)*$N$1</f>
        <v>0.33</v>
      </c>
      <c r="O103" s="971" cm="1">
        <f ca="1" t="array" ref="O103">(_xlfn.SINGLE(_xlfn.XLOOKUP(1,(INDIRECT($R$1&amp;"!$C:$C")=B103)*(INDIRECT($R$1&amp;"!$G:$G")&lt;L103)*(INDIRECT($R$1&amp;"!$H:$H")&gt;=L103),INDIRECT($R$1&amp;"!$K:$K"))))*L103+(_xlfn.SINGLE(_xlfn.XLOOKUP(1,(INDIRECT($R$1&amp;"!$C:$C")=B103)*(INDIRECT($R$1&amp;"!$G:$G")&lt;L103)*(INDIRECT($R$1&amp;"!$H:$H")&gt;=L103),INDIRECT($R$1&amp;"!$L:$L"))))</f>
        <v>33.25</v>
      </c>
      <c r="P103" s="971" cm="1">
        <f ca="1" t="array" ref="P103">(_xlfn.SINGLE(_xlfn.XLOOKUP(1,(INDIRECT($R$1&amp;"!$C:$C")=B103)*(INDIRECT($R$1&amp;"!$G:$G")&lt;M103)*(INDIRECT($R$1&amp;"!$H:$H")&gt;=M103),INDIRECT($R$1&amp;"!$K:$K"))))*M103+(_xlfn.SINGLE(_xlfn.XLOOKUP(1,(INDIRECT($R$1&amp;"!$C:$C")=B103)*(INDIRECT($R$1&amp;"!$G:$G")&lt;M103)*(INDIRECT($R$1&amp;"!$H:$H")&gt;=M103),INDIRECT($R$1&amp;"!$L:$L"))))</f>
        <v>52.5</v>
      </c>
      <c r="Q103" s="971" cm="1">
        <f ca="1" t="array" ref="Q103">(_xlfn.SINGLE(_xlfn.XLOOKUP(1,(INDIRECT($R$1&amp;"!$C:$C")=B103)*(INDIRECT($R$1&amp;"!$G:$G")&lt;N103)*(INDIRECT($R$1&amp;"!$H:$H")&gt;=N103),INDIRECT($R$1&amp;"!$K:$K"))))*N103+(_xlfn.SINGLE(_xlfn.XLOOKUP(1,(INDIRECT($R$1&amp;"!$C:$C")=B103)*(INDIRECT($R$1&amp;"!$G:$G")&lt;N103)*(INDIRECT($R$1&amp;"!$H:$H")&gt;=N103),INDIRECT($R$1&amp;"!$L:$L"))))</f>
        <v>71.75</v>
      </c>
      <c r="R103" s="955"/>
    </row>
    <row r="104" ht="17.25" spans="1:18">
      <c r="A104" s="963" t="s">
        <v>222</v>
      </c>
      <c r="B104" s="963" t="s">
        <v>223</v>
      </c>
      <c r="C104" s="964">
        <f ca="1" t="shared" si="67"/>
        <v>10.0293661971831</v>
      </c>
      <c r="D104" s="964">
        <f ca="1" t="shared" si="68"/>
        <v>15.5376056338028</v>
      </c>
      <c r="E104" s="964">
        <f ca="1" t="shared" si="69"/>
        <v>21.0458450704225</v>
      </c>
      <c r="F104" s="965">
        <f ca="1" t="shared" ref="F104:H104" si="106">O104/$P$1</f>
        <v>7.40140845070423</v>
      </c>
      <c r="G104" s="965">
        <f ca="1" t="shared" si="106"/>
        <v>10.5774647887324</v>
      </c>
      <c r="H104" s="965">
        <f ca="1" t="shared" si="106"/>
        <v>13.7535211267606</v>
      </c>
      <c r="I104" s="965">
        <f>(VLOOKUP($B$1,'Product Procurement Sheet'!B:I,8,0)*$L$1)/$P$1</f>
        <v>1.97183098591549</v>
      </c>
      <c r="J104" s="965">
        <f>(VLOOKUP($B$1,'Product Procurement Sheet'!B:I,8,0)*$M$1)/$P$1</f>
        <v>3.94366197183099</v>
      </c>
      <c r="K104" s="965">
        <f>(VLOOKUP($B$1,'Product Procurement Sheet'!B:I,8,0)*$N$1)/$P$1</f>
        <v>5.91549295774648</v>
      </c>
      <c r="L104" s="968">
        <f>VLOOKUP($B$1,'Product Procurement Sheet'!B:D,3,FALSE)*$L$1</f>
        <v>0.11</v>
      </c>
      <c r="M104" s="968">
        <f>VLOOKUP($B$1,'Product Procurement Sheet'!B:D,3,FALSE)*$M$1</f>
        <v>0.22</v>
      </c>
      <c r="N104" s="968">
        <f>VLOOKUP($B$1,'Product Procurement Sheet'!B:D,3,FALSE)*$N$1</f>
        <v>0.33</v>
      </c>
      <c r="O104" s="971" cm="1">
        <f ca="1" t="array" ref="O104">(_xlfn.SINGLE(_xlfn.XLOOKUP(1,(INDIRECT($R$1&amp;"!$C:$C")=B104)*(INDIRECT($R$1&amp;"!$G:$G")&lt;L104)*(INDIRECT($R$1&amp;"!$H:$H")&gt;=L104),INDIRECT($R$1&amp;"!$K:$K"))))*L104+(_xlfn.SINGLE(_xlfn.XLOOKUP(1,(INDIRECT($R$1&amp;"!$C:$C")=B104)*(INDIRECT($R$1&amp;"!$G:$G")&lt;L104)*(INDIRECT($R$1&amp;"!$H:$H")&gt;=L104),INDIRECT($R$1&amp;"!$L:$L"))))</f>
        <v>52.55</v>
      </c>
      <c r="P104" s="971" cm="1">
        <f ca="1" t="array" ref="P104">(_xlfn.SINGLE(_xlfn.XLOOKUP(1,(INDIRECT($R$1&amp;"!$C:$C")=B104)*(INDIRECT($R$1&amp;"!$G:$G")&lt;M104)*(INDIRECT($R$1&amp;"!$H:$H")&gt;=M104),INDIRECT($R$1&amp;"!$K:$K"))))*M104+(_xlfn.SINGLE(_xlfn.XLOOKUP(1,(INDIRECT($R$1&amp;"!$C:$C")=B104)*(INDIRECT($R$1&amp;"!$G:$G")&lt;M104)*(INDIRECT($R$1&amp;"!$H:$H")&gt;=M104),INDIRECT($R$1&amp;"!$L:$L"))))</f>
        <v>75.1</v>
      </c>
      <c r="Q104" s="971" cm="1">
        <f ca="1" t="array" ref="Q104">(_xlfn.SINGLE(_xlfn.XLOOKUP(1,(INDIRECT($R$1&amp;"!$C:$C")=B104)*(INDIRECT($R$1&amp;"!$G:$G")&lt;N104)*(INDIRECT($R$1&amp;"!$H:$H")&gt;=N104),INDIRECT($R$1&amp;"!$K:$K"))))*N104+(_xlfn.SINGLE(_xlfn.XLOOKUP(1,(INDIRECT($R$1&amp;"!$C:$C")=B104)*(INDIRECT($R$1&amp;"!$G:$G")&lt;N104)*(INDIRECT($R$1&amp;"!$H:$H")&gt;=N104),INDIRECT($R$1&amp;"!$L:$L"))))</f>
        <v>97.65</v>
      </c>
      <c r="R104" s="955"/>
    </row>
    <row r="105" ht="17.25" spans="1:18">
      <c r="A105" s="963" t="s">
        <v>224</v>
      </c>
      <c r="B105" s="963" t="s">
        <v>225</v>
      </c>
      <c r="C105" s="964">
        <f ca="1" t="shared" si="67"/>
        <v>8.94429577464789</v>
      </c>
      <c r="D105" s="964">
        <f ca="1" t="shared" si="68"/>
        <v>15.7787323943662</v>
      </c>
      <c r="E105" s="964">
        <f ca="1" t="shared" si="69"/>
        <v>22.6131690140845</v>
      </c>
      <c r="F105" s="965">
        <f ca="1" t="shared" ref="F105:H105" si="107">O105/$P$1</f>
        <v>6.38732394366197</v>
      </c>
      <c r="G105" s="965">
        <f ca="1" t="shared" si="107"/>
        <v>10.8028169014085</v>
      </c>
      <c r="H105" s="965">
        <f ca="1" t="shared" si="107"/>
        <v>15.2183098591549</v>
      </c>
      <c r="I105" s="965">
        <f>(VLOOKUP($B$1,'Product Procurement Sheet'!B:I,8,0)*$L$1)/$P$1</f>
        <v>1.97183098591549</v>
      </c>
      <c r="J105" s="965">
        <f>(VLOOKUP($B$1,'Product Procurement Sheet'!B:I,8,0)*$M$1)/$P$1</f>
        <v>3.94366197183099</v>
      </c>
      <c r="K105" s="965">
        <f>(VLOOKUP($B$1,'Product Procurement Sheet'!B:I,8,0)*$N$1)/$P$1</f>
        <v>5.91549295774648</v>
      </c>
      <c r="L105" s="968">
        <f>VLOOKUP($B$1,'Product Procurement Sheet'!B:D,3,FALSE)*$L$1</f>
        <v>0.11</v>
      </c>
      <c r="M105" s="968">
        <f>VLOOKUP($B$1,'Product Procurement Sheet'!B:D,3,FALSE)*$M$1</f>
        <v>0.22</v>
      </c>
      <c r="N105" s="968">
        <f>VLOOKUP($B$1,'Product Procurement Sheet'!B:D,3,FALSE)*$N$1</f>
        <v>0.33</v>
      </c>
      <c r="O105" s="971" cm="1">
        <f ca="1" t="array" ref="O105">(_xlfn.SINGLE(_xlfn.XLOOKUP(1,(INDIRECT($R$1&amp;"!$C:$C")=B105)*(INDIRECT($R$1&amp;"!$G:$G")&lt;L105)*(INDIRECT($R$1&amp;"!$H:$H")&gt;=L105),INDIRECT($R$1&amp;"!$K:$K"))))*L105+(_xlfn.SINGLE(_xlfn.XLOOKUP(1,(INDIRECT($R$1&amp;"!$C:$C")=B105)*(INDIRECT($R$1&amp;"!$G:$G")&lt;L105)*(INDIRECT($R$1&amp;"!$H:$H")&gt;=L105),INDIRECT($R$1&amp;"!$L:$L"))))</f>
        <v>45.35</v>
      </c>
      <c r="P105" s="971" cm="1">
        <f ca="1" t="array" ref="P105">(_xlfn.SINGLE(_xlfn.XLOOKUP(1,(INDIRECT($R$1&amp;"!$C:$C")=B105)*(INDIRECT($R$1&amp;"!$G:$G")&lt;M105)*(INDIRECT($R$1&amp;"!$H:$H")&gt;=M105),INDIRECT($R$1&amp;"!$K:$K"))))*M105+(_xlfn.SINGLE(_xlfn.XLOOKUP(1,(INDIRECT($R$1&amp;"!$C:$C")=B105)*(INDIRECT($R$1&amp;"!$G:$G")&lt;M105)*(INDIRECT($R$1&amp;"!$H:$H")&gt;=M105),INDIRECT($R$1&amp;"!$L:$L"))))</f>
        <v>76.7</v>
      </c>
      <c r="Q105" s="971" cm="1">
        <f ca="1" t="array" ref="Q105">(_xlfn.SINGLE(_xlfn.XLOOKUP(1,(INDIRECT($R$1&amp;"!$C:$C")=B105)*(INDIRECT($R$1&amp;"!$G:$G")&lt;N105)*(INDIRECT($R$1&amp;"!$H:$H")&gt;=N105),INDIRECT($R$1&amp;"!$K:$K"))))*N105+(_xlfn.SINGLE(_xlfn.XLOOKUP(1,(INDIRECT($R$1&amp;"!$C:$C")=B105)*(INDIRECT($R$1&amp;"!$G:$G")&lt;N105)*(INDIRECT($R$1&amp;"!$H:$H")&gt;=N105),INDIRECT($R$1&amp;"!$L:$L"))))</f>
        <v>108.05</v>
      </c>
      <c r="R105" s="955"/>
    </row>
    <row r="106" ht="17.25" spans="1:18">
      <c r="A106" s="963" t="s">
        <v>226</v>
      </c>
      <c r="B106" s="963" t="s">
        <v>227</v>
      </c>
      <c r="C106" s="964">
        <f ca="1" t="shared" si="67"/>
        <v>8.19077464788732</v>
      </c>
      <c r="D106" s="964">
        <f ca="1" t="shared" si="68"/>
        <v>13.3674647887324</v>
      </c>
      <c r="E106" s="964">
        <f ca="1" t="shared" si="69"/>
        <v>18.5441549295775</v>
      </c>
      <c r="F106" s="965">
        <f ca="1" t="shared" ref="F106:H106" si="108">O106/$P$1</f>
        <v>5.6830985915493</v>
      </c>
      <c r="G106" s="965">
        <f ca="1" t="shared" si="108"/>
        <v>8.54929577464789</v>
      </c>
      <c r="H106" s="965">
        <f ca="1" t="shared" si="108"/>
        <v>11.4154929577465</v>
      </c>
      <c r="I106" s="965">
        <f>(VLOOKUP($B$1,'Product Procurement Sheet'!B:I,8,0)*$L$1)/$P$1</f>
        <v>1.97183098591549</v>
      </c>
      <c r="J106" s="965">
        <f>(VLOOKUP($B$1,'Product Procurement Sheet'!B:I,8,0)*$M$1)/$P$1</f>
        <v>3.94366197183099</v>
      </c>
      <c r="K106" s="965">
        <f>(VLOOKUP($B$1,'Product Procurement Sheet'!B:I,8,0)*$N$1)/$P$1</f>
        <v>5.91549295774648</v>
      </c>
      <c r="L106" s="968">
        <f>VLOOKUP($B$1,'Product Procurement Sheet'!B:D,3,FALSE)*$L$1</f>
        <v>0.11</v>
      </c>
      <c r="M106" s="968">
        <f>VLOOKUP($B$1,'Product Procurement Sheet'!B:D,3,FALSE)*$M$1</f>
        <v>0.22</v>
      </c>
      <c r="N106" s="968">
        <f>VLOOKUP($B$1,'Product Procurement Sheet'!B:D,3,FALSE)*$N$1</f>
        <v>0.33</v>
      </c>
      <c r="O106" s="971" cm="1">
        <f ca="1" t="array" ref="O106">(_xlfn.SINGLE(_xlfn.XLOOKUP(1,(INDIRECT($R$1&amp;"!$C:$C")=B106)*(INDIRECT($R$1&amp;"!$G:$G")&lt;L106)*(INDIRECT($R$1&amp;"!$H:$H")&gt;=L106),INDIRECT($R$1&amp;"!$K:$K"))))*L106+(_xlfn.SINGLE(_xlfn.XLOOKUP(1,(INDIRECT($R$1&amp;"!$C:$C")=B106)*(INDIRECT($R$1&amp;"!$G:$G")&lt;L106)*(INDIRECT($R$1&amp;"!$H:$H")&gt;=L106),INDIRECT($R$1&amp;"!$L:$L"))))</f>
        <v>40.35</v>
      </c>
      <c r="P106" s="971" cm="1">
        <f ca="1" t="array" ref="P106">(_xlfn.SINGLE(_xlfn.XLOOKUP(1,(INDIRECT($R$1&amp;"!$C:$C")=B106)*(INDIRECT($R$1&amp;"!$G:$G")&lt;M106)*(INDIRECT($R$1&amp;"!$H:$H")&gt;=M106),INDIRECT($R$1&amp;"!$K:$K"))))*M106+(_xlfn.SINGLE(_xlfn.XLOOKUP(1,(INDIRECT($R$1&amp;"!$C:$C")=B106)*(INDIRECT($R$1&amp;"!$G:$G")&lt;M106)*(INDIRECT($R$1&amp;"!$H:$H")&gt;=M106),INDIRECT($R$1&amp;"!$L:$L"))))</f>
        <v>60.7</v>
      </c>
      <c r="Q106" s="971" cm="1">
        <f ca="1" t="array" ref="Q106">(_xlfn.SINGLE(_xlfn.XLOOKUP(1,(INDIRECT($R$1&amp;"!$C:$C")=B106)*(INDIRECT($R$1&amp;"!$G:$G")&lt;N106)*(INDIRECT($R$1&amp;"!$H:$H")&gt;=N106),INDIRECT($R$1&amp;"!$K:$K"))))*N106+(_xlfn.SINGLE(_xlfn.XLOOKUP(1,(INDIRECT($R$1&amp;"!$C:$C")=B106)*(INDIRECT($R$1&amp;"!$G:$G")&lt;N106)*(INDIRECT($R$1&amp;"!$H:$H")&gt;=N106),INDIRECT($R$1&amp;"!$L:$L"))))</f>
        <v>81.05</v>
      </c>
      <c r="R106" s="955"/>
    </row>
    <row r="107" ht="17.25" spans="1:18">
      <c r="A107" s="963" t="s">
        <v>228</v>
      </c>
      <c r="B107" s="963" t="s">
        <v>229</v>
      </c>
      <c r="C107" s="964">
        <f ca="1" t="shared" si="67"/>
        <v>13.164014084507</v>
      </c>
      <c r="D107" s="964">
        <f ca="1" t="shared" si="68"/>
        <v>23.3139436619718</v>
      </c>
      <c r="E107" s="964">
        <f ca="1" t="shared" si="69"/>
        <v>33.4638732394366</v>
      </c>
      <c r="F107" s="965">
        <f ca="1" t="shared" ref="F107:H107" si="109">O107/$P$1</f>
        <v>10.330985915493</v>
      </c>
      <c r="G107" s="965">
        <f ca="1" t="shared" si="109"/>
        <v>17.8450704225352</v>
      </c>
      <c r="H107" s="965">
        <f ca="1" t="shared" si="109"/>
        <v>25.3591549295775</v>
      </c>
      <c r="I107" s="965">
        <f>(VLOOKUP($B$1,'Product Procurement Sheet'!B:I,8,0)*$L$1)/$P$1</f>
        <v>1.97183098591549</v>
      </c>
      <c r="J107" s="965">
        <f>(VLOOKUP($B$1,'Product Procurement Sheet'!B:I,8,0)*$M$1)/$P$1</f>
        <v>3.94366197183099</v>
      </c>
      <c r="K107" s="965">
        <f>(VLOOKUP($B$1,'Product Procurement Sheet'!B:I,8,0)*$N$1)/$P$1</f>
        <v>5.91549295774648</v>
      </c>
      <c r="L107" s="968">
        <f>VLOOKUP($B$1,'Product Procurement Sheet'!B:D,3,FALSE)*$L$1</f>
        <v>0.11</v>
      </c>
      <c r="M107" s="968">
        <f>VLOOKUP($B$1,'Product Procurement Sheet'!B:D,3,FALSE)*$M$1</f>
        <v>0.22</v>
      </c>
      <c r="N107" s="968">
        <f>VLOOKUP($B$1,'Product Procurement Sheet'!B:D,3,FALSE)*$N$1</f>
        <v>0.33</v>
      </c>
      <c r="O107" s="971" cm="1">
        <f ca="1" t="array" ref="O107">(_xlfn.SINGLE(_xlfn.XLOOKUP(1,(INDIRECT($R$1&amp;"!$C:$C")=B107)*(INDIRECT($R$1&amp;"!$G:$G")&lt;L107)*(INDIRECT($R$1&amp;"!$H:$H")&gt;=L107),INDIRECT($R$1&amp;"!$K:$K"))))*L107+(_xlfn.SINGLE(_xlfn.XLOOKUP(1,(INDIRECT($R$1&amp;"!$C:$C")=B107)*(INDIRECT($R$1&amp;"!$G:$G")&lt;L107)*(INDIRECT($R$1&amp;"!$H:$H")&gt;=L107),INDIRECT($R$1&amp;"!$L:$L"))))</f>
        <v>73.35</v>
      </c>
      <c r="P107" s="971" cm="1">
        <f ca="1" t="array" ref="P107">(_xlfn.SINGLE(_xlfn.XLOOKUP(1,(INDIRECT($R$1&amp;"!$C:$C")=B107)*(INDIRECT($R$1&amp;"!$G:$G")&lt;M107)*(INDIRECT($R$1&amp;"!$H:$H")&gt;=M107),INDIRECT($R$1&amp;"!$K:$K"))))*M107+(_xlfn.SINGLE(_xlfn.XLOOKUP(1,(INDIRECT($R$1&amp;"!$C:$C")=B107)*(INDIRECT($R$1&amp;"!$G:$G")&lt;M107)*(INDIRECT($R$1&amp;"!$H:$H")&gt;=M107),INDIRECT($R$1&amp;"!$L:$L"))))</f>
        <v>126.7</v>
      </c>
      <c r="Q107" s="971" cm="1">
        <f ca="1" t="array" ref="Q107">(_xlfn.SINGLE(_xlfn.XLOOKUP(1,(INDIRECT($R$1&amp;"!$C:$C")=B107)*(INDIRECT($R$1&amp;"!$G:$G")&lt;N107)*(INDIRECT($R$1&amp;"!$H:$H")&gt;=N107),INDIRECT($R$1&amp;"!$K:$K"))))*N107+(_xlfn.SINGLE(_xlfn.XLOOKUP(1,(INDIRECT($R$1&amp;"!$C:$C")=B107)*(INDIRECT($R$1&amp;"!$G:$G")&lt;N107)*(INDIRECT($R$1&amp;"!$H:$H")&gt;=N107),INDIRECT($R$1&amp;"!$L:$L"))))</f>
        <v>180.05</v>
      </c>
      <c r="R107" s="955"/>
    </row>
    <row r="108" ht="17.25" spans="1:18">
      <c r="A108" s="963" t="s">
        <v>230</v>
      </c>
      <c r="B108" s="963" t="s">
        <v>231</v>
      </c>
      <c r="C108" s="964">
        <f ca="1" t="shared" si="67"/>
        <v>9.095</v>
      </c>
      <c r="D108" s="964">
        <f ca="1" t="shared" si="68"/>
        <v>12.6139436619718</v>
      </c>
      <c r="E108" s="964">
        <f ca="1" t="shared" si="69"/>
        <v>16.1328873239437</v>
      </c>
      <c r="F108" s="965">
        <f ca="1" t="shared" ref="F108:H108" si="110">O108/$P$1</f>
        <v>6.52816901408451</v>
      </c>
      <c r="G108" s="965">
        <f ca="1" t="shared" si="110"/>
        <v>7.84507042253521</v>
      </c>
      <c r="H108" s="965">
        <f ca="1" t="shared" si="110"/>
        <v>9.16197183098592</v>
      </c>
      <c r="I108" s="965">
        <f>(VLOOKUP($B$1,'Product Procurement Sheet'!B:I,8,0)*$L$1)/$P$1</f>
        <v>1.97183098591549</v>
      </c>
      <c r="J108" s="965">
        <f>(VLOOKUP($B$1,'Product Procurement Sheet'!B:I,8,0)*$M$1)/$P$1</f>
        <v>3.94366197183099</v>
      </c>
      <c r="K108" s="965">
        <f>(VLOOKUP($B$1,'Product Procurement Sheet'!B:I,8,0)*$N$1)/$P$1</f>
        <v>5.91549295774648</v>
      </c>
      <c r="L108" s="968">
        <f>VLOOKUP($B$1,'Product Procurement Sheet'!B:D,3,FALSE)*$L$1</f>
        <v>0.11</v>
      </c>
      <c r="M108" s="968">
        <f>VLOOKUP($B$1,'Product Procurement Sheet'!B:D,3,FALSE)*$M$1</f>
        <v>0.22</v>
      </c>
      <c r="N108" s="968">
        <f>VLOOKUP($B$1,'Product Procurement Sheet'!B:D,3,FALSE)*$N$1</f>
        <v>0.33</v>
      </c>
      <c r="O108" s="971" cm="1">
        <f ca="1" t="array" ref="O108">(_xlfn.SINGLE(_xlfn.XLOOKUP(1,(INDIRECT($R$1&amp;"!$C:$C")=B108)*(INDIRECT($R$1&amp;"!$G:$G")&lt;L108)*(INDIRECT($R$1&amp;"!$H:$H")&gt;=L108),INDIRECT($R$1&amp;"!$K:$K"))))*L108+(_xlfn.SINGLE(_xlfn.XLOOKUP(1,(INDIRECT($R$1&amp;"!$C:$C")=B108)*(INDIRECT($R$1&amp;"!$G:$G")&lt;L108)*(INDIRECT($R$1&amp;"!$H:$H")&gt;=L108),INDIRECT($R$1&amp;"!$L:$L"))))</f>
        <v>46.35</v>
      </c>
      <c r="P108" s="971" cm="1">
        <f ca="1" t="array" ref="P108">(_xlfn.SINGLE(_xlfn.XLOOKUP(1,(INDIRECT($R$1&amp;"!$C:$C")=B108)*(INDIRECT($R$1&amp;"!$G:$G")&lt;M108)*(INDIRECT($R$1&amp;"!$H:$H")&gt;=M108),INDIRECT($R$1&amp;"!$K:$K"))))*M108+(_xlfn.SINGLE(_xlfn.XLOOKUP(1,(INDIRECT($R$1&amp;"!$C:$C")=B108)*(INDIRECT($R$1&amp;"!$G:$G")&lt;M108)*(INDIRECT($R$1&amp;"!$H:$H")&gt;=M108),INDIRECT($R$1&amp;"!$L:$L"))))</f>
        <v>55.7</v>
      </c>
      <c r="Q108" s="971" cm="1">
        <f ca="1" t="array" ref="Q108">(_xlfn.SINGLE(_xlfn.XLOOKUP(1,(INDIRECT($R$1&amp;"!$C:$C")=B108)*(INDIRECT($R$1&amp;"!$G:$G")&lt;N108)*(INDIRECT($R$1&amp;"!$H:$H")&gt;=N108),INDIRECT($R$1&amp;"!$K:$K"))))*N108+(_xlfn.SINGLE(_xlfn.XLOOKUP(1,(INDIRECT($R$1&amp;"!$C:$C")=B108)*(INDIRECT($R$1&amp;"!$G:$G")&lt;N108)*(INDIRECT($R$1&amp;"!$H:$H")&gt;=N108),INDIRECT($R$1&amp;"!$L:$L"))))</f>
        <v>65.05</v>
      </c>
      <c r="R108" s="955"/>
    </row>
    <row r="109" ht="17.25" spans="1:18">
      <c r="A109" s="963" t="s">
        <v>232</v>
      </c>
      <c r="B109" s="963" t="s">
        <v>233</v>
      </c>
      <c r="C109" s="964">
        <f ca="1" t="shared" si="67"/>
        <v>7.28654929577465</v>
      </c>
      <c r="D109" s="964">
        <f ca="1" t="shared" si="68"/>
        <v>12.4632394366197</v>
      </c>
      <c r="E109" s="964">
        <f ca="1" t="shared" si="69"/>
        <v>17.6399295774648</v>
      </c>
      <c r="F109" s="965">
        <f ca="1" t="shared" ref="F109:H109" si="111">O109/$P$1</f>
        <v>4.83802816901408</v>
      </c>
      <c r="G109" s="965">
        <f ca="1" t="shared" si="111"/>
        <v>7.70422535211268</v>
      </c>
      <c r="H109" s="965">
        <f ca="1" t="shared" si="111"/>
        <v>10.5704225352113</v>
      </c>
      <c r="I109" s="965">
        <f>(VLOOKUP($B$1,'Product Procurement Sheet'!B:I,8,0)*$L$1)/$P$1</f>
        <v>1.97183098591549</v>
      </c>
      <c r="J109" s="965">
        <f>(VLOOKUP($B$1,'Product Procurement Sheet'!B:I,8,0)*$M$1)/$P$1</f>
        <v>3.94366197183099</v>
      </c>
      <c r="K109" s="965">
        <f>(VLOOKUP($B$1,'Product Procurement Sheet'!B:I,8,0)*$N$1)/$P$1</f>
        <v>5.91549295774648</v>
      </c>
      <c r="L109" s="968">
        <f>VLOOKUP($B$1,'Product Procurement Sheet'!B:D,3,FALSE)*$L$1</f>
        <v>0.11</v>
      </c>
      <c r="M109" s="968">
        <f>VLOOKUP($B$1,'Product Procurement Sheet'!B:D,3,FALSE)*$M$1</f>
        <v>0.22</v>
      </c>
      <c r="N109" s="968">
        <f>VLOOKUP($B$1,'Product Procurement Sheet'!B:D,3,FALSE)*$N$1</f>
        <v>0.33</v>
      </c>
      <c r="O109" s="971" cm="1">
        <f ca="1" t="array" ref="O109">(_xlfn.SINGLE(_xlfn.XLOOKUP(1,(INDIRECT($R$1&amp;"!$C:$C")=B109)*(INDIRECT($R$1&amp;"!$G:$G")&lt;L109)*(INDIRECT($R$1&amp;"!$H:$H")&gt;=L109),INDIRECT($R$1&amp;"!$K:$K"))))*L109+(_xlfn.SINGLE(_xlfn.XLOOKUP(1,(INDIRECT($R$1&amp;"!$C:$C")=B109)*(INDIRECT($R$1&amp;"!$G:$G")&lt;L109)*(INDIRECT($R$1&amp;"!$H:$H")&gt;=L109),INDIRECT($R$1&amp;"!$L:$L"))))</f>
        <v>34.35</v>
      </c>
      <c r="P109" s="971" cm="1">
        <f ca="1" t="array" ref="P109">(_xlfn.SINGLE(_xlfn.XLOOKUP(1,(INDIRECT($R$1&amp;"!$C:$C")=B109)*(INDIRECT($R$1&amp;"!$G:$G")&lt;M109)*(INDIRECT($R$1&amp;"!$H:$H")&gt;=M109),INDIRECT($R$1&amp;"!$K:$K"))))*M109+(_xlfn.SINGLE(_xlfn.XLOOKUP(1,(INDIRECT($R$1&amp;"!$C:$C")=B109)*(INDIRECT($R$1&amp;"!$G:$G")&lt;M109)*(INDIRECT($R$1&amp;"!$H:$H")&gt;=M109),INDIRECT($R$1&amp;"!$L:$L"))))</f>
        <v>54.7</v>
      </c>
      <c r="Q109" s="971" cm="1">
        <f ca="1" t="array" ref="Q109">(_xlfn.SINGLE(_xlfn.XLOOKUP(1,(INDIRECT($R$1&amp;"!$C:$C")=B109)*(INDIRECT($R$1&amp;"!$G:$G")&lt;N109)*(INDIRECT($R$1&amp;"!$H:$H")&gt;=N109),INDIRECT($R$1&amp;"!$K:$K"))))*N109+(_xlfn.SINGLE(_xlfn.XLOOKUP(1,(INDIRECT($R$1&amp;"!$C:$C")=B109)*(INDIRECT($R$1&amp;"!$G:$G")&lt;N109)*(INDIRECT($R$1&amp;"!$H:$H")&gt;=N109),INDIRECT($R$1&amp;"!$L:$L"))))</f>
        <v>75.05</v>
      </c>
      <c r="R109" s="955"/>
    </row>
    <row r="110" ht="17.25" spans="1:18">
      <c r="A110" s="963" t="s">
        <v>234</v>
      </c>
      <c r="B110" s="963" t="s">
        <v>235</v>
      </c>
      <c r="C110" s="964">
        <f ca="1" t="shared" si="67"/>
        <v>7.12077464788732</v>
      </c>
      <c r="D110" s="964">
        <f ca="1" t="shared" si="68"/>
        <v>12.1316901408451</v>
      </c>
      <c r="E110" s="964">
        <f ca="1" t="shared" si="69"/>
        <v>17.1426056338028</v>
      </c>
      <c r="F110" s="965">
        <f ca="1" t="shared" ref="F110:H110" si="112">O110/$P$1</f>
        <v>4.6830985915493</v>
      </c>
      <c r="G110" s="965">
        <f ca="1" t="shared" si="112"/>
        <v>7.3943661971831</v>
      </c>
      <c r="H110" s="965">
        <f ca="1" t="shared" si="112"/>
        <v>10.1056338028169</v>
      </c>
      <c r="I110" s="965">
        <f>(VLOOKUP($B$1,'Product Procurement Sheet'!B:I,8,0)*$L$1)/$P$1</f>
        <v>1.97183098591549</v>
      </c>
      <c r="J110" s="965">
        <f>(VLOOKUP($B$1,'Product Procurement Sheet'!B:I,8,0)*$M$1)/$P$1</f>
        <v>3.94366197183099</v>
      </c>
      <c r="K110" s="965">
        <f>(VLOOKUP($B$1,'Product Procurement Sheet'!B:I,8,0)*$N$1)/$P$1</f>
        <v>5.91549295774648</v>
      </c>
      <c r="L110" s="968">
        <f>VLOOKUP($B$1,'Product Procurement Sheet'!B:D,3,FALSE)*$L$1</f>
        <v>0.11</v>
      </c>
      <c r="M110" s="968">
        <f>VLOOKUP($B$1,'Product Procurement Sheet'!B:D,3,FALSE)*$M$1</f>
        <v>0.22</v>
      </c>
      <c r="N110" s="968">
        <f>VLOOKUP($B$1,'Product Procurement Sheet'!B:D,3,FALSE)*$N$1</f>
        <v>0.33</v>
      </c>
      <c r="O110" s="971" cm="1">
        <f ca="1" t="array" ref="O110">(_xlfn.SINGLE(_xlfn.XLOOKUP(1,(INDIRECT($R$1&amp;"!$C:$C")=B110)*(INDIRECT($R$1&amp;"!$G:$G")&lt;L110)*(INDIRECT($R$1&amp;"!$H:$H")&gt;=L110),INDIRECT($R$1&amp;"!$K:$K"))))*L110+(_xlfn.SINGLE(_xlfn.XLOOKUP(1,(INDIRECT($R$1&amp;"!$C:$C")=B110)*(INDIRECT($R$1&amp;"!$G:$G")&lt;L110)*(INDIRECT($R$1&amp;"!$H:$H")&gt;=L110),INDIRECT($R$1&amp;"!$L:$L"))))</f>
        <v>33.25</v>
      </c>
      <c r="P110" s="971" cm="1">
        <f ca="1" t="array" ref="P110">(_xlfn.SINGLE(_xlfn.XLOOKUP(1,(INDIRECT($R$1&amp;"!$C:$C")=B110)*(INDIRECT($R$1&amp;"!$G:$G")&lt;M110)*(INDIRECT($R$1&amp;"!$H:$H")&gt;=M110),INDIRECT($R$1&amp;"!$K:$K"))))*M110+(_xlfn.SINGLE(_xlfn.XLOOKUP(1,(INDIRECT($R$1&amp;"!$C:$C")=B110)*(INDIRECT($R$1&amp;"!$G:$G")&lt;M110)*(INDIRECT($R$1&amp;"!$H:$H")&gt;=M110),INDIRECT($R$1&amp;"!$L:$L"))))</f>
        <v>52.5</v>
      </c>
      <c r="Q110" s="971" cm="1">
        <f ca="1" t="array" ref="Q110">(_xlfn.SINGLE(_xlfn.XLOOKUP(1,(INDIRECT($R$1&amp;"!$C:$C")=B110)*(INDIRECT($R$1&amp;"!$G:$G")&lt;N110)*(INDIRECT($R$1&amp;"!$H:$H")&gt;=N110),INDIRECT($R$1&amp;"!$K:$K"))))*N110+(_xlfn.SINGLE(_xlfn.XLOOKUP(1,(INDIRECT($R$1&amp;"!$C:$C")=B110)*(INDIRECT($R$1&amp;"!$G:$G")&lt;N110)*(INDIRECT($R$1&amp;"!$H:$H")&gt;=N110),INDIRECT($R$1&amp;"!$L:$L"))))</f>
        <v>71.75</v>
      </c>
      <c r="R110" s="955"/>
    </row>
    <row r="111" ht="17.25" spans="1:18">
      <c r="A111" s="963" t="s">
        <v>236</v>
      </c>
      <c r="B111" s="963" t="s">
        <v>237</v>
      </c>
      <c r="C111" s="964">
        <f ca="1" t="shared" si="67"/>
        <v>3.59429577464788</v>
      </c>
      <c r="D111" s="964">
        <f ca="1" t="shared" si="68"/>
        <v>6.2843661971831</v>
      </c>
      <c r="E111" s="964">
        <f ca="1" t="shared" si="69"/>
        <v>8.97443661971831</v>
      </c>
      <c r="F111" s="965">
        <f ca="1" t="shared" ref="F111:H111" si="113">O111/$P$1</f>
        <v>1.38732394366197</v>
      </c>
      <c r="G111" s="965">
        <f ca="1" t="shared" si="113"/>
        <v>1.92957746478873</v>
      </c>
      <c r="H111" s="965">
        <f ca="1" t="shared" si="113"/>
        <v>2.47183098591549</v>
      </c>
      <c r="I111" s="965">
        <f>(VLOOKUP($B$1,'Product Procurement Sheet'!B:I,8,0)*$L$1)/$P$1</f>
        <v>1.97183098591549</v>
      </c>
      <c r="J111" s="965">
        <f>(VLOOKUP($B$1,'Product Procurement Sheet'!B:I,8,0)*$M$1)/$P$1</f>
        <v>3.94366197183099</v>
      </c>
      <c r="K111" s="965">
        <f>(VLOOKUP($B$1,'Product Procurement Sheet'!B:I,8,0)*$N$1)/$P$1</f>
        <v>5.91549295774648</v>
      </c>
      <c r="L111" s="968">
        <f>VLOOKUP($B$1,'Product Procurement Sheet'!B:D,3,FALSE)*$L$1</f>
        <v>0.11</v>
      </c>
      <c r="M111" s="968">
        <f>VLOOKUP($B$1,'Product Procurement Sheet'!B:D,3,FALSE)*$M$1</f>
        <v>0.22</v>
      </c>
      <c r="N111" s="968">
        <f>VLOOKUP($B$1,'Product Procurement Sheet'!B:D,3,FALSE)*$N$1</f>
        <v>0.33</v>
      </c>
      <c r="O111" s="971" cm="1">
        <f ca="1" t="array" ref="O111">(_xlfn.SINGLE(_xlfn.XLOOKUP(1,(INDIRECT($R$1&amp;"!$C:$C")=B111)*(INDIRECT($R$1&amp;"!$G:$G")&lt;L111)*(INDIRECT($R$1&amp;"!$H:$H")&gt;=L111),INDIRECT($R$1&amp;"!$K:$K"))))*L111+(_xlfn.SINGLE(_xlfn.XLOOKUP(1,(INDIRECT($R$1&amp;"!$C:$C")=B111)*(INDIRECT($R$1&amp;"!$G:$G")&lt;L111)*(INDIRECT($R$1&amp;"!$H:$H")&gt;=L111),INDIRECT($R$1&amp;"!$L:$L"))))</f>
        <v>9.85</v>
      </c>
      <c r="P111" s="971" cm="1">
        <f ca="1" t="array" ref="P111">(_xlfn.SINGLE(_xlfn.XLOOKUP(1,(INDIRECT($R$1&amp;"!$C:$C")=B111)*(INDIRECT($R$1&amp;"!$G:$G")&lt;M111)*(INDIRECT($R$1&amp;"!$H:$H")&gt;=M111),INDIRECT($R$1&amp;"!$K:$K"))))*M111+(_xlfn.SINGLE(_xlfn.XLOOKUP(1,(INDIRECT($R$1&amp;"!$C:$C")=B111)*(INDIRECT($R$1&amp;"!$G:$G")&lt;M111)*(INDIRECT($R$1&amp;"!$H:$H")&gt;=M111),INDIRECT($R$1&amp;"!$L:$L"))))</f>
        <v>13.7</v>
      </c>
      <c r="Q111" s="971" cm="1">
        <f ca="1" t="array" ref="Q111">(_xlfn.SINGLE(_xlfn.XLOOKUP(1,(INDIRECT($R$1&amp;"!$C:$C")=B111)*(INDIRECT($R$1&amp;"!$G:$G")&lt;N111)*(INDIRECT($R$1&amp;"!$H:$H")&gt;=N111),INDIRECT($R$1&amp;"!$K:$K"))))*N111+(_xlfn.SINGLE(_xlfn.XLOOKUP(1,(INDIRECT($R$1&amp;"!$C:$C")=B111)*(INDIRECT($R$1&amp;"!$G:$G")&lt;N111)*(INDIRECT($R$1&amp;"!$H:$H")&gt;=N111),INDIRECT($R$1&amp;"!$L:$L"))))</f>
        <v>17.55</v>
      </c>
      <c r="R111" s="955"/>
    </row>
    <row r="112" ht="17.25" spans="1:18">
      <c r="A112" s="963" t="s">
        <v>238</v>
      </c>
      <c r="B112" s="963" t="s">
        <v>239</v>
      </c>
      <c r="C112" s="964">
        <f ca="1" t="shared" si="67"/>
        <v>4.48345070422535</v>
      </c>
      <c r="D112" s="964">
        <f ca="1" t="shared" si="68"/>
        <v>7.00774647887324</v>
      </c>
      <c r="E112" s="964">
        <f ca="1" t="shared" si="69"/>
        <v>9.53204225352113</v>
      </c>
      <c r="F112" s="965">
        <f ca="1" t="shared" ref="F112:H112" si="114">O112/$P$1</f>
        <v>2.21830985915493</v>
      </c>
      <c r="G112" s="965">
        <f ca="1" t="shared" si="114"/>
        <v>2.6056338028169</v>
      </c>
      <c r="H112" s="965">
        <f ca="1" t="shared" si="114"/>
        <v>2.99295774647887</v>
      </c>
      <c r="I112" s="965">
        <f>(VLOOKUP($B$1,'Product Procurement Sheet'!B:I,8,0)*$L$1)/$P$1</f>
        <v>1.97183098591549</v>
      </c>
      <c r="J112" s="965">
        <f>(VLOOKUP($B$1,'Product Procurement Sheet'!B:I,8,0)*$M$1)/$P$1</f>
        <v>3.94366197183099</v>
      </c>
      <c r="K112" s="965">
        <f>(VLOOKUP($B$1,'Product Procurement Sheet'!B:I,8,0)*$N$1)/$P$1</f>
        <v>5.91549295774648</v>
      </c>
      <c r="L112" s="968">
        <f>VLOOKUP($B$1,'Product Procurement Sheet'!B:D,3,FALSE)*$L$1</f>
        <v>0.11</v>
      </c>
      <c r="M112" s="968">
        <f>VLOOKUP($B$1,'Product Procurement Sheet'!B:D,3,FALSE)*$M$1</f>
        <v>0.22</v>
      </c>
      <c r="N112" s="968">
        <f>VLOOKUP($B$1,'Product Procurement Sheet'!B:D,3,FALSE)*$N$1</f>
        <v>0.33</v>
      </c>
      <c r="O112" s="971" cm="1">
        <f ca="1" t="array" ref="O112">(_xlfn.SINGLE(_xlfn.XLOOKUP(1,(INDIRECT($R$1&amp;"!$C:$C")=B112)*(INDIRECT($R$1&amp;"!$G:$G")&lt;L112)*(INDIRECT($R$1&amp;"!$H:$H")&gt;=L112),INDIRECT($R$1&amp;"!$K:$K"))))*L112+(_xlfn.SINGLE(_xlfn.XLOOKUP(1,(INDIRECT($R$1&amp;"!$C:$C")=B112)*(INDIRECT($R$1&amp;"!$G:$G")&lt;L112)*(INDIRECT($R$1&amp;"!$H:$H")&gt;=L112),INDIRECT($R$1&amp;"!$L:$L"))))</f>
        <v>15.75</v>
      </c>
      <c r="P112" s="971" cm="1">
        <f ca="1" t="array" ref="P112">(_xlfn.SINGLE(_xlfn.XLOOKUP(1,(INDIRECT($R$1&amp;"!$C:$C")=B112)*(INDIRECT($R$1&amp;"!$G:$G")&lt;M112)*(INDIRECT($R$1&amp;"!$H:$H")&gt;=M112),INDIRECT($R$1&amp;"!$K:$K"))))*M112+(_xlfn.SINGLE(_xlfn.XLOOKUP(1,(INDIRECT($R$1&amp;"!$C:$C")=B112)*(INDIRECT($R$1&amp;"!$G:$G")&lt;M112)*(INDIRECT($R$1&amp;"!$H:$H")&gt;=M112),INDIRECT($R$1&amp;"!$L:$L"))))</f>
        <v>18.5</v>
      </c>
      <c r="Q112" s="971" cm="1">
        <f ca="1" t="array" ref="Q112">(_xlfn.SINGLE(_xlfn.XLOOKUP(1,(INDIRECT($R$1&amp;"!$C:$C")=B112)*(INDIRECT($R$1&amp;"!$G:$G")&lt;N112)*(INDIRECT($R$1&amp;"!$H:$H")&gt;=N112),INDIRECT($R$1&amp;"!$K:$K"))))*N112+(_xlfn.SINGLE(_xlfn.XLOOKUP(1,(INDIRECT($R$1&amp;"!$C:$C")=B112)*(INDIRECT($R$1&amp;"!$G:$G")&lt;N112)*(INDIRECT($R$1&amp;"!$H:$H")&gt;=N112),INDIRECT($R$1&amp;"!$L:$L"))))</f>
        <v>21.25</v>
      </c>
      <c r="R112" s="955"/>
    </row>
    <row r="113" ht="17.25" spans="1:18">
      <c r="A113" s="963" t="s">
        <v>240</v>
      </c>
      <c r="B113" s="963" t="s">
        <v>241</v>
      </c>
      <c r="C113" s="964">
        <f ca="1" t="shared" si="67"/>
        <v>8.19077464788732</v>
      </c>
      <c r="D113" s="964">
        <f ca="1" t="shared" si="68"/>
        <v>13.3674647887324</v>
      </c>
      <c r="E113" s="964">
        <f ca="1" t="shared" si="69"/>
        <v>18.5441549295775</v>
      </c>
      <c r="F113" s="965">
        <f ca="1" t="shared" ref="F113:H113" si="115">O113/$P$1</f>
        <v>5.6830985915493</v>
      </c>
      <c r="G113" s="965">
        <f ca="1" t="shared" si="115"/>
        <v>8.54929577464789</v>
      </c>
      <c r="H113" s="965">
        <f ca="1" t="shared" si="115"/>
        <v>11.4154929577465</v>
      </c>
      <c r="I113" s="965">
        <f>(VLOOKUP($B$1,'Product Procurement Sheet'!B:I,8,0)*$L$1)/$P$1</f>
        <v>1.97183098591549</v>
      </c>
      <c r="J113" s="965">
        <f>(VLOOKUP($B$1,'Product Procurement Sheet'!B:I,8,0)*$M$1)/$P$1</f>
        <v>3.94366197183099</v>
      </c>
      <c r="K113" s="965">
        <f>(VLOOKUP($B$1,'Product Procurement Sheet'!B:I,8,0)*$N$1)/$P$1</f>
        <v>5.91549295774648</v>
      </c>
      <c r="L113" s="968">
        <f>VLOOKUP($B$1,'Product Procurement Sheet'!B:D,3,FALSE)*$L$1</f>
        <v>0.11</v>
      </c>
      <c r="M113" s="968">
        <f>VLOOKUP($B$1,'Product Procurement Sheet'!B:D,3,FALSE)*$M$1</f>
        <v>0.22</v>
      </c>
      <c r="N113" s="968">
        <f>VLOOKUP($B$1,'Product Procurement Sheet'!B:D,3,FALSE)*$N$1</f>
        <v>0.33</v>
      </c>
      <c r="O113" s="971" cm="1">
        <f ca="1" t="array" ref="O113">(_xlfn.SINGLE(_xlfn.XLOOKUP(1,(INDIRECT($R$1&amp;"!$C:$C")=B113)*(INDIRECT($R$1&amp;"!$G:$G")&lt;L113)*(INDIRECT($R$1&amp;"!$H:$H")&gt;=L113),INDIRECT($R$1&amp;"!$K:$K"))))*L113+(_xlfn.SINGLE(_xlfn.XLOOKUP(1,(INDIRECT($R$1&amp;"!$C:$C")=B113)*(INDIRECT($R$1&amp;"!$G:$G")&lt;L113)*(INDIRECT($R$1&amp;"!$H:$H")&gt;=L113),INDIRECT($R$1&amp;"!$L:$L"))))</f>
        <v>40.35</v>
      </c>
      <c r="P113" s="971" cm="1">
        <f ca="1" t="array" ref="P113">(_xlfn.SINGLE(_xlfn.XLOOKUP(1,(INDIRECT($R$1&amp;"!$C:$C")=B113)*(INDIRECT($R$1&amp;"!$G:$G")&lt;M113)*(INDIRECT($R$1&amp;"!$H:$H")&gt;=M113),INDIRECT($R$1&amp;"!$K:$K"))))*M113+(_xlfn.SINGLE(_xlfn.XLOOKUP(1,(INDIRECT($R$1&amp;"!$C:$C")=B113)*(INDIRECT($R$1&amp;"!$G:$G")&lt;M113)*(INDIRECT($R$1&amp;"!$H:$H")&gt;=M113),INDIRECT($R$1&amp;"!$L:$L"))))</f>
        <v>60.7</v>
      </c>
      <c r="Q113" s="971" cm="1">
        <f ca="1" t="array" ref="Q113">(_xlfn.SINGLE(_xlfn.XLOOKUP(1,(INDIRECT($R$1&amp;"!$C:$C")=B113)*(INDIRECT($R$1&amp;"!$G:$G")&lt;N113)*(INDIRECT($R$1&amp;"!$H:$H")&gt;=N113),INDIRECT($R$1&amp;"!$K:$K"))))*N113+(_xlfn.SINGLE(_xlfn.XLOOKUP(1,(INDIRECT($R$1&amp;"!$C:$C")=B113)*(INDIRECT($R$1&amp;"!$G:$G")&lt;N113)*(INDIRECT($R$1&amp;"!$H:$H")&gt;=N113),INDIRECT($R$1&amp;"!$L:$L"))))</f>
        <v>81.05</v>
      </c>
      <c r="R113" s="955"/>
    </row>
    <row r="114" ht="17.25" spans="1:18">
      <c r="A114" s="963" t="s">
        <v>242</v>
      </c>
      <c r="B114" s="963" t="s">
        <v>243</v>
      </c>
      <c r="C114" s="964">
        <f ca="1" t="shared" si="67"/>
        <v>5.3575352112676</v>
      </c>
      <c r="D114" s="964">
        <f ca="1" t="shared" si="68"/>
        <v>9.20802816901409</v>
      </c>
      <c r="E114" s="964">
        <f ca="1" t="shared" si="69"/>
        <v>13.0585211267606</v>
      </c>
      <c r="F114" s="965">
        <f ca="1" t="shared" ref="F114:H114" si="116">O114/$P$1</f>
        <v>3.03521126760563</v>
      </c>
      <c r="G114" s="965">
        <f ca="1" t="shared" si="116"/>
        <v>4.66197183098592</v>
      </c>
      <c r="H114" s="965">
        <f ca="1" t="shared" si="116"/>
        <v>6.2887323943662</v>
      </c>
      <c r="I114" s="965">
        <f>(VLOOKUP($B$1,'Product Procurement Sheet'!B:I,8,0)*$L$1)/$P$1</f>
        <v>1.97183098591549</v>
      </c>
      <c r="J114" s="965">
        <f>(VLOOKUP($B$1,'Product Procurement Sheet'!B:I,8,0)*$M$1)/$P$1</f>
        <v>3.94366197183099</v>
      </c>
      <c r="K114" s="965">
        <f>(VLOOKUP($B$1,'Product Procurement Sheet'!B:I,8,0)*$N$1)/$P$1</f>
        <v>5.91549295774648</v>
      </c>
      <c r="L114" s="968">
        <f>VLOOKUP($B$1,'Product Procurement Sheet'!B:D,3,FALSE)*$L$1</f>
        <v>0.11</v>
      </c>
      <c r="M114" s="968">
        <f>VLOOKUP($B$1,'Product Procurement Sheet'!B:D,3,FALSE)*$M$1</f>
        <v>0.22</v>
      </c>
      <c r="N114" s="968">
        <f>VLOOKUP($B$1,'Product Procurement Sheet'!B:D,3,FALSE)*$N$1</f>
        <v>0.33</v>
      </c>
      <c r="O114" s="971" cm="1">
        <f ca="1" t="array" ref="O114">(_xlfn.SINGLE(_xlfn.XLOOKUP(1,(INDIRECT($R$1&amp;"!$C:$C")=B114)*(INDIRECT($R$1&amp;"!$G:$G")&lt;L114)*(INDIRECT($R$1&amp;"!$H:$H")&gt;=L114),INDIRECT($R$1&amp;"!$K:$K"))))*L114+(_xlfn.SINGLE(_xlfn.XLOOKUP(1,(INDIRECT($R$1&amp;"!$C:$C")=B114)*(INDIRECT($R$1&amp;"!$G:$G")&lt;L114)*(INDIRECT($R$1&amp;"!$H:$H")&gt;=L114),INDIRECT($R$1&amp;"!$L:$L"))))</f>
        <v>21.55</v>
      </c>
      <c r="P114" s="971" cm="1">
        <f ca="1" t="array" ref="P114">(_xlfn.SINGLE(_xlfn.XLOOKUP(1,(INDIRECT($R$1&amp;"!$C:$C")=B114)*(INDIRECT($R$1&amp;"!$G:$G")&lt;M114)*(INDIRECT($R$1&amp;"!$H:$H")&gt;=M114),INDIRECT($R$1&amp;"!$K:$K"))))*M114+(_xlfn.SINGLE(_xlfn.XLOOKUP(1,(INDIRECT($R$1&amp;"!$C:$C")=B114)*(INDIRECT($R$1&amp;"!$G:$G")&lt;M114)*(INDIRECT($R$1&amp;"!$H:$H")&gt;=M114),INDIRECT($R$1&amp;"!$L:$L"))))</f>
        <v>33.1</v>
      </c>
      <c r="Q114" s="971" cm="1">
        <f ca="1" t="array" ref="Q114">(_xlfn.SINGLE(_xlfn.XLOOKUP(1,(INDIRECT($R$1&amp;"!$C:$C")=B114)*(INDIRECT($R$1&amp;"!$G:$G")&lt;N114)*(INDIRECT($R$1&amp;"!$H:$H")&gt;=N114),INDIRECT($R$1&amp;"!$K:$K"))))*N114+(_xlfn.SINGLE(_xlfn.XLOOKUP(1,(INDIRECT($R$1&amp;"!$C:$C")=B114)*(INDIRECT($R$1&amp;"!$G:$G")&lt;N114)*(INDIRECT($R$1&amp;"!$H:$H")&gt;=N114),INDIRECT($R$1&amp;"!$L:$L"))))</f>
        <v>44.65</v>
      </c>
      <c r="R114" s="955"/>
    </row>
    <row r="115" ht="17.25" spans="1:18">
      <c r="A115" s="963" t="s">
        <v>244</v>
      </c>
      <c r="B115" s="963" t="s">
        <v>245</v>
      </c>
      <c r="C115" s="964">
        <f ca="1" t="shared" si="67"/>
        <v>8.025</v>
      </c>
      <c r="D115" s="964">
        <f ca="1" t="shared" si="68"/>
        <v>13.0359154929578</v>
      </c>
      <c r="E115" s="964">
        <f ca="1" t="shared" si="69"/>
        <v>18.0468309859155</v>
      </c>
      <c r="F115" s="965">
        <f ca="1" t="shared" ref="F115:H115" si="117">O115/$P$1</f>
        <v>5.52816901408451</v>
      </c>
      <c r="G115" s="965">
        <f ca="1" t="shared" si="117"/>
        <v>8.23943661971831</v>
      </c>
      <c r="H115" s="965">
        <f ca="1" t="shared" si="117"/>
        <v>10.9507042253521</v>
      </c>
      <c r="I115" s="965">
        <f>(VLOOKUP($B$1,'Product Procurement Sheet'!B:I,8,0)*$L$1)/$P$1</f>
        <v>1.97183098591549</v>
      </c>
      <c r="J115" s="965">
        <f>(VLOOKUP($B$1,'Product Procurement Sheet'!B:I,8,0)*$M$1)/$P$1</f>
        <v>3.94366197183099</v>
      </c>
      <c r="K115" s="965">
        <f>(VLOOKUP($B$1,'Product Procurement Sheet'!B:I,8,0)*$N$1)/$P$1</f>
        <v>5.91549295774648</v>
      </c>
      <c r="L115" s="968">
        <f>VLOOKUP($B$1,'Product Procurement Sheet'!B:D,3,FALSE)*$L$1</f>
        <v>0.11</v>
      </c>
      <c r="M115" s="968">
        <f>VLOOKUP($B$1,'Product Procurement Sheet'!B:D,3,FALSE)*$M$1</f>
        <v>0.22</v>
      </c>
      <c r="N115" s="968">
        <f>VLOOKUP($B$1,'Product Procurement Sheet'!B:D,3,FALSE)*$N$1</f>
        <v>0.33</v>
      </c>
      <c r="O115" s="971" cm="1">
        <f ca="1" t="array" ref="O115">(_xlfn.SINGLE(_xlfn.XLOOKUP(1,(INDIRECT($R$1&amp;"!$C:$C")=B115)*(INDIRECT($R$1&amp;"!$G:$G")&lt;L115)*(INDIRECT($R$1&amp;"!$H:$H")&gt;=L115),INDIRECT($R$1&amp;"!$K:$K"))))*L115+(_xlfn.SINGLE(_xlfn.XLOOKUP(1,(INDIRECT($R$1&amp;"!$C:$C")=B115)*(INDIRECT($R$1&amp;"!$G:$G")&lt;L115)*(INDIRECT($R$1&amp;"!$H:$H")&gt;=L115),INDIRECT($R$1&amp;"!$L:$L"))))</f>
        <v>39.25</v>
      </c>
      <c r="P115" s="971" cm="1">
        <f ca="1" t="array" ref="P115">(_xlfn.SINGLE(_xlfn.XLOOKUP(1,(INDIRECT($R$1&amp;"!$C:$C")=B115)*(INDIRECT($R$1&amp;"!$G:$G")&lt;M115)*(INDIRECT($R$1&amp;"!$H:$H")&gt;=M115),INDIRECT($R$1&amp;"!$K:$K"))))*M115+(_xlfn.SINGLE(_xlfn.XLOOKUP(1,(INDIRECT($R$1&amp;"!$C:$C")=B115)*(INDIRECT($R$1&amp;"!$G:$G")&lt;M115)*(INDIRECT($R$1&amp;"!$H:$H")&gt;=M115),INDIRECT($R$1&amp;"!$L:$L"))))</f>
        <v>58.5</v>
      </c>
      <c r="Q115" s="971" cm="1">
        <f ca="1" t="array" ref="Q115">(_xlfn.SINGLE(_xlfn.XLOOKUP(1,(INDIRECT($R$1&amp;"!$C:$C")=B115)*(INDIRECT($R$1&amp;"!$G:$G")&lt;N115)*(INDIRECT($R$1&amp;"!$H:$H")&gt;=N115),INDIRECT($R$1&amp;"!$K:$K"))))*N115+(_xlfn.SINGLE(_xlfn.XLOOKUP(1,(INDIRECT($R$1&amp;"!$C:$C")=B115)*(INDIRECT($R$1&amp;"!$G:$G")&lt;N115)*(INDIRECT($R$1&amp;"!$H:$H")&gt;=N115),INDIRECT($R$1&amp;"!$L:$L"))))</f>
        <v>77.75</v>
      </c>
      <c r="R115" s="955"/>
    </row>
    <row r="116" ht="17.25" spans="1:18">
      <c r="A116" s="963" t="s">
        <v>246</v>
      </c>
      <c r="B116" s="963" t="s">
        <v>247</v>
      </c>
      <c r="C116" s="964" t="e">
        <f ca="1" t="shared" si="67"/>
        <v>#N/A</v>
      </c>
      <c r="D116" s="964" t="e">
        <f ca="1" t="shared" si="68"/>
        <v>#N/A</v>
      </c>
      <c r="E116" s="964" t="e">
        <f ca="1" t="shared" si="69"/>
        <v>#N/A</v>
      </c>
      <c r="F116" s="965" t="e">
        <f ca="1" t="shared" ref="F116:H116" si="118">O116/$P$1</f>
        <v>#N/A</v>
      </c>
      <c r="G116" s="965" t="e">
        <f ca="1" t="shared" si="118"/>
        <v>#N/A</v>
      </c>
      <c r="H116" s="965" t="e">
        <f ca="1" t="shared" si="118"/>
        <v>#N/A</v>
      </c>
      <c r="I116" s="965">
        <f>(VLOOKUP($B$1,'Product Procurement Sheet'!B:I,8,0)*$L$1)/$P$1</f>
        <v>1.97183098591549</v>
      </c>
      <c r="J116" s="965">
        <f>(VLOOKUP($B$1,'Product Procurement Sheet'!B:I,8,0)*$M$1)/$P$1</f>
        <v>3.94366197183099</v>
      </c>
      <c r="K116" s="965">
        <f>(VLOOKUP($B$1,'Product Procurement Sheet'!B:I,8,0)*$N$1)/$P$1</f>
        <v>5.91549295774648</v>
      </c>
      <c r="L116" s="968">
        <f>VLOOKUP($B$1,'Product Procurement Sheet'!B:D,3,FALSE)*$L$1</f>
        <v>0.11</v>
      </c>
      <c r="M116" s="968">
        <f>VLOOKUP($B$1,'Product Procurement Sheet'!B:D,3,FALSE)*$M$1</f>
        <v>0.22</v>
      </c>
      <c r="N116" s="968">
        <f>VLOOKUP($B$1,'Product Procurement Sheet'!B:D,3,FALSE)*$N$1</f>
        <v>0.33</v>
      </c>
      <c r="O116" s="971" t="e" cm="1">
        <f ca="1" t="array" ref="O116">(_xlfn.SINGLE(_xlfn.XLOOKUP(1,(INDIRECT($R$1&amp;"!$C:$C")=B116)*(INDIRECT($R$1&amp;"!$G:$G")&lt;L116)*(INDIRECT($R$1&amp;"!$H:$H")&gt;=L116),INDIRECT($R$1&amp;"!$K:$K"))))*L116+(_xlfn.SINGLE(_xlfn.XLOOKUP(1,(INDIRECT($R$1&amp;"!$C:$C")=B116)*(INDIRECT($R$1&amp;"!$G:$G")&lt;L116)*(INDIRECT($R$1&amp;"!$H:$H")&gt;=L116),INDIRECT($R$1&amp;"!$L:$L"))))</f>
        <v>#N/A</v>
      </c>
      <c r="P116" s="971" t="e" cm="1">
        <f ca="1" t="array" ref="P116">(_xlfn.SINGLE(_xlfn.XLOOKUP(1,(INDIRECT($R$1&amp;"!$C:$C")=B116)*(INDIRECT($R$1&amp;"!$G:$G")&lt;M116)*(INDIRECT($R$1&amp;"!$H:$H")&gt;=M116),INDIRECT($R$1&amp;"!$K:$K"))))*M116+(_xlfn.SINGLE(_xlfn.XLOOKUP(1,(INDIRECT($R$1&amp;"!$C:$C")=B116)*(INDIRECT($R$1&amp;"!$G:$G")&lt;M116)*(INDIRECT($R$1&amp;"!$H:$H")&gt;=M116),INDIRECT($R$1&amp;"!$L:$L"))))</f>
        <v>#N/A</v>
      </c>
      <c r="Q116" s="971" t="e" cm="1">
        <f ca="1" t="array" ref="Q116">(_xlfn.SINGLE(_xlfn.XLOOKUP(1,(INDIRECT($R$1&amp;"!$C:$C")=B116)*(INDIRECT($R$1&amp;"!$G:$G")&lt;N116)*(INDIRECT($R$1&amp;"!$H:$H")&gt;=N116),INDIRECT($R$1&amp;"!$K:$K"))))*N116+(_xlfn.SINGLE(_xlfn.XLOOKUP(1,(INDIRECT($R$1&amp;"!$C:$C")=B116)*(INDIRECT($R$1&amp;"!$G:$G")&lt;N116)*(INDIRECT($R$1&amp;"!$H:$H")&gt;=N116),INDIRECT($R$1&amp;"!$L:$L"))))</f>
        <v>#N/A</v>
      </c>
      <c r="R116" s="955"/>
    </row>
    <row r="117" ht="17.25" spans="1:18">
      <c r="A117" s="963" t="s">
        <v>248</v>
      </c>
      <c r="B117" s="963" t="s">
        <v>249</v>
      </c>
      <c r="C117" s="964">
        <f ca="1" t="shared" si="67"/>
        <v>5.40274647887324</v>
      </c>
      <c r="D117" s="964">
        <f ca="1" t="shared" si="68"/>
        <v>9.7505633802817</v>
      </c>
      <c r="E117" s="964">
        <f ca="1" t="shared" si="69"/>
        <v>14.0983802816901</v>
      </c>
      <c r="F117" s="965">
        <f ca="1" t="shared" ref="F117:H117" si="119">O117/$P$1</f>
        <v>3.07746478873239</v>
      </c>
      <c r="G117" s="965">
        <f ca="1" t="shared" si="119"/>
        <v>5.16901408450704</v>
      </c>
      <c r="H117" s="965">
        <f ca="1" t="shared" si="119"/>
        <v>7.26056338028169</v>
      </c>
      <c r="I117" s="965">
        <f>(VLOOKUP($B$1,'Product Procurement Sheet'!B:I,8,0)*$L$1)/$P$1</f>
        <v>1.97183098591549</v>
      </c>
      <c r="J117" s="965">
        <f>(VLOOKUP($B$1,'Product Procurement Sheet'!B:I,8,0)*$M$1)/$P$1</f>
        <v>3.94366197183099</v>
      </c>
      <c r="K117" s="965">
        <f>(VLOOKUP($B$1,'Product Procurement Sheet'!B:I,8,0)*$N$1)/$P$1</f>
        <v>5.91549295774648</v>
      </c>
      <c r="L117" s="968">
        <f>VLOOKUP($B$1,'Product Procurement Sheet'!B:D,3,FALSE)*$L$1</f>
        <v>0.11</v>
      </c>
      <c r="M117" s="968">
        <f>VLOOKUP($B$1,'Product Procurement Sheet'!B:D,3,FALSE)*$M$1</f>
        <v>0.22</v>
      </c>
      <c r="N117" s="968">
        <f>VLOOKUP($B$1,'Product Procurement Sheet'!B:D,3,FALSE)*$N$1</f>
        <v>0.33</v>
      </c>
      <c r="O117" s="971" cm="1">
        <f ca="1" t="array" ref="O117">(_xlfn.SINGLE(_xlfn.XLOOKUP(1,(INDIRECT($R$1&amp;"!$C:$C")=B117)*(INDIRECT($R$1&amp;"!$G:$G")&lt;L117)*(INDIRECT($R$1&amp;"!$H:$H")&gt;=L117),INDIRECT($R$1&amp;"!$K:$K"))))*L117+(_xlfn.SINGLE(_xlfn.XLOOKUP(1,(INDIRECT($R$1&amp;"!$C:$C")=B117)*(INDIRECT($R$1&amp;"!$G:$G")&lt;L117)*(INDIRECT($R$1&amp;"!$H:$H")&gt;=L117),INDIRECT($R$1&amp;"!$L:$L"))))</f>
        <v>21.85</v>
      </c>
      <c r="P117" s="971" cm="1">
        <f ca="1" t="array" ref="P117">(_xlfn.SINGLE(_xlfn.XLOOKUP(1,(INDIRECT($R$1&amp;"!$C:$C")=B117)*(INDIRECT($R$1&amp;"!$G:$G")&lt;M117)*(INDIRECT($R$1&amp;"!$H:$H")&gt;=M117),INDIRECT($R$1&amp;"!$K:$K"))))*M117+(_xlfn.SINGLE(_xlfn.XLOOKUP(1,(INDIRECT($R$1&amp;"!$C:$C")=B117)*(INDIRECT($R$1&amp;"!$G:$G")&lt;M117)*(INDIRECT($R$1&amp;"!$H:$H")&gt;=M117),INDIRECT($R$1&amp;"!$L:$L"))))</f>
        <v>36.7</v>
      </c>
      <c r="Q117" s="971" cm="1">
        <f ca="1" t="array" ref="Q117">(_xlfn.SINGLE(_xlfn.XLOOKUP(1,(INDIRECT($R$1&amp;"!$C:$C")=B117)*(INDIRECT($R$1&amp;"!$G:$G")&lt;N117)*(INDIRECT($R$1&amp;"!$H:$H")&gt;=N117),INDIRECT($R$1&amp;"!$K:$K"))))*N117+(_xlfn.SINGLE(_xlfn.XLOOKUP(1,(INDIRECT($R$1&amp;"!$C:$C")=B117)*(INDIRECT($R$1&amp;"!$G:$G")&lt;N117)*(INDIRECT($R$1&amp;"!$H:$H")&gt;=N117),INDIRECT($R$1&amp;"!$L:$L"))))</f>
        <v>51.55</v>
      </c>
      <c r="R117" s="955"/>
    </row>
    <row r="118" ht="17.25" spans="1:18">
      <c r="A118" s="963" t="s">
        <v>250</v>
      </c>
      <c r="B118" s="963" t="s">
        <v>251</v>
      </c>
      <c r="C118" s="964">
        <f ca="1" t="shared" si="67"/>
        <v>9.35119718309859</v>
      </c>
      <c r="D118" s="964">
        <f ca="1" t="shared" si="68"/>
        <v>15.6883098591549</v>
      </c>
      <c r="E118" s="964">
        <f ca="1" t="shared" si="69"/>
        <v>22.0254225352113</v>
      </c>
      <c r="F118" s="965">
        <f ca="1" t="shared" ref="F118:H118" si="120">O118/$P$1</f>
        <v>6.76760563380282</v>
      </c>
      <c r="G118" s="965">
        <f ca="1" t="shared" si="120"/>
        <v>10.7183098591549</v>
      </c>
      <c r="H118" s="965">
        <f ca="1" t="shared" si="120"/>
        <v>14.669014084507</v>
      </c>
      <c r="I118" s="965">
        <f>(VLOOKUP($B$1,'Product Procurement Sheet'!B:I,8,0)*$L$1)/$P$1</f>
        <v>1.97183098591549</v>
      </c>
      <c r="J118" s="965">
        <f>(VLOOKUP($B$1,'Product Procurement Sheet'!B:I,8,0)*$M$1)/$P$1</f>
        <v>3.94366197183099</v>
      </c>
      <c r="K118" s="965">
        <f>(VLOOKUP($B$1,'Product Procurement Sheet'!B:I,8,0)*$N$1)/$P$1</f>
        <v>5.91549295774648</v>
      </c>
      <c r="L118" s="968">
        <f>VLOOKUP($B$1,'Product Procurement Sheet'!B:D,3,FALSE)*$L$1</f>
        <v>0.11</v>
      </c>
      <c r="M118" s="968">
        <f>VLOOKUP($B$1,'Product Procurement Sheet'!B:D,3,FALSE)*$M$1</f>
        <v>0.22</v>
      </c>
      <c r="N118" s="968">
        <f>VLOOKUP($B$1,'Product Procurement Sheet'!B:D,3,FALSE)*$N$1</f>
        <v>0.33</v>
      </c>
      <c r="O118" s="971" cm="1">
        <f ca="1" t="array" ref="O118">(_xlfn.SINGLE(_xlfn.XLOOKUP(1,(INDIRECT($R$1&amp;"!$C:$C")=B118)*(INDIRECT($R$1&amp;"!$G:$G")&lt;L118)*(INDIRECT($R$1&amp;"!$H:$H")&gt;=L118),INDIRECT($R$1&amp;"!$K:$K"))))*L118+(_xlfn.SINGLE(_xlfn.XLOOKUP(1,(INDIRECT($R$1&amp;"!$C:$C")=B118)*(INDIRECT($R$1&amp;"!$G:$G")&lt;L118)*(INDIRECT($R$1&amp;"!$H:$H")&gt;=L118),INDIRECT($R$1&amp;"!$L:$L"))))</f>
        <v>48.05</v>
      </c>
      <c r="P118" s="971" cm="1">
        <f ca="1" t="array" ref="P118">(_xlfn.SINGLE(_xlfn.XLOOKUP(1,(INDIRECT($R$1&amp;"!$C:$C")=B118)*(INDIRECT($R$1&amp;"!$G:$G")&lt;M118)*(INDIRECT($R$1&amp;"!$H:$H")&gt;=M118),INDIRECT($R$1&amp;"!$K:$K"))))*M118+(_xlfn.SINGLE(_xlfn.XLOOKUP(1,(INDIRECT($R$1&amp;"!$C:$C")=B118)*(INDIRECT($R$1&amp;"!$G:$G")&lt;M118)*(INDIRECT($R$1&amp;"!$H:$H")&gt;=M118),INDIRECT($R$1&amp;"!$L:$L"))))</f>
        <v>76.1</v>
      </c>
      <c r="Q118" s="971" cm="1">
        <f ca="1" t="array" ref="Q118">(_xlfn.SINGLE(_xlfn.XLOOKUP(1,(INDIRECT($R$1&amp;"!$C:$C")=B118)*(INDIRECT($R$1&amp;"!$G:$G")&lt;N118)*(INDIRECT($R$1&amp;"!$H:$H")&gt;=N118),INDIRECT($R$1&amp;"!$K:$K"))))*N118+(_xlfn.SINGLE(_xlfn.XLOOKUP(1,(INDIRECT($R$1&amp;"!$C:$C")=B118)*(INDIRECT($R$1&amp;"!$G:$G")&lt;N118)*(INDIRECT($R$1&amp;"!$H:$H")&gt;=N118),INDIRECT($R$1&amp;"!$L:$L"))))</f>
        <v>104.15</v>
      </c>
      <c r="R118" s="955"/>
    </row>
    <row r="119" ht="17.25" spans="1:18">
      <c r="A119" s="963" t="s">
        <v>252</v>
      </c>
      <c r="B119" s="963" t="s">
        <v>253</v>
      </c>
      <c r="C119" s="964">
        <f ca="1" t="shared" si="67"/>
        <v>7.12077464788732</v>
      </c>
      <c r="D119" s="964">
        <f ca="1" t="shared" si="68"/>
        <v>12.1316901408451</v>
      </c>
      <c r="E119" s="964">
        <f ca="1" t="shared" si="69"/>
        <v>17.1426056338028</v>
      </c>
      <c r="F119" s="965">
        <f ca="1" t="shared" ref="F119:H119" si="121">O119/$P$1</f>
        <v>4.6830985915493</v>
      </c>
      <c r="G119" s="965">
        <f ca="1" t="shared" si="121"/>
        <v>7.3943661971831</v>
      </c>
      <c r="H119" s="965">
        <f ca="1" t="shared" si="121"/>
        <v>10.1056338028169</v>
      </c>
      <c r="I119" s="965">
        <f>(VLOOKUP($B$1,'Product Procurement Sheet'!B:I,8,0)*$L$1)/$P$1</f>
        <v>1.97183098591549</v>
      </c>
      <c r="J119" s="965">
        <f>(VLOOKUP($B$1,'Product Procurement Sheet'!B:I,8,0)*$M$1)/$P$1</f>
        <v>3.94366197183099</v>
      </c>
      <c r="K119" s="965">
        <f>(VLOOKUP($B$1,'Product Procurement Sheet'!B:I,8,0)*$N$1)/$P$1</f>
        <v>5.91549295774648</v>
      </c>
      <c r="L119" s="968">
        <f>VLOOKUP($B$1,'Product Procurement Sheet'!B:D,3,FALSE)*$L$1</f>
        <v>0.11</v>
      </c>
      <c r="M119" s="968">
        <f>VLOOKUP($B$1,'Product Procurement Sheet'!B:D,3,FALSE)*$M$1</f>
        <v>0.22</v>
      </c>
      <c r="N119" s="968">
        <f>VLOOKUP($B$1,'Product Procurement Sheet'!B:D,3,FALSE)*$N$1</f>
        <v>0.33</v>
      </c>
      <c r="O119" s="971" cm="1">
        <f ca="1" t="array" ref="O119">(_xlfn.SINGLE(_xlfn.XLOOKUP(1,(INDIRECT($R$1&amp;"!$C:$C")=B119)*(INDIRECT($R$1&amp;"!$G:$G")&lt;L119)*(INDIRECT($R$1&amp;"!$H:$H")&gt;=L119),INDIRECT($R$1&amp;"!$K:$K"))))*L119+(_xlfn.SINGLE(_xlfn.XLOOKUP(1,(INDIRECT($R$1&amp;"!$C:$C")=B119)*(INDIRECT($R$1&amp;"!$G:$G")&lt;L119)*(INDIRECT($R$1&amp;"!$H:$H")&gt;=L119),INDIRECT($R$1&amp;"!$L:$L"))))</f>
        <v>33.25</v>
      </c>
      <c r="P119" s="971" cm="1">
        <f ca="1" t="array" ref="P119">(_xlfn.SINGLE(_xlfn.XLOOKUP(1,(INDIRECT($R$1&amp;"!$C:$C")=B119)*(INDIRECT($R$1&amp;"!$G:$G")&lt;M119)*(INDIRECT($R$1&amp;"!$H:$H")&gt;=M119),INDIRECT($R$1&amp;"!$K:$K"))))*M119+(_xlfn.SINGLE(_xlfn.XLOOKUP(1,(INDIRECT($R$1&amp;"!$C:$C")=B119)*(INDIRECT($R$1&amp;"!$G:$G")&lt;M119)*(INDIRECT($R$1&amp;"!$H:$H")&gt;=M119),INDIRECT($R$1&amp;"!$L:$L"))))</f>
        <v>52.5</v>
      </c>
      <c r="Q119" s="971" cm="1">
        <f ca="1" t="array" ref="Q119">(_xlfn.SINGLE(_xlfn.XLOOKUP(1,(INDIRECT($R$1&amp;"!$C:$C")=B119)*(INDIRECT($R$1&amp;"!$G:$G")&lt;N119)*(INDIRECT($R$1&amp;"!$H:$H")&gt;=N119),INDIRECT($R$1&amp;"!$K:$K"))))*N119+(_xlfn.SINGLE(_xlfn.XLOOKUP(1,(INDIRECT($R$1&amp;"!$C:$C")=B119)*(INDIRECT($R$1&amp;"!$G:$G")&lt;N119)*(INDIRECT($R$1&amp;"!$H:$H")&gt;=N119),INDIRECT($R$1&amp;"!$L:$L"))))</f>
        <v>71.75</v>
      </c>
      <c r="R119" s="955"/>
    </row>
    <row r="120" ht="17.25" spans="1:18">
      <c r="A120" s="963" t="s">
        <v>254</v>
      </c>
      <c r="B120" s="963" t="s">
        <v>255</v>
      </c>
      <c r="C120" s="964">
        <f ca="1" t="shared" si="67"/>
        <v>8.025</v>
      </c>
      <c r="D120" s="964">
        <f ca="1" t="shared" si="68"/>
        <v>13.0359154929578</v>
      </c>
      <c r="E120" s="964">
        <f ca="1" t="shared" si="69"/>
        <v>18.0468309859155</v>
      </c>
      <c r="F120" s="965">
        <f ca="1" t="shared" ref="F120:H120" si="122">O120/$P$1</f>
        <v>5.52816901408451</v>
      </c>
      <c r="G120" s="965">
        <f ca="1" t="shared" si="122"/>
        <v>8.23943661971831</v>
      </c>
      <c r="H120" s="965">
        <f ca="1" t="shared" si="122"/>
        <v>10.9507042253521</v>
      </c>
      <c r="I120" s="965">
        <f>(VLOOKUP($B$1,'Product Procurement Sheet'!B:I,8,0)*$L$1)/$P$1</f>
        <v>1.97183098591549</v>
      </c>
      <c r="J120" s="965">
        <f>(VLOOKUP($B$1,'Product Procurement Sheet'!B:I,8,0)*$M$1)/$P$1</f>
        <v>3.94366197183099</v>
      </c>
      <c r="K120" s="965">
        <f>(VLOOKUP($B$1,'Product Procurement Sheet'!B:I,8,0)*$N$1)/$P$1</f>
        <v>5.91549295774648</v>
      </c>
      <c r="L120" s="968">
        <f>VLOOKUP($B$1,'Product Procurement Sheet'!B:D,3,FALSE)*$L$1</f>
        <v>0.11</v>
      </c>
      <c r="M120" s="968">
        <f>VLOOKUP($B$1,'Product Procurement Sheet'!B:D,3,FALSE)*$M$1</f>
        <v>0.22</v>
      </c>
      <c r="N120" s="968">
        <f>VLOOKUP($B$1,'Product Procurement Sheet'!B:D,3,FALSE)*$N$1</f>
        <v>0.33</v>
      </c>
      <c r="O120" s="971" cm="1">
        <f ca="1" t="array" ref="O120">(_xlfn.SINGLE(_xlfn.XLOOKUP(1,(INDIRECT($R$1&amp;"!$C:$C")=B120)*(INDIRECT($R$1&amp;"!$G:$G")&lt;L120)*(INDIRECT($R$1&amp;"!$H:$H")&gt;=L120),INDIRECT($R$1&amp;"!$K:$K"))))*L120+(_xlfn.SINGLE(_xlfn.XLOOKUP(1,(INDIRECT($R$1&amp;"!$C:$C")=B120)*(INDIRECT($R$1&amp;"!$G:$G")&lt;L120)*(INDIRECT($R$1&amp;"!$H:$H")&gt;=L120),INDIRECT($R$1&amp;"!$L:$L"))))</f>
        <v>39.25</v>
      </c>
      <c r="P120" s="971" cm="1">
        <f ca="1" t="array" ref="P120">(_xlfn.SINGLE(_xlfn.XLOOKUP(1,(INDIRECT($R$1&amp;"!$C:$C")=B120)*(INDIRECT($R$1&amp;"!$G:$G")&lt;M120)*(INDIRECT($R$1&amp;"!$H:$H")&gt;=M120),INDIRECT($R$1&amp;"!$K:$K"))))*M120+(_xlfn.SINGLE(_xlfn.XLOOKUP(1,(INDIRECT($R$1&amp;"!$C:$C")=B120)*(INDIRECT($R$1&amp;"!$G:$G")&lt;M120)*(INDIRECT($R$1&amp;"!$H:$H")&gt;=M120),INDIRECT($R$1&amp;"!$L:$L"))))</f>
        <v>58.5</v>
      </c>
      <c r="Q120" s="971" cm="1">
        <f ca="1" t="array" ref="Q120">(_xlfn.SINGLE(_xlfn.XLOOKUP(1,(INDIRECT($R$1&amp;"!$C:$C")=B120)*(INDIRECT($R$1&amp;"!$G:$G")&lt;N120)*(INDIRECT($R$1&amp;"!$H:$H")&gt;=N120),INDIRECT($R$1&amp;"!$K:$K"))))*N120+(_xlfn.SINGLE(_xlfn.XLOOKUP(1,(INDIRECT($R$1&amp;"!$C:$C")=B120)*(INDIRECT($R$1&amp;"!$G:$G")&lt;N120)*(INDIRECT($R$1&amp;"!$H:$H")&gt;=N120),INDIRECT($R$1&amp;"!$L:$L"))))</f>
        <v>77.75</v>
      </c>
      <c r="R120" s="955"/>
    </row>
    <row r="121" ht="17.25" spans="1:18">
      <c r="A121" s="963" t="s">
        <v>256</v>
      </c>
      <c r="B121" s="963" t="s">
        <v>257</v>
      </c>
      <c r="C121" s="964">
        <f ca="1" t="shared" si="67"/>
        <v>10.1951408450704</v>
      </c>
      <c r="D121" s="964">
        <f ca="1" t="shared" si="68"/>
        <v>15.8691549295775</v>
      </c>
      <c r="E121" s="964">
        <f ca="1" t="shared" si="69"/>
        <v>21.5431690140845</v>
      </c>
      <c r="F121" s="965">
        <f ca="1" t="shared" ref="F121:H121" si="123">O121/$P$1</f>
        <v>7.55633802816901</v>
      </c>
      <c r="G121" s="965">
        <f ca="1" t="shared" si="123"/>
        <v>10.887323943662</v>
      </c>
      <c r="H121" s="965">
        <f ca="1" t="shared" si="123"/>
        <v>14.2183098591549</v>
      </c>
      <c r="I121" s="965">
        <f>(VLOOKUP($B$1,'Product Procurement Sheet'!B:I,8,0)*$L$1)/$P$1</f>
        <v>1.97183098591549</v>
      </c>
      <c r="J121" s="965">
        <f>(VLOOKUP($B$1,'Product Procurement Sheet'!B:I,8,0)*$M$1)/$P$1</f>
        <v>3.94366197183099</v>
      </c>
      <c r="K121" s="965">
        <f>(VLOOKUP($B$1,'Product Procurement Sheet'!B:I,8,0)*$N$1)/$P$1</f>
        <v>5.91549295774648</v>
      </c>
      <c r="L121" s="968">
        <f>VLOOKUP($B$1,'Product Procurement Sheet'!B:D,3,FALSE)*$L$1</f>
        <v>0.11</v>
      </c>
      <c r="M121" s="968">
        <f>VLOOKUP($B$1,'Product Procurement Sheet'!B:D,3,FALSE)*$M$1</f>
        <v>0.22</v>
      </c>
      <c r="N121" s="968">
        <f>VLOOKUP($B$1,'Product Procurement Sheet'!B:D,3,FALSE)*$N$1</f>
        <v>0.33</v>
      </c>
      <c r="O121" s="971" cm="1">
        <f ca="1" t="array" ref="O121">(_xlfn.SINGLE(_xlfn.XLOOKUP(1,(INDIRECT($R$1&amp;"!$C:$C")=B121)*(INDIRECT($R$1&amp;"!$G:$G")&lt;L121)*(INDIRECT($R$1&amp;"!$H:$H")&gt;=L121),INDIRECT($R$1&amp;"!$K:$K"))))*L121+(_xlfn.SINGLE(_xlfn.XLOOKUP(1,(INDIRECT($R$1&amp;"!$C:$C")=B121)*(INDIRECT($R$1&amp;"!$G:$G")&lt;L121)*(INDIRECT($R$1&amp;"!$H:$H")&gt;=L121),INDIRECT($R$1&amp;"!$L:$L"))))</f>
        <v>53.65</v>
      </c>
      <c r="P121" s="971" cm="1">
        <f ca="1" t="array" ref="P121">(_xlfn.SINGLE(_xlfn.XLOOKUP(1,(INDIRECT($R$1&amp;"!$C:$C")=B121)*(INDIRECT($R$1&amp;"!$G:$G")&lt;M121)*(INDIRECT($R$1&amp;"!$H:$H")&gt;=M121),INDIRECT($R$1&amp;"!$K:$K"))))*M121+(_xlfn.SINGLE(_xlfn.XLOOKUP(1,(INDIRECT($R$1&amp;"!$C:$C")=B121)*(INDIRECT($R$1&amp;"!$G:$G")&lt;M121)*(INDIRECT($R$1&amp;"!$H:$H")&gt;=M121),INDIRECT($R$1&amp;"!$L:$L"))))</f>
        <v>77.3</v>
      </c>
      <c r="Q121" s="971" cm="1">
        <f ca="1" t="array" ref="Q121">(_xlfn.SINGLE(_xlfn.XLOOKUP(1,(INDIRECT($R$1&amp;"!$C:$C")=B121)*(INDIRECT($R$1&amp;"!$G:$G")&lt;N121)*(INDIRECT($R$1&amp;"!$H:$H")&gt;=N121),INDIRECT($R$1&amp;"!$K:$K"))))*N121+(_xlfn.SINGLE(_xlfn.XLOOKUP(1,(INDIRECT($R$1&amp;"!$C:$C")=B121)*(INDIRECT($R$1&amp;"!$G:$G")&lt;N121)*(INDIRECT($R$1&amp;"!$H:$H")&gt;=N121),INDIRECT($R$1&amp;"!$L:$L"))))</f>
        <v>100.95</v>
      </c>
      <c r="R121" s="955"/>
    </row>
    <row r="122" ht="17.25" spans="1:18">
      <c r="A122" s="963" t="s">
        <v>258</v>
      </c>
      <c r="B122" s="963" t="s">
        <v>259</v>
      </c>
      <c r="C122" s="964">
        <f ca="1" t="shared" si="67"/>
        <v>13.164014084507</v>
      </c>
      <c r="D122" s="964">
        <f ca="1" t="shared" si="68"/>
        <v>23.3139436619718</v>
      </c>
      <c r="E122" s="964">
        <f ca="1" t="shared" si="69"/>
        <v>33.4638732394366</v>
      </c>
      <c r="F122" s="965">
        <f ca="1" t="shared" ref="F122:H122" si="124">O122/$P$1</f>
        <v>10.330985915493</v>
      </c>
      <c r="G122" s="965">
        <f ca="1" t="shared" si="124"/>
        <v>17.8450704225352</v>
      </c>
      <c r="H122" s="965">
        <f ca="1" t="shared" si="124"/>
        <v>25.3591549295775</v>
      </c>
      <c r="I122" s="965">
        <f>(VLOOKUP($B$1,'Product Procurement Sheet'!B:I,8,0)*$L$1)/$P$1</f>
        <v>1.97183098591549</v>
      </c>
      <c r="J122" s="965">
        <f>(VLOOKUP($B$1,'Product Procurement Sheet'!B:I,8,0)*$M$1)/$P$1</f>
        <v>3.94366197183099</v>
      </c>
      <c r="K122" s="965">
        <f>(VLOOKUP($B$1,'Product Procurement Sheet'!B:I,8,0)*$N$1)/$P$1</f>
        <v>5.91549295774648</v>
      </c>
      <c r="L122" s="968">
        <f>VLOOKUP($B$1,'Product Procurement Sheet'!B:D,3,FALSE)*$L$1</f>
        <v>0.11</v>
      </c>
      <c r="M122" s="968">
        <f>VLOOKUP($B$1,'Product Procurement Sheet'!B:D,3,FALSE)*$M$1</f>
        <v>0.22</v>
      </c>
      <c r="N122" s="968">
        <f>VLOOKUP($B$1,'Product Procurement Sheet'!B:D,3,FALSE)*$N$1</f>
        <v>0.33</v>
      </c>
      <c r="O122" s="971" cm="1">
        <f ca="1" t="array" ref="O122">(_xlfn.SINGLE(_xlfn.XLOOKUP(1,(INDIRECT($R$1&amp;"!$C:$C")=B122)*(INDIRECT($R$1&amp;"!$G:$G")&lt;L122)*(INDIRECT($R$1&amp;"!$H:$H")&gt;=L122),INDIRECT($R$1&amp;"!$K:$K"))))*L122+(_xlfn.SINGLE(_xlfn.XLOOKUP(1,(INDIRECT($R$1&amp;"!$C:$C")=B122)*(INDIRECT($R$1&amp;"!$G:$G")&lt;L122)*(INDIRECT($R$1&amp;"!$H:$H")&gt;=L122),INDIRECT($R$1&amp;"!$L:$L"))))</f>
        <v>73.35</v>
      </c>
      <c r="P122" s="971" cm="1">
        <f ca="1" t="array" ref="P122">(_xlfn.SINGLE(_xlfn.XLOOKUP(1,(INDIRECT($R$1&amp;"!$C:$C")=B122)*(INDIRECT($R$1&amp;"!$G:$G")&lt;M122)*(INDIRECT($R$1&amp;"!$H:$H")&gt;=M122),INDIRECT($R$1&amp;"!$K:$K"))))*M122+(_xlfn.SINGLE(_xlfn.XLOOKUP(1,(INDIRECT($R$1&amp;"!$C:$C")=B122)*(INDIRECT($R$1&amp;"!$G:$G")&lt;M122)*(INDIRECT($R$1&amp;"!$H:$H")&gt;=M122),INDIRECT($R$1&amp;"!$L:$L"))))</f>
        <v>126.7</v>
      </c>
      <c r="Q122" s="971" cm="1">
        <f ca="1" t="array" ref="Q122">(_xlfn.SINGLE(_xlfn.XLOOKUP(1,(INDIRECT($R$1&amp;"!$C:$C")=B122)*(INDIRECT($R$1&amp;"!$G:$G")&lt;N122)*(INDIRECT($R$1&amp;"!$H:$H")&gt;=N122),INDIRECT($R$1&amp;"!$K:$K"))))*N122+(_xlfn.SINGLE(_xlfn.XLOOKUP(1,(INDIRECT($R$1&amp;"!$C:$C")=B122)*(INDIRECT($R$1&amp;"!$G:$G")&lt;N122)*(INDIRECT($R$1&amp;"!$H:$H")&gt;=N122),INDIRECT($R$1&amp;"!$L:$L"))))</f>
        <v>180.05</v>
      </c>
      <c r="R122" s="955"/>
    </row>
    <row r="123" ht="17.25" spans="1:18">
      <c r="A123" s="963" t="s">
        <v>260</v>
      </c>
      <c r="B123" s="963" t="s">
        <v>261</v>
      </c>
      <c r="C123" s="964">
        <f ca="1" t="shared" si="67"/>
        <v>13.164014084507</v>
      </c>
      <c r="D123" s="964">
        <f ca="1" t="shared" si="68"/>
        <v>23.3139436619718</v>
      </c>
      <c r="E123" s="964">
        <f ca="1" t="shared" si="69"/>
        <v>33.4638732394366</v>
      </c>
      <c r="F123" s="965">
        <f ca="1" t="shared" ref="F123:H123" si="125">O123/$P$1</f>
        <v>10.330985915493</v>
      </c>
      <c r="G123" s="965">
        <f ca="1" t="shared" si="125"/>
        <v>17.8450704225352</v>
      </c>
      <c r="H123" s="965">
        <f ca="1" t="shared" si="125"/>
        <v>25.3591549295775</v>
      </c>
      <c r="I123" s="965">
        <f>(VLOOKUP($B$1,'Product Procurement Sheet'!B:I,8,0)*$L$1)/$P$1</f>
        <v>1.97183098591549</v>
      </c>
      <c r="J123" s="965">
        <f>(VLOOKUP($B$1,'Product Procurement Sheet'!B:I,8,0)*$M$1)/$P$1</f>
        <v>3.94366197183099</v>
      </c>
      <c r="K123" s="965">
        <f>(VLOOKUP($B$1,'Product Procurement Sheet'!B:I,8,0)*$N$1)/$P$1</f>
        <v>5.91549295774648</v>
      </c>
      <c r="L123" s="968">
        <f>VLOOKUP($B$1,'Product Procurement Sheet'!B:D,3,FALSE)*$L$1</f>
        <v>0.11</v>
      </c>
      <c r="M123" s="968">
        <f>VLOOKUP($B$1,'Product Procurement Sheet'!B:D,3,FALSE)*$M$1</f>
        <v>0.22</v>
      </c>
      <c r="N123" s="968">
        <f>VLOOKUP($B$1,'Product Procurement Sheet'!B:D,3,FALSE)*$N$1</f>
        <v>0.33</v>
      </c>
      <c r="O123" s="971" cm="1">
        <f ca="1" t="array" ref="O123">(_xlfn.SINGLE(_xlfn.XLOOKUP(1,(INDIRECT($R$1&amp;"!$C:$C")=B123)*(INDIRECT($R$1&amp;"!$G:$G")&lt;L123)*(INDIRECT($R$1&amp;"!$H:$H")&gt;=L123),INDIRECT($R$1&amp;"!$K:$K"))))*L123+(_xlfn.SINGLE(_xlfn.XLOOKUP(1,(INDIRECT($R$1&amp;"!$C:$C")=B123)*(INDIRECT($R$1&amp;"!$G:$G")&lt;L123)*(INDIRECT($R$1&amp;"!$H:$H")&gt;=L123),INDIRECT($R$1&amp;"!$L:$L"))))</f>
        <v>73.35</v>
      </c>
      <c r="P123" s="971" cm="1">
        <f ca="1" t="array" ref="P123">(_xlfn.SINGLE(_xlfn.XLOOKUP(1,(INDIRECT($R$1&amp;"!$C:$C")=B123)*(INDIRECT($R$1&amp;"!$G:$G")&lt;M123)*(INDIRECT($R$1&amp;"!$H:$H")&gt;=M123),INDIRECT($R$1&amp;"!$K:$K"))))*M123+(_xlfn.SINGLE(_xlfn.XLOOKUP(1,(INDIRECT($R$1&amp;"!$C:$C")=B123)*(INDIRECT($R$1&amp;"!$G:$G")&lt;M123)*(INDIRECT($R$1&amp;"!$H:$H")&gt;=M123),INDIRECT($R$1&amp;"!$L:$L"))))</f>
        <v>126.7</v>
      </c>
      <c r="Q123" s="971" cm="1">
        <f ca="1" t="array" ref="Q123">(_xlfn.SINGLE(_xlfn.XLOOKUP(1,(INDIRECT($R$1&amp;"!$C:$C")=B123)*(INDIRECT($R$1&amp;"!$G:$G")&lt;N123)*(INDIRECT($R$1&amp;"!$H:$H")&gt;=N123),INDIRECT($R$1&amp;"!$K:$K"))))*N123+(_xlfn.SINGLE(_xlfn.XLOOKUP(1,(INDIRECT($R$1&amp;"!$C:$C")=B123)*(INDIRECT($R$1&amp;"!$G:$G")&lt;N123)*(INDIRECT($R$1&amp;"!$H:$H")&gt;=N123),INDIRECT($R$1&amp;"!$L:$L"))))</f>
        <v>180.05</v>
      </c>
      <c r="R123" s="955"/>
    </row>
    <row r="124" ht="17.25" spans="1:18">
      <c r="A124" s="963" t="s">
        <v>262</v>
      </c>
      <c r="B124" s="963" t="s">
        <v>263</v>
      </c>
      <c r="C124" s="964">
        <f ca="1" t="shared" si="67"/>
        <v>8.19077464788732</v>
      </c>
      <c r="D124" s="964">
        <f ca="1" t="shared" si="68"/>
        <v>13.3674647887324</v>
      </c>
      <c r="E124" s="964">
        <f ca="1" t="shared" si="69"/>
        <v>18.5441549295775</v>
      </c>
      <c r="F124" s="965">
        <f ca="1" t="shared" ref="F124:H124" si="126">O124/$P$1</f>
        <v>5.6830985915493</v>
      </c>
      <c r="G124" s="965">
        <f ca="1" t="shared" si="126"/>
        <v>8.54929577464789</v>
      </c>
      <c r="H124" s="965">
        <f ca="1" t="shared" si="126"/>
        <v>11.4154929577465</v>
      </c>
      <c r="I124" s="965">
        <f>(VLOOKUP($B$1,'Product Procurement Sheet'!B:I,8,0)*$L$1)/$P$1</f>
        <v>1.97183098591549</v>
      </c>
      <c r="J124" s="965">
        <f>(VLOOKUP($B$1,'Product Procurement Sheet'!B:I,8,0)*$M$1)/$P$1</f>
        <v>3.94366197183099</v>
      </c>
      <c r="K124" s="965">
        <f>(VLOOKUP($B$1,'Product Procurement Sheet'!B:I,8,0)*$N$1)/$P$1</f>
        <v>5.91549295774648</v>
      </c>
      <c r="L124" s="968">
        <f>VLOOKUP($B$1,'Product Procurement Sheet'!B:D,3,FALSE)*$L$1</f>
        <v>0.11</v>
      </c>
      <c r="M124" s="968">
        <f>VLOOKUP($B$1,'Product Procurement Sheet'!B:D,3,FALSE)*$M$1</f>
        <v>0.22</v>
      </c>
      <c r="N124" s="968">
        <f>VLOOKUP($B$1,'Product Procurement Sheet'!B:D,3,FALSE)*$N$1</f>
        <v>0.33</v>
      </c>
      <c r="O124" s="971" cm="1">
        <f ca="1" t="array" ref="O124">(_xlfn.SINGLE(_xlfn.XLOOKUP(1,(INDIRECT($R$1&amp;"!$C:$C")=B124)*(INDIRECT($R$1&amp;"!$G:$G")&lt;L124)*(INDIRECT($R$1&amp;"!$H:$H")&gt;=L124),INDIRECT($R$1&amp;"!$K:$K"))))*L124+(_xlfn.SINGLE(_xlfn.XLOOKUP(1,(INDIRECT($R$1&amp;"!$C:$C")=B124)*(INDIRECT($R$1&amp;"!$G:$G")&lt;L124)*(INDIRECT($R$1&amp;"!$H:$H")&gt;=L124),INDIRECT($R$1&amp;"!$L:$L"))))</f>
        <v>40.35</v>
      </c>
      <c r="P124" s="971" cm="1">
        <f ca="1" t="array" ref="P124">(_xlfn.SINGLE(_xlfn.XLOOKUP(1,(INDIRECT($R$1&amp;"!$C:$C")=B124)*(INDIRECT($R$1&amp;"!$G:$G")&lt;M124)*(INDIRECT($R$1&amp;"!$H:$H")&gt;=M124),INDIRECT($R$1&amp;"!$K:$K"))))*M124+(_xlfn.SINGLE(_xlfn.XLOOKUP(1,(INDIRECT($R$1&amp;"!$C:$C")=B124)*(INDIRECT($R$1&amp;"!$G:$G")&lt;M124)*(INDIRECT($R$1&amp;"!$H:$H")&gt;=M124),INDIRECT($R$1&amp;"!$L:$L"))))</f>
        <v>60.7</v>
      </c>
      <c r="Q124" s="971" cm="1">
        <f ca="1" t="array" ref="Q124">(_xlfn.SINGLE(_xlfn.XLOOKUP(1,(INDIRECT($R$1&amp;"!$C:$C")=B124)*(INDIRECT($R$1&amp;"!$G:$G")&lt;N124)*(INDIRECT($R$1&amp;"!$H:$H")&gt;=N124),INDIRECT($R$1&amp;"!$K:$K"))))*N124+(_xlfn.SINGLE(_xlfn.XLOOKUP(1,(INDIRECT($R$1&amp;"!$C:$C")=B124)*(INDIRECT($R$1&amp;"!$G:$G")&lt;N124)*(INDIRECT($R$1&amp;"!$H:$H")&gt;=N124),INDIRECT($R$1&amp;"!$L:$L"))))</f>
        <v>81.05</v>
      </c>
      <c r="R124" s="955"/>
    </row>
    <row r="125" ht="17.25" spans="1:18">
      <c r="A125" s="963" t="s">
        <v>264</v>
      </c>
      <c r="B125" s="963" t="s">
        <v>265</v>
      </c>
      <c r="C125" s="964">
        <f ca="1" t="shared" si="67"/>
        <v>7.60302816901408</v>
      </c>
      <c r="D125" s="964">
        <f ca="1" t="shared" si="68"/>
        <v>12.9454929577465</v>
      </c>
      <c r="E125" s="964">
        <f ca="1" t="shared" si="69"/>
        <v>18.2879577464789</v>
      </c>
      <c r="F125" s="965">
        <f ca="1" t="shared" ref="F125:H125" si="127">O125/$P$1</f>
        <v>5.13380281690141</v>
      </c>
      <c r="G125" s="965">
        <f ca="1" t="shared" si="127"/>
        <v>8.15492957746479</v>
      </c>
      <c r="H125" s="965">
        <f ca="1" t="shared" si="127"/>
        <v>11.1760563380282</v>
      </c>
      <c r="I125" s="965">
        <f>(VLOOKUP($B$1,'Product Procurement Sheet'!B:I,8,0)*$L$1)/$P$1</f>
        <v>1.97183098591549</v>
      </c>
      <c r="J125" s="965">
        <f>(VLOOKUP($B$1,'Product Procurement Sheet'!B:I,8,0)*$M$1)/$P$1</f>
        <v>3.94366197183099</v>
      </c>
      <c r="K125" s="965">
        <f>(VLOOKUP($B$1,'Product Procurement Sheet'!B:I,8,0)*$N$1)/$P$1</f>
        <v>5.91549295774648</v>
      </c>
      <c r="L125" s="968">
        <f>VLOOKUP($B$1,'Product Procurement Sheet'!B:D,3,FALSE)*$L$1</f>
        <v>0.11</v>
      </c>
      <c r="M125" s="968">
        <f>VLOOKUP($B$1,'Product Procurement Sheet'!B:D,3,FALSE)*$M$1</f>
        <v>0.22</v>
      </c>
      <c r="N125" s="968">
        <f>VLOOKUP($B$1,'Product Procurement Sheet'!B:D,3,FALSE)*$N$1</f>
        <v>0.33</v>
      </c>
      <c r="O125" s="971" cm="1">
        <f ca="1" t="array" ref="O125">(_xlfn.SINGLE(_xlfn.XLOOKUP(1,(INDIRECT($R$1&amp;"!$C:$C")=B125)*(INDIRECT($R$1&amp;"!$G:$G")&lt;L125)*(INDIRECT($R$1&amp;"!$H:$H")&gt;=L125),INDIRECT($R$1&amp;"!$K:$K"))))*L125+(_xlfn.SINGLE(_xlfn.XLOOKUP(1,(INDIRECT($R$1&amp;"!$C:$C")=B125)*(INDIRECT($R$1&amp;"!$G:$G")&lt;L125)*(INDIRECT($R$1&amp;"!$H:$H")&gt;=L125),INDIRECT($R$1&amp;"!$L:$L"))))</f>
        <v>36.45</v>
      </c>
      <c r="P125" s="971" cm="1">
        <f ca="1" t="array" ref="P125">(_xlfn.SINGLE(_xlfn.XLOOKUP(1,(INDIRECT($R$1&amp;"!$C:$C")=B125)*(INDIRECT($R$1&amp;"!$G:$G")&lt;M125)*(INDIRECT($R$1&amp;"!$H:$H")&gt;=M125),INDIRECT($R$1&amp;"!$K:$K"))))*M125+(_xlfn.SINGLE(_xlfn.XLOOKUP(1,(INDIRECT($R$1&amp;"!$C:$C")=B125)*(INDIRECT($R$1&amp;"!$G:$G")&lt;M125)*(INDIRECT($R$1&amp;"!$H:$H")&gt;=M125),INDIRECT($R$1&amp;"!$L:$L"))))</f>
        <v>57.9</v>
      </c>
      <c r="Q125" s="971" cm="1">
        <f ca="1" t="array" ref="Q125">(_xlfn.SINGLE(_xlfn.XLOOKUP(1,(INDIRECT($R$1&amp;"!$C:$C")=B125)*(INDIRECT($R$1&amp;"!$G:$G")&lt;N125)*(INDIRECT($R$1&amp;"!$H:$H")&gt;=N125),INDIRECT($R$1&amp;"!$K:$K"))))*N125+(_xlfn.SINGLE(_xlfn.XLOOKUP(1,(INDIRECT($R$1&amp;"!$C:$C")=B125)*(INDIRECT($R$1&amp;"!$G:$G")&lt;N125)*(INDIRECT($R$1&amp;"!$H:$H")&gt;=N125),INDIRECT($R$1&amp;"!$L:$L"))))</f>
        <v>79.35</v>
      </c>
      <c r="R125" s="955"/>
    </row>
    <row r="126" ht="17.25" spans="1:18">
      <c r="A126" s="963" t="s">
        <v>266</v>
      </c>
      <c r="B126" s="963" t="s">
        <v>267</v>
      </c>
      <c r="C126" s="964">
        <f ca="1" t="shared" si="67"/>
        <v>7.42218309859155</v>
      </c>
      <c r="D126" s="964">
        <f ca="1" t="shared" si="68"/>
        <v>10.7753521126761</v>
      </c>
      <c r="E126" s="964">
        <f ca="1" t="shared" si="69"/>
        <v>14.1285211267606</v>
      </c>
      <c r="F126" s="965">
        <f ca="1" t="shared" ref="F126:H126" si="128">O126/$P$1</f>
        <v>4.96478873239437</v>
      </c>
      <c r="G126" s="965">
        <f ca="1" t="shared" si="128"/>
        <v>6.12676056338028</v>
      </c>
      <c r="H126" s="965">
        <f ca="1" t="shared" si="128"/>
        <v>7.2887323943662</v>
      </c>
      <c r="I126" s="965">
        <f>(VLOOKUP($B$1,'Product Procurement Sheet'!B:I,8,0)*$L$1)/$P$1</f>
        <v>1.97183098591549</v>
      </c>
      <c r="J126" s="965">
        <f>(VLOOKUP($B$1,'Product Procurement Sheet'!B:I,8,0)*$M$1)/$P$1</f>
        <v>3.94366197183099</v>
      </c>
      <c r="K126" s="965">
        <f>(VLOOKUP($B$1,'Product Procurement Sheet'!B:I,8,0)*$N$1)/$P$1</f>
        <v>5.91549295774648</v>
      </c>
      <c r="L126" s="968">
        <f>VLOOKUP($B$1,'Product Procurement Sheet'!B:D,3,FALSE)*$L$1</f>
        <v>0.11</v>
      </c>
      <c r="M126" s="968">
        <f>VLOOKUP($B$1,'Product Procurement Sheet'!B:D,3,FALSE)*$M$1</f>
        <v>0.22</v>
      </c>
      <c r="N126" s="968">
        <f>VLOOKUP($B$1,'Product Procurement Sheet'!B:D,3,FALSE)*$N$1</f>
        <v>0.33</v>
      </c>
      <c r="O126" s="971" cm="1">
        <f ca="1" t="array" ref="O126">(_xlfn.SINGLE(_xlfn.XLOOKUP(1,(INDIRECT($R$1&amp;"!$C:$C")=B126)*(INDIRECT($R$1&amp;"!$G:$G")&lt;L126)*(INDIRECT($R$1&amp;"!$H:$H")&gt;=L126),INDIRECT($R$1&amp;"!$K:$K"))))*L126+(_xlfn.SINGLE(_xlfn.XLOOKUP(1,(INDIRECT($R$1&amp;"!$C:$C")=B126)*(INDIRECT($R$1&amp;"!$G:$G")&lt;L126)*(INDIRECT($R$1&amp;"!$H:$H")&gt;=L126),INDIRECT($R$1&amp;"!$L:$L"))))</f>
        <v>35.25</v>
      </c>
      <c r="P126" s="971" cm="1">
        <f ca="1" t="array" ref="P126">(_xlfn.SINGLE(_xlfn.XLOOKUP(1,(INDIRECT($R$1&amp;"!$C:$C")=B126)*(INDIRECT($R$1&amp;"!$G:$G")&lt;M126)*(INDIRECT($R$1&amp;"!$H:$H")&gt;=M126),INDIRECT($R$1&amp;"!$K:$K"))))*M126+(_xlfn.SINGLE(_xlfn.XLOOKUP(1,(INDIRECT($R$1&amp;"!$C:$C")=B126)*(INDIRECT($R$1&amp;"!$G:$G")&lt;M126)*(INDIRECT($R$1&amp;"!$H:$H")&gt;=M126),INDIRECT($R$1&amp;"!$L:$L"))))</f>
        <v>43.5</v>
      </c>
      <c r="Q126" s="971" cm="1">
        <f ca="1" t="array" ref="Q126">(_xlfn.SINGLE(_xlfn.XLOOKUP(1,(INDIRECT($R$1&amp;"!$C:$C")=B126)*(INDIRECT($R$1&amp;"!$G:$G")&lt;N126)*(INDIRECT($R$1&amp;"!$H:$H")&gt;=N126),INDIRECT($R$1&amp;"!$K:$K"))))*N126+(_xlfn.SINGLE(_xlfn.XLOOKUP(1,(INDIRECT($R$1&amp;"!$C:$C")=B126)*(INDIRECT($R$1&amp;"!$G:$G")&lt;N126)*(INDIRECT($R$1&amp;"!$H:$H")&gt;=N126),INDIRECT($R$1&amp;"!$L:$L"))))</f>
        <v>51.75</v>
      </c>
      <c r="R126" s="955"/>
    </row>
    <row r="127" ht="17.25" spans="1:18">
      <c r="A127" s="963" t="s">
        <v>268</v>
      </c>
      <c r="B127" s="963" t="s">
        <v>269</v>
      </c>
      <c r="C127" s="964">
        <f ca="1" t="shared" si="67"/>
        <v>3.59429577464788</v>
      </c>
      <c r="D127" s="964">
        <f ca="1" t="shared" si="68"/>
        <v>6.2843661971831</v>
      </c>
      <c r="E127" s="964">
        <f ca="1" t="shared" si="69"/>
        <v>8.97443661971831</v>
      </c>
      <c r="F127" s="965">
        <f ca="1" t="shared" ref="F127:H127" si="129">O127/$P$1</f>
        <v>1.38732394366197</v>
      </c>
      <c r="G127" s="965">
        <f ca="1" t="shared" si="129"/>
        <v>1.92957746478873</v>
      </c>
      <c r="H127" s="965">
        <f ca="1" t="shared" si="129"/>
        <v>2.47183098591549</v>
      </c>
      <c r="I127" s="965">
        <f>(VLOOKUP($B$1,'Product Procurement Sheet'!B:I,8,0)*$L$1)/$P$1</f>
        <v>1.97183098591549</v>
      </c>
      <c r="J127" s="965">
        <f>(VLOOKUP($B$1,'Product Procurement Sheet'!B:I,8,0)*$M$1)/$P$1</f>
        <v>3.94366197183099</v>
      </c>
      <c r="K127" s="965">
        <f>(VLOOKUP($B$1,'Product Procurement Sheet'!B:I,8,0)*$N$1)/$P$1</f>
        <v>5.91549295774648</v>
      </c>
      <c r="L127" s="968">
        <f>VLOOKUP($B$1,'Product Procurement Sheet'!B:D,3,FALSE)*$L$1</f>
        <v>0.11</v>
      </c>
      <c r="M127" s="968">
        <f>VLOOKUP($B$1,'Product Procurement Sheet'!B:D,3,FALSE)*$M$1</f>
        <v>0.22</v>
      </c>
      <c r="N127" s="968">
        <f>VLOOKUP($B$1,'Product Procurement Sheet'!B:D,3,FALSE)*$N$1</f>
        <v>0.33</v>
      </c>
      <c r="O127" s="971" cm="1">
        <f ca="1" t="array" ref="O127">(_xlfn.SINGLE(_xlfn.XLOOKUP(1,(INDIRECT($R$1&amp;"!$C:$C")=B127)*(INDIRECT($R$1&amp;"!$G:$G")&lt;L127)*(INDIRECT($R$1&amp;"!$H:$H")&gt;=L127),INDIRECT($R$1&amp;"!$K:$K"))))*L127+(_xlfn.SINGLE(_xlfn.XLOOKUP(1,(INDIRECT($R$1&amp;"!$C:$C")=B127)*(INDIRECT($R$1&amp;"!$G:$G")&lt;L127)*(INDIRECT($R$1&amp;"!$H:$H")&gt;=L127),INDIRECT($R$1&amp;"!$L:$L"))))</f>
        <v>9.85</v>
      </c>
      <c r="P127" s="971" cm="1">
        <f ca="1" t="array" ref="P127">(_xlfn.SINGLE(_xlfn.XLOOKUP(1,(INDIRECT($R$1&amp;"!$C:$C")=B127)*(INDIRECT($R$1&amp;"!$G:$G")&lt;M127)*(INDIRECT($R$1&amp;"!$H:$H")&gt;=M127),INDIRECT($R$1&amp;"!$K:$K"))))*M127+(_xlfn.SINGLE(_xlfn.XLOOKUP(1,(INDIRECT($R$1&amp;"!$C:$C")=B127)*(INDIRECT($R$1&amp;"!$G:$G")&lt;M127)*(INDIRECT($R$1&amp;"!$H:$H")&gt;=M127),INDIRECT($R$1&amp;"!$L:$L"))))</f>
        <v>13.7</v>
      </c>
      <c r="Q127" s="971" cm="1">
        <f ca="1" t="array" ref="Q127">(_xlfn.SINGLE(_xlfn.XLOOKUP(1,(INDIRECT($R$1&amp;"!$C:$C")=B127)*(INDIRECT($R$1&amp;"!$G:$G")&lt;N127)*(INDIRECT($R$1&amp;"!$H:$H")&gt;=N127),INDIRECT($R$1&amp;"!$K:$K"))))*N127+(_xlfn.SINGLE(_xlfn.XLOOKUP(1,(INDIRECT($R$1&amp;"!$C:$C")=B127)*(INDIRECT($R$1&amp;"!$G:$G")&lt;N127)*(INDIRECT($R$1&amp;"!$H:$H")&gt;=N127),INDIRECT($R$1&amp;"!$L:$L"))))</f>
        <v>17.55</v>
      </c>
      <c r="R127" s="955"/>
    </row>
    <row r="128" ht="17.25" spans="1:18">
      <c r="A128" s="963" t="s">
        <v>270</v>
      </c>
      <c r="B128" s="963" t="s">
        <v>271</v>
      </c>
      <c r="C128" s="964">
        <f ca="1" t="shared" si="67"/>
        <v>8.85387323943662</v>
      </c>
      <c r="D128" s="964">
        <f ca="1" t="shared" si="68"/>
        <v>14.693661971831</v>
      </c>
      <c r="E128" s="964">
        <f ca="1" t="shared" si="69"/>
        <v>20.5334507042254</v>
      </c>
      <c r="F128" s="965">
        <f ca="1" t="shared" ref="F128:H128" si="130">O128/$P$1</f>
        <v>6.30281690140845</v>
      </c>
      <c r="G128" s="965">
        <f ca="1" t="shared" si="130"/>
        <v>9.7887323943662</v>
      </c>
      <c r="H128" s="965">
        <f ca="1" t="shared" si="130"/>
        <v>13.2746478873239</v>
      </c>
      <c r="I128" s="965">
        <f>(VLOOKUP($B$1,'Product Procurement Sheet'!B:I,8,0)*$L$1)/$P$1</f>
        <v>1.97183098591549</v>
      </c>
      <c r="J128" s="965">
        <f>(VLOOKUP($B$1,'Product Procurement Sheet'!B:I,8,0)*$M$1)/$P$1</f>
        <v>3.94366197183099</v>
      </c>
      <c r="K128" s="965">
        <f>(VLOOKUP($B$1,'Product Procurement Sheet'!B:I,8,0)*$N$1)/$P$1</f>
        <v>5.91549295774648</v>
      </c>
      <c r="L128" s="968">
        <f>VLOOKUP($B$1,'Product Procurement Sheet'!B:D,3,FALSE)*$L$1</f>
        <v>0.11</v>
      </c>
      <c r="M128" s="968">
        <f>VLOOKUP($B$1,'Product Procurement Sheet'!B:D,3,FALSE)*$M$1</f>
        <v>0.22</v>
      </c>
      <c r="N128" s="968">
        <f>VLOOKUP($B$1,'Product Procurement Sheet'!B:D,3,FALSE)*$N$1</f>
        <v>0.33</v>
      </c>
      <c r="O128" s="971" cm="1">
        <f ca="1" t="array" ref="O128">(_xlfn.SINGLE(_xlfn.XLOOKUP(1,(INDIRECT($R$1&amp;"!$C:$C")=B128)*(INDIRECT($R$1&amp;"!$G:$G")&lt;L128)*(INDIRECT($R$1&amp;"!$H:$H")&gt;=L128),INDIRECT($R$1&amp;"!$K:$K"))))*L128+(_xlfn.SINGLE(_xlfn.XLOOKUP(1,(INDIRECT($R$1&amp;"!$C:$C")=B128)*(INDIRECT($R$1&amp;"!$G:$G")&lt;L128)*(INDIRECT($R$1&amp;"!$H:$H")&gt;=L128),INDIRECT($R$1&amp;"!$L:$L"))))</f>
        <v>44.75</v>
      </c>
      <c r="P128" s="971" cm="1">
        <f ca="1" t="array" ref="P128">(_xlfn.SINGLE(_xlfn.XLOOKUP(1,(INDIRECT($R$1&amp;"!$C:$C")=B128)*(INDIRECT($R$1&amp;"!$G:$G")&lt;M128)*(INDIRECT($R$1&amp;"!$H:$H")&gt;=M128),INDIRECT($R$1&amp;"!$K:$K"))))*M128+(_xlfn.SINGLE(_xlfn.XLOOKUP(1,(INDIRECT($R$1&amp;"!$C:$C")=B128)*(INDIRECT($R$1&amp;"!$G:$G")&lt;M128)*(INDIRECT($R$1&amp;"!$H:$H")&gt;=M128),INDIRECT($R$1&amp;"!$L:$L"))))</f>
        <v>69.5</v>
      </c>
      <c r="Q128" s="971" cm="1">
        <f ca="1" t="array" ref="Q128">(_xlfn.SINGLE(_xlfn.XLOOKUP(1,(INDIRECT($R$1&amp;"!$C:$C")=B128)*(INDIRECT($R$1&amp;"!$G:$G")&lt;N128)*(INDIRECT($R$1&amp;"!$H:$H")&gt;=N128),INDIRECT($R$1&amp;"!$K:$K"))))*N128+(_xlfn.SINGLE(_xlfn.XLOOKUP(1,(INDIRECT($R$1&amp;"!$C:$C")=B128)*(INDIRECT($R$1&amp;"!$G:$G")&lt;N128)*(INDIRECT($R$1&amp;"!$H:$H")&gt;=N128),INDIRECT($R$1&amp;"!$L:$L"))))</f>
        <v>94.25</v>
      </c>
      <c r="R128" s="955"/>
    </row>
    <row r="129" ht="17.25" spans="1:18">
      <c r="A129" s="963" t="s">
        <v>272</v>
      </c>
      <c r="B129" s="963" t="s">
        <v>273</v>
      </c>
      <c r="C129" s="964">
        <f ca="1" t="shared" si="67"/>
        <v>7.12077464788732</v>
      </c>
      <c r="D129" s="964">
        <f ca="1" t="shared" si="68"/>
        <v>12.1316901408451</v>
      </c>
      <c r="E129" s="964">
        <f ca="1" t="shared" si="69"/>
        <v>17.1426056338028</v>
      </c>
      <c r="F129" s="965">
        <f ca="1" t="shared" ref="F129:H129" si="131">O129/$P$1</f>
        <v>4.6830985915493</v>
      </c>
      <c r="G129" s="965">
        <f ca="1" t="shared" si="131"/>
        <v>7.3943661971831</v>
      </c>
      <c r="H129" s="965">
        <f ca="1" t="shared" si="131"/>
        <v>10.1056338028169</v>
      </c>
      <c r="I129" s="965">
        <f>(VLOOKUP($B$1,'Product Procurement Sheet'!B:I,8,0)*$L$1)/$P$1</f>
        <v>1.97183098591549</v>
      </c>
      <c r="J129" s="965">
        <f>(VLOOKUP($B$1,'Product Procurement Sheet'!B:I,8,0)*$M$1)/$P$1</f>
        <v>3.94366197183099</v>
      </c>
      <c r="K129" s="965">
        <f>(VLOOKUP($B$1,'Product Procurement Sheet'!B:I,8,0)*$N$1)/$P$1</f>
        <v>5.91549295774648</v>
      </c>
      <c r="L129" s="968">
        <f>VLOOKUP($B$1,'Product Procurement Sheet'!B:D,3,FALSE)*$L$1</f>
        <v>0.11</v>
      </c>
      <c r="M129" s="968">
        <f>VLOOKUP($B$1,'Product Procurement Sheet'!B:D,3,FALSE)*$M$1</f>
        <v>0.22</v>
      </c>
      <c r="N129" s="968">
        <f>VLOOKUP($B$1,'Product Procurement Sheet'!B:D,3,FALSE)*$N$1</f>
        <v>0.33</v>
      </c>
      <c r="O129" s="971" cm="1">
        <f ca="1" t="array" ref="O129">(_xlfn.SINGLE(_xlfn.XLOOKUP(1,(INDIRECT($R$1&amp;"!$C:$C")=B129)*(INDIRECT($R$1&amp;"!$G:$G")&lt;L129)*(INDIRECT($R$1&amp;"!$H:$H")&gt;=L129),INDIRECT($R$1&amp;"!$K:$K"))))*L129+(_xlfn.SINGLE(_xlfn.XLOOKUP(1,(INDIRECT($R$1&amp;"!$C:$C")=B129)*(INDIRECT($R$1&amp;"!$G:$G")&lt;L129)*(INDIRECT($R$1&amp;"!$H:$H")&gt;=L129),INDIRECT($R$1&amp;"!$L:$L"))))</f>
        <v>33.25</v>
      </c>
      <c r="P129" s="971" cm="1">
        <f ca="1" t="array" ref="P129">(_xlfn.SINGLE(_xlfn.XLOOKUP(1,(INDIRECT($R$1&amp;"!$C:$C")=B129)*(INDIRECT($R$1&amp;"!$G:$G")&lt;M129)*(INDIRECT($R$1&amp;"!$H:$H")&gt;=M129),INDIRECT($R$1&amp;"!$K:$K"))))*M129+(_xlfn.SINGLE(_xlfn.XLOOKUP(1,(INDIRECT($R$1&amp;"!$C:$C")=B129)*(INDIRECT($R$1&amp;"!$G:$G")&lt;M129)*(INDIRECT($R$1&amp;"!$H:$H")&gt;=M129),INDIRECT($R$1&amp;"!$L:$L"))))</f>
        <v>52.5</v>
      </c>
      <c r="Q129" s="971" cm="1">
        <f ca="1" t="array" ref="Q129">(_xlfn.SINGLE(_xlfn.XLOOKUP(1,(INDIRECT($R$1&amp;"!$C:$C")=B129)*(INDIRECT($R$1&amp;"!$G:$G")&lt;N129)*(INDIRECT($R$1&amp;"!$H:$H")&gt;=N129),INDIRECT($R$1&amp;"!$K:$K"))))*N129+(_xlfn.SINGLE(_xlfn.XLOOKUP(1,(INDIRECT($R$1&amp;"!$C:$C")=B129)*(INDIRECT($R$1&amp;"!$G:$G")&lt;N129)*(INDIRECT($R$1&amp;"!$H:$H")&gt;=N129),INDIRECT($R$1&amp;"!$L:$L"))))</f>
        <v>71.75</v>
      </c>
      <c r="R129" s="955"/>
    </row>
    <row r="130" ht="17.25" spans="1:18">
      <c r="A130" s="963" t="s">
        <v>274</v>
      </c>
      <c r="B130" s="963" t="s">
        <v>275</v>
      </c>
      <c r="C130" s="964" t="e">
        <f ca="1" t="shared" si="67"/>
        <v>#N/A</v>
      </c>
      <c r="D130" s="964" t="e">
        <f ca="1" t="shared" si="68"/>
        <v>#N/A</v>
      </c>
      <c r="E130" s="964" t="e">
        <f ca="1" t="shared" si="69"/>
        <v>#N/A</v>
      </c>
      <c r="F130" s="965" t="e">
        <f ca="1" t="shared" ref="F130:H130" si="132">O130/$P$1</f>
        <v>#N/A</v>
      </c>
      <c r="G130" s="965" t="e">
        <f ca="1" t="shared" si="132"/>
        <v>#N/A</v>
      </c>
      <c r="H130" s="965" t="e">
        <f ca="1" t="shared" si="132"/>
        <v>#N/A</v>
      </c>
      <c r="I130" s="965">
        <f>(VLOOKUP($B$1,'Product Procurement Sheet'!B:I,8,0)*$L$1)/$P$1</f>
        <v>1.97183098591549</v>
      </c>
      <c r="J130" s="965">
        <f>(VLOOKUP($B$1,'Product Procurement Sheet'!B:I,8,0)*$M$1)/$P$1</f>
        <v>3.94366197183099</v>
      </c>
      <c r="K130" s="965">
        <f>(VLOOKUP($B$1,'Product Procurement Sheet'!B:I,8,0)*$N$1)/$P$1</f>
        <v>5.91549295774648</v>
      </c>
      <c r="L130" s="968">
        <f>VLOOKUP($B$1,'Product Procurement Sheet'!B:D,3,FALSE)*$L$1</f>
        <v>0.11</v>
      </c>
      <c r="M130" s="968">
        <f>VLOOKUP($B$1,'Product Procurement Sheet'!B:D,3,FALSE)*$M$1</f>
        <v>0.22</v>
      </c>
      <c r="N130" s="968">
        <f>VLOOKUP($B$1,'Product Procurement Sheet'!B:D,3,FALSE)*$N$1</f>
        <v>0.33</v>
      </c>
      <c r="O130" s="971" t="e" cm="1">
        <f ca="1" t="array" ref="O130">(_xlfn.SINGLE(_xlfn.XLOOKUP(1,(INDIRECT($R$1&amp;"!$C:$C")=B130)*(INDIRECT($R$1&amp;"!$G:$G")&lt;L130)*(INDIRECT($R$1&amp;"!$H:$H")&gt;=L130),INDIRECT($R$1&amp;"!$K:$K"))))*L130+(_xlfn.SINGLE(_xlfn.XLOOKUP(1,(INDIRECT($R$1&amp;"!$C:$C")=B130)*(INDIRECT($R$1&amp;"!$G:$G")&lt;L130)*(INDIRECT($R$1&amp;"!$H:$H")&gt;=L130),INDIRECT($R$1&amp;"!$L:$L"))))</f>
        <v>#N/A</v>
      </c>
      <c r="P130" s="971" t="e" cm="1">
        <f ca="1" t="array" ref="P130">(_xlfn.SINGLE(_xlfn.XLOOKUP(1,(INDIRECT($R$1&amp;"!$C:$C")=B130)*(INDIRECT($R$1&amp;"!$G:$G")&lt;M130)*(INDIRECT($R$1&amp;"!$H:$H")&gt;=M130),INDIRECT($R$1&amp;"!$K:$K"))))*M130+(_xlfn.SINGLE(_xlfn.XLOOKUP(1,(INDIRECT($R$1&amp;"!$C:$C")=B130)*(INDIRECT($R$1&amp;"!$G:$G")&lt;M130)*(INDIRECT($R$1&amp;"!$H:$H")&gt;=M130),INDIRECT($R$1&amp;"!$L:$L"))))</f>
        <v>#N/A</v>
      </c>
      <c r="Q130" s="971" t="e" cm="1">
        <f ca="1" t="array" ref="Q130">(_xlfn.SINGLE(_xlfn.XLOOKUP(1,(INDIRECT($R$1&amp;"!$C:$C")=B130)*(INDIRECT($R$1&amp;"!$G:$G")&lt;N130)*(INDIRECT($R$1&amp;"!$H:$H")&gt;=N130),INDIRECT($R$1&amp;"!$K:$K"))))*N130+(_xlfn.SINGLE(_xlfn.XLOOKUP(1,(INDIRECT($R$1&amp;"!$C:$C")=B130)*(INDIRECT($R$1&amp;"!$G:$G")&lt;N130)*(INDIRECT($R$1&amp;"!$H:$H")&gt;=N130),INDIRECT($R$1&amp;"!$L:$L"))))</f>
        <v>#N/A</v>
      </c>
      <c r="R130" s="955"/>
    </row>
    <row r="131" ht="17.25" spans="1:18">
      <c r="A131" s="963" t="s">
        <v>276</v>
      </c>
      <c r="B131" s="963" t="s">
        <v>277</v>
      </c>
      <c r="C131" s="964">
        <f ca="1" t="shared" si="67"/>
        <v>13.164014084507</v>
      </c>
      <c r="D131" s="964">
        <f ca="1" t="shared" si="68"/>
        <v>23.3139436619718</v>
      </c>
      <c r="E131" s="964">
        <f ca="1" t="shared" si="69"/>
        <v>33.4638732394366</v>
      </c>
      <c r="F131" s="965">
        <f ca="1" t="shared" ref="F131:H131" si="133">O131/$P$1</f>
        <v>10.330985915493</v>
      </c>
      <c r="G131" s="965">
        <f ca="1" t="shared" si="133"/>
        <v>17.8450704225352</v>
      </c>
      <c r="H131" s="965">
        <f ca="1" t="shared" si="133"/>
        <v>25.3591549295775</v>
      </c>
      <c r="I131" s="965">
        <f>(VLOOKUP($B$1,'Product Procurement Sheet'!B:I,8,0)*$L$1)/$P$1</f>
        <v>1.97183098591549</v>
      </c>
      <c r="J131" s="965">
        <f>(VLOOKUP($B$1,'Product Procurement Sheet'!B:I,8,0)*$M$1)/$P$1</f>
        <v>3.94366197183099</v>
      </c>
      <c r="K131" s="965">
        <f>(VLOOKUP($B$1,'Product Procurement Sheet'!B:I,8,0)*$N$1)/$P$1</f>
        <v>5.91549295774648</v>
      </c>
      <c r="L131" s="968">
        <f>VLOOKUP($B$1,'Product Procurement Sheet'!B:D,3,FALSE)*$L$1</f>
        <v>0.11</v>
      </c>
      <c r="M131" s="968">
        <f>VLOOKUP($B$1,'Product Procurement Sheet'!B:D,3,FALSE)*$M$1</f>
        <v>0.22</v>
      </c>
      <c r="N131" s="968">
        <f>VLOOKUP($B$1,'Product Procurement Sheet'!B:D,3,FALSE)*$N$1</f>
        <v>0.33</v>
      </c>
      <c r="O131" s="971" cm="1">
        <f ca="1" t="array" ref="O131">(_xlfn.SINGLE(_xlfn.XLOOKUP(1,(INDIRECT($R$1&amp;"!$C:$C")=B131)*(INDIRECT($R$1&amp;"!$G:$G")&lt;L131)*(INDIRECT($R$1&amp;"!$H:$H")&gt;=L131),INDIRECT($R$1&amp;"!$K:$K"))))*L131+(_xlfn.SINGLE(_xlfn.XLOOKUP(1,(INDIRECT($R$1&amp;"!$C:$C")=B131)*(INDIRECT($R$1&amp;"!$G:$G")&lt;L131)*(INDIRECT($R$1&amp;"!$H:$H")&gt;=L131),INDIRECT($R$1&amp;"!$L:$L"))))</f>
        <v>73.35</v>
      </c>
      <c r="P131" s="971" cm="1">
        <f ca="1" t="array" ref="P131">(_xlfn.SINGLE(_xlfn.XLOOKUP(1,(INDIRECT($R$1&amp;"!$C:$C")=B131)*(INDIRECT($R$1&amp;"!$G:$G")&lt;M131)*(INDIRECT($R$1&amp;"!$H:$H")&gt;=M131),INDIRECT($R$1&amp;"!$K:$K"))))*M131+(_xlfn.SINGLE(_xlfn.XLOOKUP(1,(INDIRECT($R$1&amp;"!$C:$C")=B131)*(INDIRECT($R$1&amp;"!$G:$G")&lt;M131)*(INDIRECT($R$1&amp;"!$H:$H")&gt;=M131),INDIRECT($R$1&amp;"!$L:$L"))))</f>
        <v>126.7</v>
      </c>
      <c r="Q131" s="971" cm="1">
        <f ca="1" t="array" ref="Q131">(_xlfn.SINGLE(_xlfn.XLOOKUP(1,(INDIRECT($R$1&amp;"!$C:$C")=B131)*(INDIRECT($R$1&amp;"!$G:$G")&lt;N131)*(INDIRECT($R$1&amp;"!$H:$H")&gt;=N131),INDIRECT($R$1&amp;"!$K:$K"))))*N131+(_xlfn.SINGLE(_xlfn.XLOOKUP(1,(INDIRECT($R$1&amp;"!$C:$C")=B131)*(INDIRECT($R$1&amp;"!$G:$G")&lt;N131)*(INDIRECT($R$1&amp;"!$H:$H")&gt;=N131),INDIRECT($R$1&amp;"!$L:$L"))))</f>
        <v>180.05</v>
      </c>
      <c r="R131" s="955"/>
    </row>
    <row r="132" ht="17.25" spans="1:18">
      <c r="A132" s="963" t="s">
        <v>278</v>
      </c>
      <c r="B132" s="963" t="s">
        <v>279</v>
      </c>
      <c r="C132" s="964">
        <f ca="1" t="shared" ref="C132:C195" si="134">(F132+I132)*(1+$F$1)</f>
        <v>9.32105633802817</v>
      </c>
      <c r="D132" s="964">
        <f ca="1" t="shared" ref="D132:D195" si="135">(G132+J132)*(1+$F$1)</f>
        <v>15.3266197183099</v>
      </c>
      <c r="E132" s="964">
        <f ca="1" t="shared" ref="E132:E195" si="136">(H132+K132)*(1+$F$1)</f>
        <v>21.3321830985915</v>
      </c>
      <c r="F132" s="965">
        <f ca="1" t="shared" ref="F132:H132" si="137">O132/$P$1</f>
        <v>6.73943661971831</v>
      </c>
      <c r="G132" s="965">
        <f ca="1" t="shared" si="137"/>
        <v>10.3802816901408</v>
      </c>
      <c r="H132" s="965">
        <f ca="1" t="shared" si="137"/>
        <v>14.0211267605634</v>
      </c>
      <c r="I132" s="965">
        <f>(VLOOKUP($B$1,'Product Procurement Sheet'!B:I,8,0)*$L$1)/$P$1</f>
        <v>1.97183098591549</v>
      </c>
      <c r="J132" s="965">
        <f>(VLOOKUP($B$1,'Product Procurement Sheet'!B:I,8,0)*$M$1)/$P$1</f>
        <v>3.94366197183099</v>
      </c>
      <c r="K132" s="965">
        <f>(VLOOKUP($B$1,'Product Procurement Sheet'!B:I,8,0)*$N$1)/$P$1</f>
        <v>5.91549295774648</v>
      </c>
      <c r="L132" s="968">
        <f>VLOOKUP($B$1,'Product Procurement Sheet'!B:D,3,FALSE)*$L$1</f>
        <v>0.11</v>
      </c>
      <c r="M132" s="968">
        <f>VLOOKUP($B$1,'Product Procurement Sheet'!B:D,3,FALSE)*$M$1</f>
        <v>0.22</v>
      </c>
      <c r="N132" s="968">
        <f>VLOOKUP($B$1,'Product Procurement Sheet'!B:D,3,FALSE)*$N$1</f>
        <v>0.33</v>
      </c>
      <c r="O132" s="971" cm="1">
        <f ca="1" t="array" ref="O132">(_xlfn.SINGLE(_xlfn.XLOOKUP(1,(INDIRECT($R$1&amp;"!$C:$C")=B132)*(INDIRECT($R$1&amp;"!$G:$G")&lt;L132)*(INDIRECT($R$1&amp;"!$H:$H")&gt;=L132),INDIRECT($R$1&amp;"!$K:$K"))))*L132+(_xlfn.SINGLE(_xlfn.XLOOKUP(1,(INDIRECT($R$1&amp;"!$C:$C")=B132)*(INDIRECT($R$1&amp;"!$G:$G")&lt;L132)*(INDIRECT($R$1&amp;"!$H:$H")&gt;=L132),INDIRECT($R$1&amp;"!$L:$L"))))</f>
        <v>47.85</v>
      </c>
      <c r="P132" s="971" cm="1">
        <f ca="1" t="array" ref="P132">(_xlfn.SINGLE(_xlfn.XLOOKUP(1,(INDIRECT($R$1&amp;"!$C:$C")=B132)*(INDIRECT($R$1&amp;"!$G:$G")&lt;M132)*(INDIRECT($R$1&amp;"!$H:$H")&gt;=M132),INDIRECT($R$1&amp;"!$K:$K"))))*M132+(_xlfn.SINGLE(_xlfn.XLOOKUP(1,(INDIRECT($R$1&amp;"!$C:$C")=B132)*(INDIRECT($R$1&amp;"!$G:$G")&lt;M132)*(INDIRECT($R$1&amp;"!$H:$H")&gt;=M132),INDIRECT($R$1&amp;"!$L:$L"))))</f>
        <v>73.7</v>
      </c>
      <c r="Q132" s="971" cm="1">
        <f ca="1" t="array" ref="Q132">(_xlfn.SINGLE(_xlfn.XLOOKUP(1,(INDIRECT($R$1&amp;"!$C:$C")=B132)*(INDIRECT($R$1&amp;"!$G:$G")&lt;N132)*(INDIRECT($R$1&amp;"!$H:$H")&gt;=N132),INDIRECT($R$1&amp;"!$K:$K"))))*N132+(_xlfn.SINGLE(_xlfn.XLOOKUP(1,(INDIRECT($R$1&amp;"!$C:$C")=B132)*(INDIRECT($R$1&amp;"!$G:$G")&lt;N132)*(INDIRECT($R$1&amp;"!$H:$H")&gt;=N132),INDIRECT($R$1&amp;"!$L:$L"))))</f>
        <v>99.55</v>
      </c>
      <c r="R132" s="955"/>
    </row>
    <row r="133" ht="17.25" spans="1:18">
      <c r="A133" s="963" t="s">
        <v>280</v>
      </c>
      <c r="B133" s="963" t="s">
        <v>281</v>
      </c>
      <c r="C133" s="964">
        <f ca="1" t="shared" si="134"/>
        <v>5.38767605633803</v>
      </c>
      <c r="D133" s="964">
        <f ca="1" t="shared" si="135"/>
        <v>9.56971830985916</v>
      </c>
      <c r="E133" s="964">
        <f ca="1" t="shared" si="136"/>
        <v>13.7517605633803</v>
      </c>
      <c r="F133" s="965">
        <f ca="1" t="shared" ref="F133:H133" si="138">O133/$P$1</f>
        <v>3.06338028169014</v>
      </c>
      <c r="G133" s="965">
        <f ca="1" t="shared" si="138"/>
        <v>5</v>
      </c>
      <c r="H133" s="965">
        <f ca="1" t="shared" si="138"/>
        <v>6.93661971830986</v>
      </c>
      <c r="I133" s="965">
        <f>(VLOOKUP($B$1,'Product Procurement Sheet'!B:I,8,0)*$L$1)/$P$1</f>
        <v>1.97183098591549</v>
      </c>
      <c r="J133" s="965">
        <f>(VLOOKUP($B$1,'Product Procurement Sheet'!B:I,8,0)*$M$1)/$P$1</f>
        <v>3.94366197183099</v>
      </c>
      <c r="K133" s="965">
        <f>(VLOOKUP($B$1,'Product Procurement Sheet'!B:I,8,0)*$N$1)/$P$1</f>
        <v>5.91549295774648</v>
      </c>
      <c r="L133" s="968">
        <f>VLOOKUP($B$1,'Product Procurement Sheet'!B:D,3,FALSE)*$L$1</f>
        <v>0.11</v>
      </c>
      <c r="M133" s="968">
        <f>VLOOKUP($B$1,'Product Procurement Sheet'!B:D,3,FALSE)*$M$1</f>
        <v>0.22</v>
      </c>
      <c r="N133" s="968">
        <f>VLOOKUP($B$1,'Product Procurement Sheet'!B:D,3,FALSE)*$N$1</f>
        <v>0.33</v>
      </c>
      <c r="O133" s="971" cm="1">
        <f ca="1" t="array" ref="O133">(_xlfn.SINGLE(_xlfn.XLOOKUP(1,(INDIRECT($R$1&amp;"!$C:$C")=B133)*(INDIRECT($R$1&amp;"!$G:$G")&lt;L133)*(INDIRECT($R$1&amp;"!$H:$H")&gt;=L133),INDIRECT($R$1&amp;"!$K:$K"))))*L133+(_xlfn.SINGLE(_xlfn.XLOOKUP(1,(INDIRECT($R$1&amp;"!$C:$C")=B133)*(INDIRECT($R$1&amp;"!$G:$G")&lt;L133)*(INDIRECT($R$1&amp;"!$H:$H")&gt;=L133),INDIRECT($R$1&amp;"!$L:$L"))))</f>
        <v>21.75</v>
      </c>
      <c r="P133" s="971" cm="1">
        <f ca="1" t="array" ref="P133">(_xlfn.SINGLE(_xlfn.XLOOKUP(1,(INDIRECT($R$1&amp;"!$C:$C")=B133)*(INDIRECT($R$1&amp;"!$G:$G")&lt;M133)*(INDIRECT($R$1&amp;"!$H:$H")&gt;=M133),INDIRECT($R$1&amp;"!$K:$K"))))*M133+(_xlfn.SINGLE(_xlfn.XLOOKUP(1,(INDIRECT($R$1&amp;"!$C:$C")=B133)*(INDIRECT($R$1&amp;"!$G:$G")&lt;M133)*(INDIRECT($R$1&amp;"!$H:$H")&gt;=M133),INDIRECT($R$1&amp;"!$L:$L"))))</f>
        <v>35.5</v>
      </c>
      <c r="Q133" s="971" cm="1">
        <f ca="1" t="array" ref="Q133">(_xlfn.SINGLE(_xlfn.XLOOKUP(1,(INDIRECT($R$1&amp;"!$C:$C")=B133)*(INDIRECT($R$1&amp;"!$G:$G")&lt;N133)*(INDIRECT($R$1&amp;"!$H:$H")&gt;=N133),INDIRECT($R$1&amp;"!$K:$K"))))*N133+(_xlfn.SINGLE(_xlfn.XLOOKUP(1,(INDIRECT($R$1&amp;"!$C:$C")=B133)*(INDIRECT($R$1&amp;"!$G:$G")&lt;N133)*(INDIRECT($R$1&amp;"!$H:$H")&gt;=N133),INDIRECT($R$1&amp;"!$L:$L"))))</f>
        <v>49.25</v>
      </c>
      <c r="R133" s="955"/>
    </row>
    <row r="134" ht="17.25" spans="1:18">
      <c r="A134" s="963" t="s">
        <v>282</v>
      </c>
      <c r="B134" s="963" t="s">
        <v>283</v>
      </c>
      <c r="C134" s="964">
        <f ca="1" t="shared" si="134"/>
        <v>8.025</v>
      </c>
      <c r="D134" s="964">
        <f ca="1" t="shared" si="135"/>
        <v>13.0359154929578</v>
      </c>
      <c r="E134" s="964">
        <f ca="1" t="shared" si="136"/>
        <v>18.0468309859155</v>
      </c>
      <c r="F134" s="965">
        <f ca="1" t="shared" ref="F134:H134" si="139">O134/$P$1</f>
        <v>5.52816901408451</v>
      </c>
      <c r="G134" s="965">
        <f ca="1" t="shared" si="139"/>
        <v>8.23943661971831</v>
      </c>
      <c r="H134" s="965">
        <f ca="1" t="shared" si="139"/>
        <v>10.9507042253521</v>
      </c>
      <c r="I134" s="965">
        <f>(VLOOKUP($B$1,'Product Procurement Sheet'!B:I,8,0)*$L$1)/$P$1</f>
        <v>1.97183098591549</v>
      </c>
      <c r="J134" s="965">
        <f>(VLOOKUP($B$1,'Product Procurement Sheet'!B:I,8,0)*$M$1)/$P$1</f>
        <v>3.94366197183099</v>
      </c>
      <c r="K134" s="965">
        <f>(VLOOKUP($B$1,'Product Procurement Sheet'!B:I,8,0)*$N$1)/$P$1</f>
        <v>5.91549295774648</v>
      </c>
      <c r="L134" s="968">
        <f>VLOOKUP($B$1,'Product Procurement Sheet'!B:D,3,FALSE)*$L$1</f>
        <v>0.11</v>
      </c>
      <c r="M134" s="968">
        <f>VLOOKUP($B$1,'Product Procurement Sheet'!B:D,3,FALSE)*$M$1</f>
        <v>0.22</v>
      </c>
      <c r="N134" s="968">
        <f>VLOOKUP($B$1,'Product Procurement Sheet'!B:D,3,FALSE)*$N$1</f>
        <v>0.33</v>
      </c>
      <c r="O134" s="971" cm="1">
        <f ca="1" t="array" ref="O134">(_xlfn.SINGLE(_xlfn.XLOOKUP(1,(INDIRECT($R$1&amp;"!$C:$C")=B134)*(INDIRECT($R$1&amp;"!$G:$G")&lt;L134)*(INDIRECT($R$1&amp;"!$H:$H")&gt;=L134),INDIRECT($R$1&amp;"!$K:$K"))))*L134+(_xlfn.SINGLE(_xlfn.XLOOKUP(1,(INDIRECT($R$1&amp;"!$C:$C")=B134)*(INDIRECT($R$1&amp;"!$G:$G")&lt;L134)*(INDIRECT($R$1&amp;"!$H:$H")&gt;=L134),INDIRECT($R$1&amp;"!$L:$L"))))</f>
        <v>39.25</v>
      </c>
      <c r="P134" s="971" cm="1">
        <f ca="1" t="array" ref="P134">(_xlfn.SINGLE(_xlfn.XLOOKUP(1,(INDIRECT($R$1&amp;"!$C:$C")=B134)*(INDIRECT($R$1&amp;"!$G:$G")&lt;M134)*(INDIRECT($R$1&amp;"!$H:$H")&gt;=M134),INDIRECT($R$1&amp;"!$K:$K"))))*M134+(_xlfn.SINGLE(_xlfn.XLOOKUP(1,(INDIRECT($R$1&amp;"!$C:$C")=B134)*(INDIRECT($R$1&amp;"!$G:$G")&lt;M134)*(INDIRECT($R$1&amp;"!$H:$H")&gt;=M134),INDIRECT($R$1&amp;"!$L:$L"))))</f>
        <v>58.5</v>
      </c>
      <c r="Q134" s="971" cm="1">
        <f ca="1" t="array" ref="Q134">(_xlfn.SINGLE(_xlfn.XLOOKUP(1,(INDIRECT($R$1&amp;"!$C:$C")=B134)*(INDIRECT($R$1&amp;"!$G:$G")&lt;N134)*(INDIRECT($R$1&amp;"!$H:$H")&gt;=N134),INDIRECT($R$1&amp;"!$K:$K"))))*N134+(_xlfn.SINGLE(_xlfn.XLOOKUP(1,(INDIRECT($R$1&amp;"!$C:$C")=B134)*(INDIRECT($R$1&amp;"!$G:$G")&lt;N134)*(INDIRECT($R$1&amp;"!$H:$H")&gt;=N134),INDIRECT($R$1&amp;"!$L:$L"))))</f>
        <v>77.75</v>
      </c>
      <c r="R134" s="955"/>
    </row>
    <row r="135" ht="17.25" spans="1:18">
      <c r="A135" s="963" t="s">
        <v>284</v>
      </c>
      <c r="B135" s="963" t="s">
        <v>285</v>
      </c>
      <c r="C135" s="964">
        <f ca="1" t="shared" si="134"/>
        <v>5.04105633802817</v>
      </c>
      <c r="D135" s="964">
        <f ca="1" t="shared" si="135"/>
        <v>8.72577464788733</v>
      </c>
      <c r="E135" s="964">
        <f ca="1" t="shared" si="136"/>
        <v>12.4104929577465</v>
      </c>
      <c r="F135" s="965">
        <f ca="1" t="shared" ref="F135:H135" si="140">O135/$P$1</f>
        <v>2.73943661971831</v>
      </c>
      <c r="G135" s="965">
        <f ca="1" t="shared" si="140"/>
        <v>4.2112676056338</v>
      </c>
      <c r="H135" s="965">
        <f ca="1" t="shared" si="140"/>
        <v>5.6830985915493</v>
      </c>
      <c r="I135" s="965">
        <f>(VLOOKUP($B$1,'Product Procurement Sheet'!B:I,8,0)*$L$1)/$P$1</f>
        <v>1.97183098591549</v>
      </c>
      <c r="J135" s="965">
        <f>(VLOOKUP($B$1,'Product Procurement Sheet'!B:I,8,0)*$M$1)/$P$1</f>
        <v>3.94366197183099</v>
      </c>
      <c r="K135" s="965">
        <f>(VLOOKUP($B$1,'Product Procurement Sheet'!B:I,8,0)*$N$1)/$P$1</f>
        <v>5.91549295774648</v>
      </c>
      <c r="L135" s="968">
        <f>VLOOKUP($B$1,'Product Procurement Sheet'!B:D,3,FALSE)*$L$1</f>
        <v>0.11</v>
      </c>
      <c r="M135" s="968">
        <f>VLOOKUP($B$1,'Product Procurement Sheet'!B:D,3,FALSE)*$M$1</f>
        <v>0.22</v>
      </c>
      <c r="N135" s="968">
        <f>VLOOKUP($B$1,'Product Procurement Sheet'!B:D,3,FALSE)*$N$1</f>
        <v>0.33</v>
      </c>
      <c r="O135" s="971" cm="1">
        <f ca="1" t="array" ref="O135">(_xlfn.SINGLE(_xlfn.XLOOKUP(1,(INDIRECT($R$1&amp;"!$C:$C")=B135)*(INDIRECT($R$1&amp;"!$G:$G")&lt;L135)*(INDIRECT($R$1&amp;"!$H:$H")&gt;=L135),INDIRECT($R$1&amp;"!$K:$K"))))*L135+(_xlfn.SINGLE(_xlfn.XLOOKUP(1,(INDIRECT($R$1&amp;"!$C:$C")=B135)*(INDIRECT($R$1&amp;"!$G:$G")&lt;L135)*(INDIRECT($R$1&amp;"!$H:$H")&gt;=L135),INDIRECT($R$1&amp;"!$L:$L"))))</f>
        <v>19.45</v>
      </c>
      <c r="P135" s="971" cm="1">
        <f ca="1" t="array" ref="P135">(_xlfn.SINGLE(_xlfn.XLOOKUP(1,(INDIRECT($R$1&amp;"!$C:$C")=B135)*(INDIRECT($R$1&amp;"!$G:$G")&lt;M135)*(INDIRECT($R$1&amp;"!$H:$H")&gt;=M135),INDIRECT($R$1&amp;"!$K:$K"))))*M135+(_xlfn.SINGLE(_xlfn.XLOOKUP(1,(INDIRECT($R$1&amp;"!$C:$C")=B135)*(INDIRECT($R$1&amp;"!$G:$G")&lt;M135)*(INDIRECT($R$1&amp;"!$H:$H")&gt;=M135),INDIRECT($R$1&amp;"!$L:$L"))))</f>
        <v>29.9</v>
      </c>
      <c r="Q135" s="971" cm="1">
        <f ca="1" t="array" ref="Q135">(_xlfn.SINGLE(_xlfn.XLOOKUP(1,(INDIRECT($R$1&amp;"!$C:$C")=B135)*(INDIRECT($R$1&amp;"!$G:$G")&lt;N135)*(INDIRECT($R$1&amp;"!$H:$H")&gt;=N135),INDIRECT($R$1&amp;"!$K:$K"))))*N135+(_xlfn.SINGLE(_xlfn.XLOOKUP(1,(INDIRECT($R$1&amp;"!$C:$C")=B135)*(INDIRECT($R$1&amp;"!$G:$G")&lt;N135)*(INDIRECT($R$1&amp;"!$H:$H")&gt;=N135),INDIRECT($R$1&amp;"!$L:$L"))))</f>
        <v>40.35</v>
      </c>
      <c r="R135" s="955"/>
    </row>
    <row r="136" ht="17.25" spans="1:18">
      <c r="A136" s="963" t="s">
        <v>286</v>
      </c>
      <c r="B136" s="963" t="s">
        <v>287</v>
      </c>
      <c r="C136" s="964">
        <f ca="1" t="shared" si="134"/>
        <v>5.3575352112676</v>
      </c>
      <c r="D136" s="964">
        <f ca="1" t="shared" si="135"/>
        <v>9.20802816901409</v>
      </c>
      <c r="E136" s="964">
        <f ca="1" t="shared" si="136"/>
        <v>13.0585211267606</v>
      </c>
      <c r="F136" s="965">
        <f ca="1" t="shared" ref="F136:H136" si="141">O136/$P$1</f>
        <v>3.03521126760563</v>
      </c>
      <c r="G136" s="965">
        <f ca="1" t="shared" si="141"/>
        <v>4.66197183098592</v>
      </c>
      <c r="H136" s="965">
        <f ca="1" t="shared" si="141"/>
        <v>6.2887323943662</v>
      </c>
      <c r="I136" s="965">
        <f>(VLOOKUP($B$1,'Product Procurement Sheet'!B:I,8,0)*$L$1)/$P$1</f>
        <v>1.97183098591549</v>
      </c>
      <c r="J136" s="965">
        <f>(VLOOKUP($B$1,'Product Procurement Sheet'!B:I,8,0)*$M$1)/$P$1</f>
        <v>3.94366197183099</v>
      </c>
      <c r="K136" s="965">
        <f>(VLOOKUP($B$1,'Product Procurement Sheet'!B:I,8,0)*$N$1)/$P$1</f>
        <v>5.91549295774648</v>
      </c>
      <c r="L136" s="968">
        <f>VLOOKUP($B$1,'Product Procurement Sheet'!B:D,3,FALSE)*$L$1</f>
        <v>0.11</v>
      </c>
      <c r="M136" s="968">
        <f>VLOOKUP($B$1,'Product Procurement Sheet'!B:D,3,FALSE)*$M$1</f>
        <v>0.22</v>
      </c>
      <c r="N136" s="968">
        <f>VLOOKUP($B$1,'Product Procurement Sheet'!B:D,3,FALSE)*$N$1</f>
        <v>0.33</v>
      </c>
      <c r="O136" s="971" cm="1">
        <f ca="1" t="array" ref="O136">(_xlfn.SINGLE(_xlfn.XLOOKUP(1,(INDIRECT($R$1&amp;"!$C:$C")=B136)*(INDIRECT($R$1&amp;"!$G:$G")&lt;L136)*(INDIRECT($R$1&amp;"!$H:$H")&gt;=L136),INDIRECT($R$1&amp;"!$K:$K"))))*L136+(_xlfn.SINGLE(_xlfn.XLOOKUP(1,(INDIRECT($R$1&amp;"!$C:$C")=B136)*(INDIRECT($R$1&amp;"!$G:$G")&lt;L136)*(INDIRECT($R$1&amp;"!$H:$H")&gt;=L136),INDIRECT($R$1&amp;"!$L:$L"))))</f>
        <v>21.55</v>
      </c>
      <c r="P136" s="971" cm="1">
        <f ca="1" t="array" ref="P136">(_xlfn.SINGLE(_xlfn.XLOOKUP(1,(INDIRECT($R$1&amp;"!$C:$C")=B136)*(INDIRECT($R$1&amp;"!$G:$G")&lt;M136)*(INDIRECT($R$1&amp;"!$H:$H")&gt;=M136),INDIRECT($R$1&amp;"!$K:$K"))))*M136+(_xlfn.SINGLE(_xlfn.XLOOKUP(1,(INDIRECT($R$1&amp;"!$C:$C")=B136)*(INDIRECT($R$1&amp;"!$G:$G")&lt;M136)*(INDIRECT($R$1&amp;"!$H:$H")&gt;=M136),INDIRECT($R$1&amp;"!$L:$L"))))</f>
        <v>33.1</v>
      </c>
      <c r="Q136" s="971" cm="1">
        <f ca="1" t="array" ref="Q136">(_xlfn.SINGLE(_xlfn.XLOOKUP(1,(INDIRECT($R$1&amp;"!$C:$C")=B136)*(INDIRECT($R$1&amp;"!$G:$G")&lt;N136)*(INDIRECT($R$1&amp;"!$H:$H")&gt;=N136),INDIRECT($R$1&amp;"!$K:$K"))))*N136+(_xlfn.SINGLE(_xlfn.XLOOKUP(1,(INDIRECT($R$1&amp;"!$C:$C")=B136)*(INDIRECT($R$1&amp;"!$G:$G")&lt;N136)*(INDIRECT($R$1&amp;"!$H:$H")&gt;=N136),INDIRECT($R$1&amp;"!$L:$L"))))</f>
        <v>44.65</v>
      </c>
      <c r="R136" s="955"/>
    </row>
    <row r="137" ht="17.25" spans="1:18">
      <c r="A137" s="963" t="s">
        <v>288</v>
      </c>
      <c r="B137" s="963" t="s">
        <v>289</v>
      </c>
      <c r="C137" s="964">
        <f ca="1" t="shared" si="134"/>
        <v>10.7678169014084</v>
      </c>
      <c r="D137" s="964">
        <f ca="1" t="shared" si="135"/>
        <v>16.1102816901409</v>
      </c>
      <c r="E137" s="964">
        <f ca="1" t="shared" si="136"/>
        <v>21.4527464788732</v>
      </c>
      <c r="F137" s="965">
        <f ca="1" t="shared" ref="F137:H137" si="142">O137/$P$1</f>
        <v>8.09154929577465</v>
      </c>
      <c r="G137" s="965">
        <f ca="1" t="shared" si="142"/>
        <v>11.112676056338</v>
      </c>
      <c r="H137" s="965">
        <f ca="1" t="shared" si="142"/>
        <v>14.1338028169014</v>
      </c>
      <c r="I137" s="965">
        <f>(VLOOKUP($B$1,'Product Procurement Sheet'!B:I,8,0)*$L$1)/$P$1</f>
        <v>1.97183098591549</v>
      </c>
      <c r="J137" s="965">
        <f>(VLOOKUP($B$1,'Product Procurement Sheet'!B:I,8,0)*$M$1)/$P$1</f>
        <v>3.94366197183099</v>
      </c>
      <c r="K137" s="965">
        <f>(VLOOKUP($B$1,'Product Procurement Sheet'!B:I,8,0)*$N$1)/$P$1</f>
        <v>5.91549295774648</v>
      </c>
      <c r="L137" s="968">
        <f>VLOOKUP($B$1,'Product Procurement Sheet'!B:D,3,FALSE)*$L$1</f>
        <v>0.11</v>
      </c>
      <c r="M137" s="968">
        <f>VLOOKUP($B$1,'Product Procurement Sheet'!B:D,3,FALSE)*$M$1</f>
        <v>0.22</v>
      </c>
      <c r="N137" s="968">
        <f>VLOOKUP($B$1,'Product Procurement Sheet'!B:D,3,FALSE)*$N$1</f>
        <v>0.33</v>
      </c>
      <c r="O137" s="971" cm="1">
        <f ca="1" t="array" ref="O137">(_xlfn.SINGLE(_xlfn.XLOOKUP(1,(INDIRECT($R$1&amp;"!$C:$C")=B137)*(INDIRECT($R$1&amp;"!$G:$G")&lt;L137)*(INDIRECT($R$1&amp;"!$H:$H")&gt;=L137),INDIRECT($R$1&amp;"!$K:$K"))))*L137+(_xlfn.SINGLE(_xlfn.XLOOKUP(1,(INDIRECT($R$1&amp;"!$C:$C")=B137)*(INDIRECT($R$1&amp;"!$G:$G")&lt;L137)*(INDIRECT($R$1&amp;"!$H:$H")&gt;=L137),INDIRECT($R$1&amp;"!$L:$L"))))</f>
        <v>57.45</v>
      </c>
      <c r="P137" s="971" cm="1">
        <f ca="1" t="array" ref="P137">(_xlfn.SINGLE(_xlfn.XLOOKUP(1,(INDIRECT($R$1&amp;"!$C:$C")=B137)*(INDIRECT($R$1&amp;"!$G:$G")&lt;M137)*(INDIRECT($R$1&amp;"!$H:$H")&gt;=M137),INDIRECT($R$1&amp;"!$K:$K"))))*M137+(_xlfn.SINGLE(_xlfn.XLOOKUP(1,(INDIRECT($R$1&amp;"!$C:$C")=B137)*(INDIRECT($R$1&amp;"!$G:$G")&lt;M137)*(INDIRECT($R$1&amp;"!$H:$H")&gt;=M137),INDIRECT($R$1&amp;"!$L:$L"))))</f>
        <v>78.9</v>
      </c>
      <c r="Q137" s="971" cm="1">
        <f ca="1" t="array" ref="Q137">(_xlfn.SINGLE(_xlfn.XLOOKUP(1,(INDIRECT($R$1&amp;"!$C:$C")=B137)*(INDIRECT($R$1&amp;"!$G:$G")&lt;N137)*(INDIRECT($R$1&amp;"!$H:$H")&gt;=N137),INDIRECT($R$1&amp;"!$K:$K"))))*N137+(_xlfn.SINGLE(_xlfn.XLOOKUP(1,(INDIRECT($R$1&amp;"!$C:$C")=B137)*(INDIRECT($R$1&amp;"!$G:$G")&lt;N137)*(INDIRECT($R$1&amp;"!$H:$H")&gt;=N137),INDIRECT($R$1&amp;"!$L:$L"))))</f>
        <v>100.35</v>
      </c>
      <c r="R137" s="955"/>
    </row>
    <row r="138" ht="17.25" spans="1:18">
      <c r="A138" s="963" t="s">
        <v>290</v>
      </c>
      <c r="B138" s="963" t="s">
        <v>291</v>
      </c>
      <c r="C138" s="964">
        <f ca="1" t="shared" si="134"/>
        <v>10.0293661971831</v>
      </c>
      <c r="D138" s="964">
        <f ca="1" t="shared" si="135"/>
        <v>15.5376056338028</v>
      </c>
      <c r="E138" s="964">
        <f ca="1" t="shared" si="136"/>
        <v>21.0458450704225</v>
      </c>
      <c r="F138" s="965">
        <f ca="1" t="shared" ref="F138:H138" si="143">O138/$P$1</f>
        <v>7.40140845070423</v>
      </c>
      <c r="G138" s="965">
        <f ca="1" t="shared" si="143"/>
        <v>10.5774647887324</v>
      </c>
      <c r="H138" s="965">
        <f ca="1" t="shared" si="143"/>
        <v>13.7535211267606</v>
      </c>
      <c r="I138" s="965">
        <f>(VLOOKUP($B$1,'Product Procurement Sheet'!B:I,8,0)*$L$1)/$P$1</f>
        <v>1.97183098591549</v>
      </c>
      <c r="J138" s="965">
        <f>(VLOOKUP($B$1,'Product Procurement Sheet'!B:I,8,0)*$M$1)/$P$1</f>
        <v>3.94366197183099</v>
      </c>
      <c r="K138" s="965">
        <f>(VLOOKUP($B$1,'Product Procurement Sheet'!B:I,8,0)*$N$1)/$P$1</f>
        <v>5.91549295774648</v>
      </c>
      <c r="L138" s="968">
        <f>VLOOKUP($B$1,'Product Procurement Sheet'!B:D,3,FALSE)*$L$1</f>
        <v>0.11</v>
      </c>
      <c r="M138" s="968">
        <f>VLOOKUP($B$1,'Product Procurement Sheet'!B:D,3,FALSE)*$M$1</f>
        <v>0.22</v>
      </c>
      <c r="N138" s="968">
        <f>VLOOKUP($B$1,'Product Procurement Sheet'!B:D,3,FALSE)*$N$1</f>
        <v>0.33</v>
      </c>
      <c r="O138" s="971" cm="1">
        <f ca="1" t="array" ref="O138">(_xlfn.SINGLE(_xlfn.XLOOKUP(1,(INDIRECT($R$1&amp;"!$C:$C")=B138)*(INDIRECT($R$1&amp;"!$G:$G")&lt;L138)*(INDIRECT($R$1&amp;"!$H:$H")&gt;=L138),INDIRECT($R$1&amp;"!$K:$K"))))*L138+(_xlfn.SINGLE(_xlfn.XLOOKUP(1,(INDIRECT($R$1&amp;"!$C:$C")=B138)*(INDIRECT($R$1&amp;"!$G:$G")&lt;L138)*(INDIRECT($R$1&amp;"!$H:$H")&gt;=L138),INDIRECT($R$1&amp;"!$L:$L"))))</f>
        <v>52.55</v>
      </c>
      <c r="P138" s="971" cm="1">
        <f ca="1" t="array" ref="P138">(_xlfn.SINGLE(_xlfn.XLOOKUP(1,(INDIRECT($R$1&amp;"!$C:$C")=B138)*(INDIRECT($R$1&amp;"!$G:$G")&lt;M138)*(INDIRECT($R$1&amp;"!$H:$H")&gt;=M138),INDIRECT($R$1&amp;"!$K:$K"))))*M138+(_xlfn.SINGLE(_xlfn.XLOOKUP(1,(INDIRECT($R$1&amp;"!$C:$C")=B138)*(INDIRECT($R$1&amp;"!$G:$G")&lt;M138)*(INDIRECT($R$1&amp;"!$H:$H")&gt;=M138),INDIRECT($R$1&amp;"!$L:$L"))))</f>
        <v>75.1</v>
      </c>
      <c r="Q138" s="971" cm="1">
        <f ca="1" t="array" ref="Q138">(_xlfn.SINGLE(_xlfn.XLOOKUP(1,(INDIRECT($R$1&amp;"!$C:$C")=B138)*(INDIRECT($R$1&amp;"!$G:$G")&lt;N138)*(INDIRECT($R$1&amp;"!$H:$H")&gt;=N138),INDIRECT($R$1&amp;"!$K:$K"))))*N138+(_xlfn.SINGLE(_xlfn.XLOOKUP(1,(INDIRECT($R$1&amp;"!$C:$C")=B138)*(INDIRECT($R$1&amp;"!$G:$G")&lt;N138)*(INDIRECT($R$1&amp;"!$H:$H")&gt;=N138),INDIRECT($R$1&amp;"!$L:$L"))))</f>
        <v>97.65</v>
      </c>
      <c r="R138" s="955"/>
    </row>
    <row r="139" ht="17.25" spans="1:18">
      <c r="A139" s="963" t="s">
        <v>292</v>
      </c>
      <c r="B139" s="963" t="s">
        <v>293</v>
      </c>
      <c r="C139" s="964">
        <f ca="1" t="shared" si="134"/>
        <v>13.164014084507</v>
      </c>
      <c r="D139" s="964">
        <f ca="1" t="shared" si="135"/>
        <v>23.3139436619718</v>
      </c>
      <c r="E139" s="964">
        <f ca="1" t="shared" si="136"/>
        <v>33.4638732394366</v>
      </c>
      <c r="F139" s="965">
        <f ca="1" t="shared" ref="F139:H139" si="144">O139/$P$1</f>
        <v>10.330985915493</v>
      </c>
      <c r="G139" s="965">
        <f ca="1" t="shared" si="144"/>
        <v>17.8450704225352</v>
      </c>
      <c r="H139" s="965">
        <f ca="1" t="shared" si="144"/>
        <v>25.3591549295775</v>
      </c>
      <c r="I139" s="965">
        <f>(VLOOKUP($B$1,'Product Procurement Sheet'!B:I,8,0)*$L$1)/$P$1</f>
        <v>1.97183098591549</v>
      </c>
      <c r="J139" s="965">
        <f>(VLOOKUP($B$1,'Product Procurement Sheet'!B:I,8,0)*$M$1)/$P$1</f>
        <v>3.94366197183099</v>
      </c>
      <c r="K139" s="965">
        <f>(VLOOKUP($B$1,'Product Procurement Sheet'!B:I,8,0)*$N$1)/$P$1</f>
        <v>5.91549295774648</v>
      </c>
      <c r="L139" s="968">
        <f>VLOOKUP($B$1,'Product Procurement Sheet'!B:D,3,FALSE)*$L$1</f>
        <v>0.11</v>
      </c>
      <c r="M139" s="968">
        <f>VLOOKUP($B$1,'Product Procurement Sheet'!B:D,3,FALSE)*$M$1</f>
        <v>0.22</v>
      </c>
      <c r="N139" s="968">
        <f>VLOOKUP($B$1,'Product Procurement Sheet'!B:D,3,FALSE)*$N$1</f>
        <v>0.33</v>
      </c>
      <c r="O139" s="971" cm="1">
        <f ca="1" t="array" ref="O139">(_xlfn.SINGLE(_xlfn.XLOOKUP(1,(INDIRECT($R$1&amp;"!$C:$C")=B139)*(INDIRECT($R$1&amp;"!$G:$G")&lt;L139)*(INDIRECT($R$1&amp;"!$H:$H")&gt;=L139),INDIRECT($R$1&amp;"!$K:$K"))))*L139+(_xlfn.SINGLE(_xlfn.XLOOKUP(1,(INDIRECT($R$1&amp;"!$C:$C")=B139)*(INDIRECT($R$1&amp;"!$G:$G")&lt;L139)*(INDIRECT($R$1&amp;"!$H:$H")&gt;=L139),INDIRECT($R$1&amp;"!$L:$L"))))</f>
        <v>73.35</v>
      </c>
      <c r="P139" s="971" cm="1">
        <f ca="1" t="array" ref="P139">(_xlfn.SINGLE(_xlfn.XLOOKUP(1,(INDIRECT($R$1&amp;"!$C:$C")=B139)*(INDIRECT($R$1&amp;"!$G:$G")&lt;M139)*(INDIRECT($R$1&amp;"!$H:$H")&gt;=M139),INDIRECT($R$1&amp;"!$K:$K"))))*M139+(_xlfn.SINGLE(_xlfn.XLOOKUP(1,(INDIRECT($R$1&amp;"!$C:$C")=B139)*(INDIRECT($R$1&amp;"!$G:$G")&lt;M139)*(INDIRECT($R$1&amp;"!$H:$H")&gt;=M139),INDIRECT($R$1&amp;"!$L:$L"))))</f>
        <v>126.7</v>
      </c>
      <c r="Q139" s="971" cm="1">
        <f ca="1" t="array" ref="Q139">(_xlfn.SINGLE(_xlfn.XLOOKUP(1,(INDIRECT($R$1&amp;"!$C:$C")=B139)*(INDIRECT($R$1&amp;"!$G:$G")&lt;N139)*(INDIRECT($R$1&amp;"!$H:$H")&gt;=N139),INDIRECT($R$1&amp;"!$K:$K"))))*N139+(_xlfn.SINGLE(_xlfn.XLOOKUP(1,(INDIRECT($R$1&amp;"!$C:$C")=B139)*(INDIRECT($R$1&amp;"!$G:$G")&lt;N139)*(INDIRECT($R$1&amp;"!$H:$H")&gt;=N139),INDIRECT($R$1&amp;"!$L:$L"))))</f>
        <v>180.05</v>
      </c>
      <c r="R139" s="955"/>
    </row>
    <row r="140" ht="17.25" spans="1:18">
      <c r="A140" s="963" t="s">
        <v>294</v>
      </c>
      <c r="B140" s="963" t="s">
        <v>295</v>
      </c>
      <c r="C140" s="964">
        <f ca="1" t="shared" si="134"/>
        <v>6.89471830985915</v>
      </c>
      <c r="D140" s="964">
        <f ca="1" t="shared" si="135"/>
        <v>11.0767605633803</v>
      </c>
      <c r="E140" s="964">
        <f ca="1" t="shared" si="136"/>
        <v>15.2588028169014</v>
      </c>
      <c r="F140" s="965">
        <f ca="1" t="shared" ref="F140:H140" si="145">O140/$P$1</f>
        <v>4.47183098591549</v>
      </c>
      <c r="G140" s="965">
        <f ca="1" t="shared" si="145"/>
        <v>6.40845070422535</v>
      </c>
      <c r="H140" s="965">
        <f ca="1" t="shared" si="145"/>
        <v>8.34507042253521</v>
      </c>
      <c r="I140" s="965">
        <f>(VLOOKUP($B$1,'Product Procurement Sheet'!B:I,8,0)*$L$1)/$P$1</f>
        <v>1.97183098591549</v>
      </c>
      <c r="J140" s="965">
        <f>(VLOOKUP($B$1,'Product Procurement Sheet'!B:I,8,0)*$M$1)/$P$1</f>
        <v>3.94366197183099</v>
      </c>
      <c r="K140" s="965">
        <f>(VLOOKUP($B$1,'Product Procurement Sheet'!B:I,8,0)*$N$1)/$P$1</f>
        <v>5.91549295774648</v>
      </c>
      <c r="L140" s="968">
        <f>VLOOKUP($B$1,'Product Procurement Sheet'!B:D,3,FALSE)*$L$1</f>
        <v>0.11</v>
      </c>
      <c r="M140" s="968">
        <f>VLOOKUP($B$1,'Product Procurement Sheet'!B:D,3,FALSE)*$M$1</f>
        <v>0.22</v>
      </c>
      <c r="N140" s="968">
        <f>VLOOKUP($B$1,'Product Procurement Sheet'!B:D,3,FALSE)*$N$1</f>
        <v>0.33</v>
      </c>
      <c r="O140" s="971" cm="1">
        <f ca="1" t="array" ref="O140">(_xlfn.SINGLE(_xlfn.XLOOKUP(1,(INDIRECT($R$1&amp;"!$C:$C")=B140)*(INDIRECT($R$1&amp;"!$G:$G")&lt;L140)*(INDIRECT($R$1&amp;"!$H:$H")&gt;=L140),INDIRECT($R$1&amp;"!$K:$K"))))*L140+(_xlfn.SINGLE(_xlfn.XLOOKUP(1,(INDIRECT($R$1&amp;"!$C:$C")=B140)*(INDIRECT($R$1&amp;"!$G:$G")&lt;L140)*(INDIRECT($R$1&amp;"!$H:$H")&gt;=L140),INDIRECT($R$1&amp;"!$L:$L"))))</f>
        <v>31.75</v>
      </c>
      <c r="P140" s="971" cm="1">
        <f ca="1" t="array" ref="P140">(_xlfn.SINGLE(_xlfn.XLOOKUP(1,(INDIRECT($R$1&amp;"!$C:$C")=B140)*(INDIRECT($R$1&amp;"!$G:$G")&lt;M140)*(INDIRECT($R$1&amp;"!$H:$H")&gt;=M140),INDIRECT($R$1&amp;"!$K:$K"))))*M140+(_xlfn.SINGLE(_xlfn.XLOOKUP(1,(INDIRECT($R$1&amp;"!$C:$C")=B140)*(INDIRECT($R$1&amp;"!$G:$G")&lt;M140)*(INDIRECT($R$1&amp;"!$H:$H")&gt;=M140),INDIRECT($R$1&amp;"!$L:$L"))))</f>
        <v>45.5</v>
      </c>
      <c r="Q140" s="971" cm="1">
        <f ca="1" t="array" ref="Q140">(_xlfn.SINGLE(_xlfn.XLOOKUP(1,(INDIRECT($R$1&amp;"!$C:$C")=B140)*(INDIRECT($R$1&amp;"!$G:$G")&lt;N140)*(INDIRECT($R$1&amp;"!$H:$H")&gt;=N140),INDIRECT($R$1&amp;"!$K:$K"))))*N140+(_xlfn.SINGLE(_xlfn.XLOOKUP(1,(INDIRECT($R$1&amp;"!$C:$C")=B140)*(INDIRECT($R$1&amp;"!$G:$G")&lt;N140)*(INDIRECT($R$1&amp;"!$H:$H")&gt;=N140),INDIRECT($R$1&amp;"!$L:$L"))))</f>
        <v>59.25</v>
      </c>
      <c r="R140" s="955"/>
    </row>
    <row r="141" ht="17.25" spans="1:18">
      <c r="A141" s="963" t="s">
        <v>296</v>
      </c>
      <c r="B141" s="963" t="s">
        <v>297</v>
      </c>
      <c r="C141" s="964">
        <f ca="1" t="shared" si="134"/>
        <v>11.4158450704225</v>
      </c>
      <c r="D141" s="964">
        <f ca="1" t="shared" si="135"/>
        <v>17.2556338028169</v>
      </c>
      <c r="E141" s="964">
        <f ca="1" t="shared" si="136"/>
        <v>23.0954225352113</v>
      </c>
      <c r="F141" s="965">
        <f ca="1" t="shared" ref="F141:H141" si="146">O141/$P$1</f>
        <v>8.69718309859155</v>
      </c>
      <c r="G141" s="965">
        <f ca="1" t="shared" si="146"/>
        <v>12.1830985915493</v>
      </c>
      <c r="H141" s="965">
        <f ca="1" t="shared" si="146"/>
        <v>15.669014084507</v>
      </c>
      <c r="I141" s="965">
        <f>(VLOOKUP($B$1,'Product Procurement Sheet'!B:I,8,0)*$L$1)/$P$1</f>
        <v>1.97183098591549</v>
      </c>
      <c r="J141" s="965">
        <f>(VLOOKUP($B$1,'Product Procurement Sheet'!B:I,8,0)*$M$1)/$P$1</f>
        <v>3.94366197183099</v>
      </c>
      <c r="K141" s="965">
        <f>(VLOOKUP($B$1,'Product Procurement Sheet'!B:I,8,0)*$N$1)/$P$1</f>
        <v>5.91549295774648</v>
      </c>
      <c r="L141" s="968">
        <f>VLOOKUP($B$1,'Product Procurement Sheet'!B:D,3,FALSE)*$L$1</f>
        <v>0.11</v>
      </c>
      <c r="M141" s="968">
        <f>VLOOKUP($B$1,'Product Procurement Sheet'!B:D,3,FALSE)*$M$1</f>
        <v>0.22</v>
      </c>
      <c r="N141" s="968">
        <f>VLOOKUP($B$1,'Product Procurement Sheet'!B:D,3,FALSE)*$N$1</f>
        <v>0.33</v>
      </c>
      <c r="O141" s="971" cm="1">
        <f ca="1" t="array" ref="O141">(_xlfn.SINGLE(_xlfn.XLOOKUP(1,(INDIRECT($R$1&amp;"!$C:$C")=B141)*(INDIRECT($R$1&amp;"!$G:$G")&lt;L141)*(INDIRECT($R$1&amp;"!$H:$H")&gt;=L141),INDIRECT($R$1&amp;"!$K:$K"))))*L141+(_xlfn.SINGLE(_xlfn.XLOOKUP(1,(INDIRECT($R$1&amp;"!$C:$C")=B141)*(INDIRECT($R$1&amp;"!$G:$G")&lt;L141)*(INDIRECT($R$1&amp;"!$H:$H")&gt;=L141),INDIRECT($R$1&amp;"!$L:$L"))))</f>
        <v>61.75</v>
      </c>
      <c r="P141" s="971" cm="1">
        <f ca="1" t="array" ref="P141">(_xlfn.SINGLE(_xlfn.XLOOKUP(1,(INDIRECT($R$1&amp;"!$C:$C")=B141)*(INDIRECT($R$1&amp;"!$G:$G")&lt;M141)*(INDIRECT($R$1&amp;"!$H:$H")&gt;=M141),INDIRECT($R$1&amp;"!$K:$K"))))*M141+(_xlfn.SINGLE(_xlfn.XLOOKUP(1,(INDIRECT($R$1&amp;"!$C:$C")=B141)*(INDIRECT($R$1&amp;"!$G:$G")&lt;M141)*(INDIRECT($R$1&amp;"!$H:$H")&gt;=M141),INDIRECT($R$1&amp;"!$L:$L"))))</f>
        <v>86.5</v>
      </c>
      <c r="Q141" s="971" cm="1">
        <f ca="1" t="array" ref="Q141">(_xlfn.SINGLE(_xlfn.XLOOKUP(1,(INDIRECT($R$1&amp;"!$C:$C")=B141)*(INDIRECT($R$1&amp;"!$G:$G")&lt;N141)*(INDIRECT($R$1&amp;"!$H:$H")&gt;=N141),INDIRECT($R$1&amp;"!$K:$K"))))*N141+(_xlfn.SINGLE(_xlfn.XLOOKUP(1,(INDIRECT($R$1&amp;"!$C:$C")=B141)*(INDIRECT($R$1&amp;"!$G:$G")&lt;N141)*(INDIRECT($R$1&amp;"!$H:$H")&gt;=N141),INDIRECT($R$1&amp;"!$L:$L"))))</f>
        <v>111.25</v>
      </c>
      <c r="R141" s="955"/>
    </row>
    <row r="142" ht="17.25" spans="1:18">
      <c r="A142" s="963" t="s">
        <v>298</v>
      </c>
      <c r="B142" s="963" t="s">
        <v>299</v>
      </c>
      <c r="C142" s="964">
        <f ca="1" t="shared" si="134"/>
        <v>8.19077464788732</v>
      </c>
      <c r="D142" s="964">
        <f ca="1" t="shared" si="135"/>
        <v>13.3674647887324</v>
      </c>
      <c r="E142" s="964">
        <f ca="1" t="shared" si="136"/>
        <v>18.5441549295775</v>
      </c>
      <c r="F142" s="965">
        <f ca="1" t="shared" ref="F142:H142" si="147">O142/$P$1</f>
        <v>5.6830985915493</v>
      </c>
      <c r="G142" s="965">
        <f ca="1" t="shared" si="147"/>
        <v>8.54929577464789</v>
      </c>
      <c r="H142" s="965">
        <f ca="1" t="shared" si="147"/>
        <v>11.4154929577465</v>
      </c>
      <c r="I142" s="965">
        <f>(VLOOKUP($B$1,'Product Procurement Sheet'!B:I,8,0)*$L$1)/$P$1</f>
        <v>1.97183098591549</v>
      </c>
      <c r="J142" s="965">
        <f>(VLOOKUP($B$1,'Product Procurement Sheet'!B:I,8,0)*$M$1)/$P$1</f>
        <v>3.94366197183099</v>
      </c>
      <c r="K142" s="965">
        <f>(VLOOKUP($B$1,'Product Procurement Sheet'!B:I,8,0)*$N$1)/$P$1</f>
        <v>5.91549295774648</v>
      </c>
      <c r="L142" s="968">
        <f>VLOOKUP($B$1,'Product Procurement Sheet'!B:D,3,FALSE)*$L$1</f>
        <v>0.11</v>
      </c>
      <c r="M142" s="968">
        <f>VLOOKUP($B$1,'Product Procurement Sheet'!B:D,3,FALSE)*$M$1</f>
        <v>0.22</v>
      </c>
      <c r="N142" s="968">
        <f>VLOOKUP($B$1,'Product Procurement Sheet'!B:D,3,FALSE)*$N$1</f>
        <v>0.33</v>
      </c>
      <c r="O142" s="971" cm="1">
        <f ca="1" t="array" ref="O142">(_xlfn.SINGLE(_xlfn.XLOOKUP(1,(INDIRECT($R$1&amp;"!$C:$C")=B142)*(INDIRECT($R$1&amp;"!$G:$G")&lt;L142)*(INDIRECT($R$1&amp;"!$H:$H")&gt;=L142),INDIRECT($R$1&amp;"!$K:$K"))))*L142+(_xlfn.SINGLE(_xlfn.XLOOKUP(1,(INDIRECT($R$1&amp;"!$C:$C")=B142)*(INDIRECT($R$1&amp;"!$G:$G")&lt;L142)*(INDIRECT($R$1&amp;"!$H:$H")&gt;=L142),INDIRECT($R$1&amp;"!$L:$L"))))</f>
        <v>40.35</v>
      </c>
      <c r="P142" s="971" cm="1">
        <f ca="1" t="array" ref="P142">(_xlfn.SINGLE(_xlfn.XLOOKUP(1,(INDIRECT($R$1&amp;"!$C:$C")=B142)*(INDIRECT($R$1&amp;"!$G:$G")&lt;M142)*(INDIRECT($R$1&amp;"!$H:$H")&gt;=M142),INDIRECT($R$1&amp;"!$K:$K"))))*M142+(_xlfn.SINGLE(_xlfn.XLOOKUP(1,(INDIRECT($R$1&amp;"!$C:$C")=B142)*(INDIRECT($R$1&amp;"!$G:$G")&lt;M142)*(INDIRECT($R$1&amp;"!$H:$H")&gt;=M142),INDIRECT($R$1&amp;"!$L:$L"))))</f>
        <v>60.7</v>
      </c>
      <c r="Q142" s="971" cm="1">
        <f ca="1" t="array" ref="Q142">(_xlfn.SINGLE(_xlfn.XLOOKUP(1,(INDIRECT($R$1&amp;"!$C:$C")=B142)*(INDIRECT($R$1&amp;"!$G:$G")&lt;N142)*(INDIRECT($R$1&amp;"!$H:$H")&gt;=N142),INDIRECT($R$1&amp;"!$K:$K"))))*N142+(_xlfn.SINGLE(_xlfn.XLOOKUP(1,(INDIRECT($R$1&amp;"!$C:$C")=B142)*(INDIRECT($R$1&amp;"!$G:$G")&lt;N142)*(INDIRECT($R$1&amp;"!$H:$H")&gt;=N142),INDIRECT($R$1&amp;"!$L:$L"))))</f>
        <v>81.05</v>
      </c>
      <c r="R142" s="955"/>
    </row>
    <row r="143" ht="17.25" spans="1:18">
      <c r="A143" s="963" t="s">
        <v>300</v>
      </c>
      <c r="B143" s="963" t="s">
        <v>301</v>
      </c>
      <c r="C143" s="964" t="e">
        <f ca="1" t="shared" si="134"/>
        <v>#N/A</v>
      </c>
      <c r="D143" s="964" t="e">
        <f ca="1" t="shared" si="135"/>
        <v>#N/A</v>
      </c>
      <c r="E143" s="964" t="e">
        <f ca="1" t="shared" si="136"/>
        <v>#N/A</v>
      </c>
      <c r="F143" s="965" t="e">
        <f ca="1" t="shared" ref="F143:H143" si="148">O143/$P$1</f>
        <v>#N/A</v>
      </c>
      <c r="G143" s="965" t="e">
        <f ca="1" t="shared" si="148"/>
        <v>#N/A</v>
      </c>
      <c r="H143" s="965" t="e">
        <f ca="1" t="shared" si="148"/>
        <v>#N/A</v>
      </c>
      <c r="I143" s="965">
        <f>(VLOOKUP($B$1,'Product Procurement Sheet'!B:I,8,0)*$L$1)/$P$1</f>
        <v>1.97183098591549</v>
      </c>
      <c r="J143" s="965">
        <f>(VLOOKUP($B$1,'Product Procurement Sheet'!B:I,8,0)*$M$1)/$P$1</f>
        <v>3.94366197183099</v>
      </c>
      <c r="K143" s="965">
        <f>(VLOOKUP($B$1,'Product Procurement Sheet'!B:I,8,0)*$N$1)/$P$1</f>
        <v>5.91549295774648</v>
      </c>
      <c r="L143" s="968">
        <f>VLOOKUP($B$1,'Product Procurement Sheet'!B:D,3,FALSE)*$L$1</f>
        <v>0.11</v>
      </c>
      <c r="M143" s="968">
        <f>VLOOKUP($B$1,'Product Procurement Sheet'!B:D,3,FALSE)*$M$1</f>
        <v>0.22</v>
      </c>
      <c r="N143" s="968">
        <f>VLOOKUP($B$1,'Product Procurement Sheet'!B:D,3,FALSE)*$N$1</f>
        <v>0.33</v>
      </c>
      <c r="O143" s="971" t="e" cm="1">
        <f ca="1" t="array" ref="O143">(_xlfn.SINGLE(_xlfn.XLOOKUP(1,(INDIRECT($R$1&amp;"!$C:$C")=B143)*(INDIRECT($R$1&amp;"!$G:$G")&lt;L143)*(INDIRECT($R$1&amp;"!$H:$H")&gt;=L143),INDIRECT($R$1&amp;"!$K:$K"))))*L143+(_xlfn.SINGLE(_xlfn.XLOOKUP(1,(INDIRECT($R$1&amp;"!$C:$C")=B143)*(INDIRECT($R$1&amp;"!$G:$G")&lt;L143)*(INDIRECT($R$1&amp;"!$H:$H")&gt;=L143),INDIRECT($R$1&amp;"!$L:$L"))))</f>
        <v>#N/A</v>
      </c>
      <c r="P143" s="971" t="e" cm="1">
        <f ca="1" t="array" ref="P143">(_xlfn.SINGLE(_xlfn.XLOOKUP(1,(INDIRECT($R$1&amp;"!$C:$C")=B143)*(INDIRECT($R$1&amp;"!$G:$G")&lt;M143)*(INDIRECT($R$1&amp;"!$H:$H")&gt;=M143),INDIRECT($R$1&amp;"!$K:$K"))))*M143+(_xlfn.SINGLE(_xlfn.XLOOKUP(1,(INDIRECT($R$1&amp;"!$C:$C")=B143)*(INDIRECT($R$1&amp;"!$G:$G")&lt;M143)*(INDIRECT($R$1&amp;"!$H:$H")&gt;=M143),INDIRECT($R$1&amp;"!$L:$L"))))</f>
        <v>#N/A</v>
      </c>
      <c r="Q143" s="971" t="e" cm="1">
        <f ca="1" t="array" ref="Q143">(_xlfn.SINGLE(_xlfn.XLOOKUP(1,(INDIRECT($R$1&amp;"!$C:$C")=B143)*(INDIRECT($R$1&amp;"!$G:$G")&lt;N143)*(INDIRECT($R$1&amp;"!$H:$H")&gt;=N143),INDIRECT($R$1&amp;"!$K:$K"))))*N143+(_xlfn.SINGLE(_xlfn.XLOOKUP(1,(INDIRECT($R$1&amp;"!$C:$C")=B143)*(INDIRECT($R$1&amp;"!$G:$G")&lt;N143)*(INDIRECT($R$1&amp;"!$H:$H")&gt;=N143),INDIRECT($R$1&amp;"!$L:$L"))))</f>
        <v>#N/A</v>
      </c>
      <c r="R143" s="955"/>
    </row>
    <row r="144" ht="17.25" spans="1:18">
      <c r="A144" s="963" t="s">
        <v>302</v>
      </c>
      <c r="B144" s="963" t="s">
        <v>303</v>
      </c>
      <c r="C144" s="964">
        <f ca="1" t="shared" si="134"/>
        <v>8.85387323943662</v>
      </c>
      <c r="D144" s="964">
        <f ca="1" t="shared" si="135"/>
        <v>14.693661971831</v>
      </c>
      <c r="E144" s="964">
        <f ca="1" t="shared" si="136"/>
        <v>20.5334507042254</v>
      </c>
      <c r="F144" s="965">
        <f ca="1" t="shared" ref="F144:H144" si="149">O144/$P$1</f>
        <v>6.30281690140845</v>
      </c>
      <c r="G144" s="965">
        <f ca="1" t="shared" si="149"/>
        <v>9.7887323943662</v>
      </c>
      <c r="H144" s="965">
        <f ca="1" t="shared" si="149"/>
        <v>13.2746478873239</v>
      </c>
      <c r="I144" s="965">
        <f>(VLOOKUP($B$1,'Product Procurement Sheet'!B:I,8,0)*$L$1)/$P$1</f>
        <v>1.97183098591549</v>
      </c>
      <c r="J144" s="965">
        <f>(VLOOKUP($B$1,'Product Procurement Sheet'!B:I,8,0)*$M$1)/$P$1</f>
        <v>3.94366197183099</v>
      </c>
      <c r="K144" s="965">
        <f>(VLOOKUP($B$1,'Product Procurement Sheet'!B:I,8,0)*$N$1)/$P$1</f>
        <v>5.91549295774648</v>
      </c>
      <c r="L144" s="968">
        <f>VLOOKUP($B$1,'Product Procurement Sheet'!B:D,3,FALSE)*$L$1</f>
        <v>0.11</v>
      </c>
      <c r="M144" s="968">
        <f>VLOOKUP($B$1,'Product Procurement Sheet'!B:D,3,FALSE)*$M$1</f>
        <v>0.22</v>
      </c>
      <c r="N144" s="968">
        <f>VLOOKUP($B$1,'Product Procurement Sheet'!B:D,3,FALSE)*$N$1</f>
        <v>0.33</v>
      </c>
      <c r="O144" s="971" cm="1">
        <f ca="1" t="array" ref="O144">(_xlfn.SINGLE(_xlfn.XLOOKUP(1,(INDIRECT($R$1&amp;"!$C:$C")=B144)*(INDIRECT($R$1&amp;"!$G:$G")&lt;L144)*(INDIRECT($R$1&amp;"!$H:$H")&gt;=L144),INDIRECT($R$1&amp;"!$K:$K"))))*L144+(_xlfn.SINGLE(_xlfn.XLOOKUP(1,(INDIRECT($R$1&amp;"!$C:$C")=B144)*(INDIRECT($R$1&amp;"!$G:$G")&lt;L144)*(INDIRECT($R$1&amp;"!$H:$H")&gt;=L144),INDIRECT($R$1&amp;"!$L:$L"))))</f>
        <v>44.75</v>
      </c>
      <c r="P144" s="971" cm="1">
        <f ca="1" t="array" ref="P144">(_xlfn.SINGLE(_xlfn.XLOOKUP(1,(INDIRECT($R$1&amp;"!$C:$C")=B144)*(INDIRECT($R$1&amp;"!$G:$G")&lt;M144)*(INDIRECT($R$1&amp;"!$H:$H")&gt;=M144),INDIRECT($R$1&amp;"!$K:$K"))))*M144+(_xlfn.SINGLE(_xlfn.XLOOKUP(1,(INDIRECT($R$1&amp;"!$C:$C")=B144)*(INDIRECT($R$1&amp;"!$G:$G")&lt;M144)*(INDIRECT($R$1&amp;"!$H:$H")&gt;=M144),INDIRECT($R$1&amp;"!$L:$L"))))</f>
        <v>69.5</v>
      </c>
      <c r="Q144" s="971" cm="1">
        <f ca="1" t="array" ref="Q144">(_xlfn.SINGLE(_xlfn.XLOOKUP(1,(INDIRECT($R$1&amp;"!$C:$C")=B144)*(INDIRECT($R$1&amp;"!$G:$G")&lt;N144)*(INDIRECT($R$1&amp;"!$H:$H")&gt;=N144),INDIRECT($R$1&amp;"!$K:$K"))))*N144+(_xlfn.SINGLE(_xlfn.XLOOKUP(1,(INDIRECT($R$1&amp;"!$C:$C")=B144)*(INDIRECT($R$1&amp;"!$G:$G")&lt;N144)*(INDIRECT($R$1&amp;"!$H:$H")&gt;=N144),INDIRECT($R$1&amp;"!$L:$L"))))</f>
        <v>94.25</v>
      </c>
      <c r="R144" s="955"/>
    </row>
    <row r="145" ht="17.25" spans="1:18">
      <c r="A145" s="963" t="s">
        <v>304</v>
      </c>
      <c r="B145" s="963" t="s">
        <v>305</v>
      </c>
      <c r="C145" s="964" t="e">
        <f ca="1" t="shared" si="134"/>
        <v>#N/A</v>
      </c>
      <c r="D145" s="964" t="e">
        <f ca="1" t="shared" si="135"/>
        <v>#N/A</v>
      </c>
      <c r="E145" s="964" t="e">
        <f ca="1" t="shared" si="136"/>
        <v>#N/A</v>
      </c>
      <c r="F145" s="965" t="e">
        <f ca="1" t="shared" ref="F145:H145" si="150">O145/$P$1</f>
        <v>#N/A</v>
      </c>
      <c r="G145" s="965" t="e">
        <f ca="1" t="shared" si="150"/>
        <v>#N/A</v>
      </c>
      <c r="H145" s="965" t="e">
        <f ca="1" t="shared" si="150"/>
        <v>#N/A</v>
      </c>
      <c r="I145" s="965">
        <f>(VLOOKUP($B$1,'Product Procurement Sheet'!B:I,8,0)*$L$1)/$P$1</f>
        <v>1.97183098591549</v>
      </c>
      <c r="J145" s="965">
        <f>(VLOOKUP($B$1,'Product Procurement Sheet'!B:I,8,0)*$M$1)/$P$1</f>
        <v>3.94366197183099</v>
      </c>
      <c r="K145" s="965">
        <f>(VLOOKUP($B$1,'Product Procurement Sheet'!B:I,8,0)*$N$1)/$P$1</f>
        <v>5.91549295774648</v>
      </c>
      <c r="L145" s="968">
        <f>VLOOKUP($B$1,'Product Procurement Sheet'!B:D,3,FALSE)*$L$1</f>
        <v>0.11</v>
      </c>
      <c r="M145" s="968">
        <f>VLOOKUP($B$1,'Product Procurement Sheet'!B:D,3,FALSE)*$M$1</f>
        <v>0.22</v>
      </c>
      <c r="N145" s="968">
        <f>VLOOKUP($B$1,'Product Procurement Sheet'!B:D,3,FALSE)*$N$1</f>
        <v>0.33</v>
      </c>
      <c r="O145" s="971" t="e" cm="1">
        <f ca="1" t="array" ref="O145">(_xlfn.SINGLE(_xlfn.XLOOKUP(1,(INDIRECT($R$1&amp;"!$C:$C")=B145)*(INDIRECT($R$1&amp;"!$G:$G")&lt;L145)*(INDIRECT($R$1&amp;"!$H:$H")&gt;=L145),INDIRECT($R$1&amp;"!$K:$K"))))*L145+(_xlfn.SINGLE(_xlfn.XLOOKUP(1,(INDIRECT($R$1&amp;"!$C:$C")=B145)*(INDIRECT($R$1&amp;"!$G:$G")&lt;L145)*(INDIRECT($R$1&amp;"!$H:$H")&gt;=L145),INDIRECT($R$1&amp;"!$L:$L"))))</f>
        <v>#N/A</v>
      </c>
      <c r="P145" s="971" t="e" cm="1">
        <f ca="1" t="array" ref="P145">(_xlfn.SINGLE(_xlfn.XLOOKUP(1,(INDIRECT($R$1&amp;"!$C:$C")=B145)*(INDIRECT($R$1&amp;"!$G:$G")&lt;M145)*(INDIRECT($R$1&amp;"!$H:$H")&gt;=M145),INDIRECT($R$1&amp;"!$K:$K"))))*M145+(_xlfn.SINGLE(_xlfn.XLOOKUP(1,(INDIRECT($R$1&amp;"!$C:$C")=B145)*(INDIRECT($R$1&amp;"!$G:$G")&lt;M145)*(INDIRECT($R$1&amp;"!$H:$H")&gt;=M145),INDIRECT($R$1&amp;"!$L:$L"))))</f>
        <v>#N/A</v>
      </c>
      <c r="Q145" s="971" t="e" cm="1">
        <f ca="1" t="array" ref="Q145">(_xlfn.SINGLE(_xlfn.XLOOKUP(1,(INDIRECT($R$1&amp;"!$C:$C")=B145)*(INDIRECT($R$1&amp;"!$G:$G")&lt;N145)*(INDIRECT($R$1&amp;"!$H:$H")&gt;=N145),INDIRECT($R$1&amp;"!$K:$K"))))*N145+(_xlfn.SINGLE(_xlfn.XLOOKUP(1,(INDIRECT($R$1&amp;"!$C:$C")=B145)*(INDIRECT($R$1&amp;"!$G:$G")&lt;N145)*(INDIRECT($R$1&amp;"!$H:$H")&gt;=N145),INDIRECT($R$1&amp;"!$L:$L"))))</f>
        <v>#N/A</v>
      </c>
      <c r="R145" s="955"/>
    </row>
    <row r="146" ht="17.25" spans="1:18">
      <c r="A146" s="963" t="s">
        <v>306</v>
      </c>
      <c r="B146" s="963" t="s">
        <v>307</v>
      </c>
      <c r="C146" s="964" t="e">
        <f ca="1" t="shared" si="134"/>
        <v>#N/A</v>
      </c>
      <c r="D146" s="964" t="e">
        <f ca="1" t="shared" si="135"/>
        <v>#N/A</v>
      </c>
      <c r="E146" s="964" t="e">
        <f ca="1" t="shared" si="136"/>
        <v>#N/A</v>
      </c>
      <c r="F146" s="965" t="e">
        <f ca="1" t="shared" ref="F146:H146" si="151">O146/$P$1</f>
        <v>#N/A</v>
      </c>
      <c r="G146" s="965" t="e">
        <f ca="1" t="shared" si="151"/>
        <v>#N/A</v>
      </c>
      <c r="H146" s="965" t="e">
        <f ca="1" t="shared" si="151"/>
        <v>#N/A</v>
      </c>
      <c r="I146" s="965">
        <f>(VLOOKUP($B$1,'Product Procurement Sheet'!B:I,8,0)*$L$1)/$P$1</f>
        <v>1.97183098591549</v>
      </c>
      <c r="J146" s="965">
        <f>(VLOOKUP($B$1,'Product Procurement Sheet'!B:I,8,0)*$M$1)/$P$1</f>
        <v>3.94366197183099</v>
      </c>
      <c r="K146" s="965">
        <f>(VLOOKUP($B$1,'Product Procurement Sheet'!B:I,8,0)*$N$1)/$P$1</f>
        <v>5.91549295774648</v>
      </c>
      <c r="L146" s="968">
        <f>VLOOKUP($B$1,'Product Procurement Sheet'!B:D,3,FALSE)*$L$1</f>
        <v>0.11</v>
      </c>
      <c r="M146" s="968">
        <f>VLOOKUP($B$1,'Product Procurement Sheet'!B:D,3,FALSE)*$M$1</f>
        <v>0.22</v>
      </c>
      <c r="N146" s="968">
        <f>VLOOKUP($B$1,'Product Procurement Sheet'!B:D,3,FALSE)*$N$1</f>
        <v>0.33</v>
      </c>
      <c r="O146" s="971" t="e" cm="1">
        <f ca="1" t="array" ref="O146">(_xlfn.SINGLE(_xlfn.XLOOKUP(1,(INDIRECT($R$1&amp;"!$C:$C")=B146)*(INDIRECT($R$1&amp;"!$G:$G")&lt;L146)*(INDIRECT($R$1&amp;"!$H:$H")&gt;=L146),INDIRECT($R$1&amp;"!$K:$K"))))*L146+(_xlfn.SINGLE(_xlfn.XLOOKUP(1,(INDIRECT($R$1&amp;"!$C:$C")=B146)*(INDIRECT($R$1&amp;"!$G:$G")&lt;L146)*(INDIRECT($R$1&amp;"!$H:$H")&gt;=L146),INDIRECT($R$1&amp;"!$L:$L"))))</f>
        <v>#N/A</v>
      </c>
      <c r="P146" s="971" t="e" cm="1">
        <f ca="1" t="array" ref="P146">(_xlfn.SINGLE(_xlfn.XLOOKUP(1,(INDIRECT($R$1&amp;"!$C:$C")=B146)*(INDIRECT($R$1&amp;"!$G:$G")&lt;M146)*(INDIRECT($R$1&amp;"!$H:$H")&gt;=M146),INDIRECT($R$1&amp;"!$K:$K"))))*M146+(_xlfn.SINGLE(_xlfn.XLOOKUP(1,(INDIRECT($R$1&amp;"!$C:$C")=B146)*(INDIRECT($R$1&amp;"!$G:$G")&lt;M146)*(INDIRECT($R$1&amp;"!$H:$H")&gt;=M146),INDIRECT($R$1&amp;"!$L:$L"))))</f>
        <v>#N/A</v>
      </c>
      <c r="Q146" s="971" t="e" cm="1">
        <f ca="1" t="array" ref="Q146">(_xlfn.SINGLE(_xlfn.XLOOKUP(1,(INDIRECT($R$1&amp;"!$C:$C")=B146)*(INDIRECT($R$1&amp;"!$G:$G")&lt;N146)*(INDIRECT($R$1&amp;"!$H:$H")&gt;=N146),INDIRECT($R$1&amp;"!$K:$K"))))*N146+(_xlfn.SINGLE(_xlfn.XLOOKUP(1,(INDIRECT($R$1&amp;"!$C:$C")=B146)*(INDIRECT($R$1&amp;"!$G:$G")&lt;N146)*(INDIRECT($R$1&amp;"!$H:$H")&gt;=N146),INDIRECT($R$1&amp;"!$L:$L"))))</f>
        <v>#N/A</v>
      </c>
      <c r="R146" s="955"/>
    </row>
    <row r="147" ht="17.25" spans="1:18">
      <c r="A147" s="963" t="s">
        <v>308</v>
      </c>
      <c r="B147" s="963" t="s">
        <v>309</v>
      </c>
      <c r="C147" s="964">
        <f ca="1" t="shared" si="134"/>
        <v>13.164014084507</v>
      </c>
      <c r="D147" s="964">
        <f ca="1" t="shared" si="135"/>
        <v>23.3139436619718</v>
      </c>
      <c r="E147" s="964">
        <f ca="1" t="shared" si="136"/>
        <v>33.4638732394366</v>
      </c>
      <c r="F147" s="965">
        <f ca="1" t="shared" ref="F147:H147" si="152">O147/$P$1</f>
        <v>10.330985915493</v>
      </c>
      <c r="G147" s="965">
        <f ca="1" t="shared" si="152"/>
        <v>17.8450704225352</v>
      </c>
      <c r="H147" s="965">
        <f ca="1" t="shared" si="152"/>
        <v>25.3591549295775</v>
      </c>
      <c r="I147" s="965">
        <f>(VLOOKUP($B$1,'Product Procurement Sheet'!B:I,8,0)*$L$1)/$P$1</f>
        <v>1.97183098591549</v>
      </c>
      <c r="J147" s="965">
        <f>(VLOOKUP($B$1,'Product Procurement Sheet'!B:I,8,0)*$M$1)/$P$1</f>
        <v>3.94366197183099</v>
      </c>
      <c r="K147" s="965">
        <f>(VLOOKUP($B$1,'Product Procurement Sheet'!B:I,8,0)*$N$1)/$P$1</f>
        <v>5.91549295774648</v>
      </c>
      <c r="L147" s="968">
        <f>VLOOKUP($B$1,'Product Procurement Sheet'!B:D,3,FALSE)*$L$1</f>
        <v>0.11</v>
      </c>
      <c r="M147" s="968">
        <f>VLOOKUP($B$1,'Product Procurement Sheet'!B:D,3,FALSE)*$M$1</f>
        <v>0.22</v>
      </c>
      <c r="N147" s="968">
        <f>VLOOKUP($B$1,'Product Procurement Sheet'!B:D,3,FALSE)*$N$1</f>
        <v>0.33</v>
      </c>
      <c r="O147" s="971" cm="1">
        <f ca="1" t="array" ref="O147">(_xlfn.SINGLE(_xlfn.XLOOKUP(1,(INDIRECT($R$1&amp;"!$C:$C")=B147)*(INDIRECT($R$1&amp;"!$G:$G")&lt;L147)*(INDIRECT($R$1&amp;"!$H:$H")&gt;=L147),INDIRECT($R$1&amp;"!$K:$K"))))*L147+(_xlfn.SINGLE(_xlfn.XLOOKUP(1,(INDIRECT($R$1&amp;"!$C:$C")=B147)*(INDIRECT($R$1&amp;"!$G:$G")&lt;L147)*(INDIRECT($R$1&amp;"!$H:$H")&gt;=L147),INDIRECT($R$1&amp;"!$L:$L"))))</f>
        <v>73.35</v>
      </c>
      <c r="P147" s="971" cm="1">
        <f ca="1" t="array" ref="P147">(_xlfn.SINGLE(_xlfn.XLOOKUP(1,(INDIRECT($R$1&amp;"!$C:$C")=B147)*(INDIRECT($R$1&amp;"!$G:$G")&lt;M147)*(INDIRECT($R$1&amp;"!$H:$H")&gt;=M147),INDIRECT($R$1&amp;"!$K:$K"))))*M147+(_xlfn.SINGLE(_xlfn.XLOOKUP(1,(INDIRECT($R$1&amp;"!$C:$C")=B147)*(INDIRECT($R$1&amp;"!$G:$G")&lt;M147)*(INDIRECT($R$1&amp;"!$H:$H")&gt;=M147),INDIRECT($R$1&amp;"!$L:$L"))))</f>
        <v>126.7</v>
      </c>
      <c r="Q147" s="971" cm="1">
        <f ca="1" t="array" ref="Q147">(_xlfn.SINGLE(_xlfn.XLOOKUP(1,(INDIRECT($R$1&amp;"!$C:$C")=B147)*(INDIRECT($R$1&amp;"!$G:$G")&lt;N147)*(INDIRECT($R$1&amp;"!$H:$H")&gt;=N147),INDIRECT($R$1&amp;"!$K:$K"))))*N147+(_xlfn.SINGLE(_xlfn.XLOOKUP(1,(INDIRECT($R$1&amp;"!$C:$C")=B147)*(INDIRECT($R$1&amp;"!$G:$G")&lt;N147)*(INDIRECT($R$1&amp;"!$H:$H")&gt;=N147),INDIRECT($R$1&amp;"!$L:$L"))))</f>
        <v>180.05</v>
      </c>
      <c r="R147" s="955"/>
    </row>
    <row r="148" ht="17.25" spans="1:18">
      <c r="A148" s="963" t="s">
        <v>310</v>
      </c>
      <c r="B148" s="963" t="s">
        <v>311</v>
      </c>
      <c r="C148" s="964">
        <f ca="1" t="shared" si="134"/>
        <v>8.025</v>
      </c>
      <c r="D148" s="964">
        <f ca="1" t="shared" si="135"/>
        <v>13.0359154929578</v>
      </c>
      <c r="E148" s="964">
        <f ca="1" t="shared" si="136"/>
        <v>18.0468309859155</v>
      </c>
      <c r="F148" s="965">
        <f ca="1" t="shared" ref="F148:H148" si="153">O148/$P$1</f>
        <v>5.52816901408451</v>
      </c>
      <c r="G148" s="965">
        <f ca="1" t="shared" si="153"/>
        <v>8.23943661971831</v>
      </c>
      <c r="H148" s="965">
        <f ca="1" t="shared" si="153"/>
        <v>10.9507042253521</v>
      </c>
      <c r="I148" s="965">
        <f>(VLOOKUP($B$1,'Product Procurement Sheet'!B:I,8,0)*$L$1)/$P$1</f>
        <v>1.97183098591549</v>
      </c>
      <c r="J148" s="965">
        <f>(VLOOKUP($B$1,'Product Procurement Sheet'!B:I,8,0)*$M$1)/$P$1</f>
        <v>3.94366197183099</v>
      </c>
      <c r="K148" s="965">
        <f>(VLOOKUP($B$1,'Product Procurement Sheet'!B:I,8,0)*$N$1)/$P$1</f>
        <v>5.91549295774648</v>
      </c>
      <c r="L148" s="968">
        <f>VLOOKUP($B$1,'Product Procurement Sheet'!B:D,3,FALSE)*$L$1</f>
        <v>0.11</v>
      </c>
      <c r="M148" s="968">
        <f>VLOOKUP($B$1,'Product Procurement Sheet'!B:D,3,FALSE)*$M$1</f>
        <v>0.22</v>
      </c>
      <c r="N148" s="968">
        <f>VLOOKUP($B$1,'Product Procurement Sheet'!B:D,3,FALSE)*$N$1</f>
        <v>0.33</v>
      </c>
      <c r="O148" s="971" cm="1">
        <f ca="1" t="array" ref="O148">(_xlfn.SINGLE(_xlfn.XLOOKUP(1,(INDIRECT($R$1&amp;"!$C:$C")=B148)*(INDIRECT($R$1&amp;"!$G:$G")&lt;L148)*(INDIRECT($R$1&amp;"!$H:$H")&gt;=L148),INDIRECT($R$1&amp;"!$K:$K"))))*L148+(_xlfn.SINGLE(_xlfn.XLOOKUP(1,(INDIRECT($R$1&amp;"!$C:$C")=B148)*(INDIRECT($R$1&amp;"!$G:$G")&lt;L148)*(INDIRECT($R$1&amp;"!$H:$H")&gt;=L148),INDIRECT($R$1&amp;"!$L:$L"))))</f>
        <v>39.25</v>
      </c>
      <c r="P148" s="971" cm="1">
        <f ca="1" t="array" ref="P148">(_xlfn.SINGLE(_xlfn.XLOOKUP(1,(INDIRECT($R$1&amp;"!$C:$C")=B148)*(INDIRECT($R$1&amp;"!$G:$G")&lt;M148)*(INDIRECT($R$1&amp;"!$H:$H")&gt;=M148),INDIRECT($R$1&amp;"!$K:$K"))))*M148+(_xlfn.SINGLE(_xlfn.XLOOKUP(1,(INDIRECT($R$1&amp;"!$C:$C")=B148)*(INDIRECT($R$1&amp;"!$G:$G")&lt;M148)*(INDIRECT($R$1&amp;"!$H:$H")&gt;=M148),INDIRECT($R$1&amp;"!$L:$L"))))</f>
        <v>58.5</v>
      </c>
      <c r="Q148" s="971" cm="1">
        <f ca="1" t="array" ref="Q148">(_xlfn.SINGLE(_xlfn.XLOOKUP(1,(INDIRECT($R$1&amp;"!$C:$C")=B148)*(INDIRECT($R$1&amp;"!$G:$G")&lt;N148)*(INDIRECT($R$1&amp;"!$H:$H")&gt;=N148),INDIRECT($R$1&amp;"!$K:$K"))))*N148+(_xlfn.SINGLE(_xlfn.XLOOKUP(1,(INDIRECT($R$1&amp;"!$C:$C")=B148)*(INDIRECT($R$1&amp;"!$G:$G")&lt;N148)*(INDIRECT($R$1&amp;"!$H:$H")&gt;=N148),INDIRECT($R$1&amp;"!$L:$L"))))</f>
        <v>77.75</v>
      </c>
      <c r="R148" s="955"/>
    </row>
    <row r="149" ht="17.25" spans="1:18">
      <c r="A149" s="963" t="s">
        <v>312</v>
      </c>
      <c r="B149" s="963" t="s">
        <v>313</v>
      </c>
      <c r="C149" s="964">
        <f ca="1" t="shared" si="134"/>
        <v>6.09598591549295</v>
      </c>
      <c r="D149" s="964">
        <f ca="1" t="shared" si="135"/>
        <v>9.78070422535212</v>
      </c>
      <c r="E149" s="964">
        <f ca="1" t="shared" si="136"/>
        <v>13.4654225352113</v>
      </c>
      <c r="F149" s="965">
        <f ca="1" t="shared" ref="F149:H149" si="154">O149/$P$1</f>
        <v>3.72535211267606</v>
      </c>
      <c r="G149" s="965">
        <f ca="1" t="shared" si="154"/>
        <v>5.19718309859155</v>
      </c>
      <c r="H149" s="965">
        <f ca="1" t="shared" si="154"/>
        <v>6.66901408450704</v>
      </c>
      <c r="I149" s="965">
        <f>(VLOOKUP($B$1,'Product Procurement Sheet'!B:I,8,0)*$L$1)/$P$1</f>
        <v>1.97183098591549</v>
      </c>
      <c r="J149" s="965">
        <f>(VLOOKUP($B$1,'Product Procurement Sheet'!B:I,8,0)*$M$1)/$P$1</f>
        <v>3.94366197183099</v>
      </c>
      <c r="K149" s="965">
        <f>(VLOOKUP($B$1,'Product Procurement Sheet'!B:I,8,0)*$N$1)/$P$1</f>
        <v>5.91549295774648</v>
      </c>
      <c r="L149" s="968">
        <f>VLOOKUP($B$1,'Product Procurement Sheet'!B:D,3,FALSE)*$L$1</f>
        <v>0.11</v>
      </c>
      <c r="M149" s="968">
        <f>VLOOKUP($B$1,'Product Procurement Sheet'!B:D,3,FALSE)*$M$1</f>
        <v>0.22</v>
      </c>
      <c r="N149" s="968">
        <f>VLOOKUP($B$1,'Product Procurement Sheet'!B:D,3,FALSE)*$N$1</f>
        <v>0.33</v>
      </c>
      <c r="O149" s="971" cm="1">
        <f ca="1" t="array" ref="O149">(_xlfn.SINGLE(_xlfn.XLOOKUP(1,(INDIRECT($R$1&amp;"!$C:$C")=B149)*(INDIRECT($R$1&amp;"!$G:$G")&lt;L149)*(INDIRECT($R$1&amp;"!$H:$H")&gt;=L149),INDIRECT($R$1&amp;"!$K:$K"))))*L149+(_xlfn.SINGLE(_xlfn.XLOOKUP(1,(INDIRECT($R$1&amp;"!$C:$C")=B149)*(INDIRECT($R$1&amp;"!$G:$G")&lt;L149)*(INDIRECT($R$1&amp;"!$H:$H")&gt;=L149),INDIRECT($R$1&amp;"!$L:$L"))))</f>
        <v>26.45</v>
      </c>
      <c r="P149" s="971" cm="1">
        <f ca="1" t="array" ref="P149">(_xlfn.SINGLE(_xlfn.XLOOKUP(1,(INDIRECT($R$1&amp;"!$C:$C")=B149)*(INDIRECT($R$1&amp;"!$G:$G")&lt;M149)*(INDIRECT($R$1&amp;"!$H:$H")&gt;=M149),INDIRECT($R$1&amp;"!$K:$K"))))*M149+(_xlfn.SINGLE(_xlfn.XLOOKUP(1,(INDIRECT($R$1&amp;"!$C:$C")=B149)*(INDIRECT($R$1&amp;"!$G:$G")&lt;M149)*(INDIRECT($R$1&amp;"!$H:$H")&gt;=M149),INDIRECT($R$1&amp;"!$L:$L"))))</f>
        <v>36.9</v>
      </c>
      <c r="Q149" s="971" cm="1">
        <f ca="1" t="array" ref="Q149">(_xlfn.SINGLE(_xlfn.XLOOKUP(1,(INDIRECT($R$1&amp;"!$C:$C")=B149)*(INDIRECT($R$1&amp;"!$G:$G")&lt;N149)*(INDIRECT($R$1&amp;"!$H:$H")&gt;=N149),INDIRECT($R$1&amp;"!$K:$K"))))*N149+(_xlfn.SINGLE(_xlfn.XLOOKUP(1,(INDIRECT($R$1&amp;"!$C:$C")=B149)*(INDIRECT($R$1&amp;"!$G:$G")&lt;N149)*(INDIRECT($R$1&amp;"!$H:$H")&gt;=N149),INDIRECT($R$1&amp;"!$L:$L"))))</f>
        <v>47.35</v>
      </c>
      <c r="R149" s="955"/>
    </row>
    <row r="150" ht="17.25" spans="1:18">
      <c r="A150" s="963" t="s">
        <v>314</v>
      </c>
      <c r="B150" s="963" t="s">
        <v>315</v>
      </c>
      <c r="C150" s="964">
        <f ca="1" t="shared" si="134"/>
        <v>6.41246478873239</v>
      </c>
      <c r="D150" s="964">
        <f ca="1" t="shared" si="135"/>
        <v>10.2629577464789</v>
      </c>
      <c r="E150" s="964">
        <f ca="1" t="shared" si="136"/>
        <v>14.1134507042254</v>
      </c>
      <c r="F150" s="965">
        <f ca="1" t="shared" ref="F150:H150" si="155">O150/$P$1</f>
        <v>4.02112676056338</v>
      </c>
      <c r="G150" s="965">
        <f ca="1" t="shared" si="155"/>
        <v>5.64788732394366</v>
      </c>
      <c r="H150" s="965">
        <f ca="1" t="shared" si="155"/>
        <v>7.27464788732394</v>
      </c>
      <c r="I150" s="965">
        <f>(VLOOKUP($B$1,'Product Procurement Sheet'!B:I,8,0)*$L$1)/$P$1</f>
        <v>1.97183098591549</v>
      </c>
      <c r="J150" s="965">
        <f>(VLOOKUP($B$1,'Product Procurement Sheet'!B:I,8,0)*$M$1)/$P$1</f>
        <v>3.94366197183099</v>
      </c>
      <c r="K150" s="965">
        <f>(VLOOKUP($B$1,'Product Procurement Sheet'!B:I,8,0)*$N$1)/$P$1</f>
        <v>5.91549295774648</v>
      </c>
      <c r="L150" s="968">
        <f>VLOOKUP($B$1,'Product Procurement Sheet'!B:D,3,FALSE)*$L$1</f>
        <v>0.11</v>
      </c>
      <c r="M150" s="968">
        <f>VLOOKUP($B$1,'Product Procurement Sheet'!B:D,3,FALSE)*$M$1</f>
        <v>0.22</v>
      </c>
      <c r="N150" s="968">
        <f>VLOOKUP($B$1,'Product Procurement Sheet'!B:D,3,FALSE)*$N$1</f>
        <v>0.33</v>
      </c>
      <c r="O150" s="971" cm="1">
        <f ca="1" t="array" ref="O150">(_xlfn.SINGLE(_xlfn.XLOOKUP(1,(INDIRECT($R$1&amp;"!$C:$C")=B150)*(INDIRECT($R$1&amp;"!$G:$G")&lt;L150)*(INDIRECT($R$1&amp;"!$H:$H")&gt;=L150),INDIRECT($R$1&amp;"!$K:$K"))))*L150+(_xlfn.SINGLE(_xlfn.XLOOKUP(1,(INDIRECT($R$1&amp;"!$C:$C")=B150)*(INDIRECT($R$1&amp;"!$G:$G")&lt;L150)*(INDIRECT($R$1&amp;"!$H:$H")&gt;=L150),INDIRECT($R$1&amp;"!$L:$L"))))</f>
        <v>28.55</v>
      </c>
      <c r="P150" s="971" cm="1">
        <f ca="1" t="array" ref="P150">(_xlfn.SINGLE(_xlfn.XLOOKUP(1,(INDIRECT($R$1&amp;"!$C:$C")=B150)*(INDIRECT($R$1&amp;"!$G:$G")&lt;M150)*(INDIRECT($R$1&amp;"!$H:$H")&gt;=M150),INDIRECT($R$1&amp;"!$K:$K"))))*M150+(_xlfn.SINGLE(_xlfn.XLOOKUP(1,(INDIRECT($R$1&amp;"!$C:$C")=B150)*(INDIRECT($R$1&amp;"!$G:$G")&lt;M150)*(INDIRECT($R$1&amp;"!$H:$H")&gt;=M150),INDIRECT($R$1&amp;"!$L:$L"))))</f>
        <v>40.1</v>
      </c>
      <c r="Q150" s="971" cm="1">
        <f ca="1" t="array" ref="Q150">(_xlfn.SINGLE(_xlfn.XLOOKUP(1,(INDIRECT($R$1&amp;"!$C:$C")=B150)*(INDIRECT($R$1&amp;"!$G:$G")&lt;N150)*(INDIRECT($R$1&amp;"!$H:$H")&gt;=N150),INDIRECT($R$1&amp;"!$K:$K"))))*N150+(_xlfn.SINGLE(_xlfn.XLOOKUP(1,(INDIRECT($R$1&amp;"!$C:$C")=B150)*(INDIRECT($R$1&amp;"!$G:$G")&lt;N150)*(INDIRECT($R$1&amp;"!$H:$H")&gt;=N150),INDIRECT($R$1&amp;"!$L:$L"))))</f>
        <v>51.65</v>
      </c>
      <c r="R150" s="955"/>
    </row>
    <row r="151" ht="17.25" spans="1:18">
      <c r="A151" s="963" t="s">
        <v>316</v>
      </c>
      <c r="B151" s="963" t="s">
        <v>317</v>
      </c>
      <c r="C151" s="964">
        <f ca="1" t="shared" si="134"/>
        <v>7.60302816901408</v>
      </c>
      <c r="D151" s="964">
        <f ca="1" t="shared" si="135"/>
        <v>12.9454929577465</v>
      </c>
      <c r="E151" s="964">
        <f ca="1" t="shared" si="136"/>
        <v>18.2879577464789</v>
      </c>
      <c r="F151" s="965">
        <f ca="1" t="shared" ref="F151:H151" si="156">O151/$P$1</f>
        <v>5.13380281690141</v>
      </c>
      <c r="G151" s="965">
        <f ca="1" t="shared" si="156"/>
        <v>8.15492957746479</v>
      </c>
      <c r="H151" s="965">
        <f ca="1" t="shared" si="156"/>
        <v>11.1760563380282</v>
      </c>
      <c r="I151" s="965">
        <f>(VLOOKUP($B$1,'Product Procurement Sheet'!B:I,8,0)*$L$1)/$P$1</f>
        <v>1.97183098591549</v>
      </c>
      <c r="J151" s="965">
        <f>(VLOOKUP($B$1,'Product Procurement Sheet'!B:I,8,0)*$M$1)/$P$1</f>
        <v>3.94366197183099</v>
      </c>
      <c r="K151" s="965">
        <f>(VLOOKUP($B$1,'Product Procurement Sheet'!B:I,8,0)*$N$1)/$P$1</f>
        <v>5.91549295774648</v>
      </c>
      <c r="L151" s="968">
        <f>VLOOKUP($B$1,'Product Procurement Sheet'!B:D,3,FALSE)*$L$1</f>
        <v>0.11</v>
      </c>
      <c r="M151" s="968">
        <f>VLOOKUP($B$1,'Product Procurement Sheet'!B:D,3,FALSE)*$M$1</f>
        <v>0.22</v>
      </c>
      <c r="N151" s="968">
        <f>VLOOKUP($B$1,'Product Procurement Sheet'!B:D,3,FALSE)*$N$1</f>
        <v>0.33</v>
      </c>
      <c r="O151" s="971" cm="1">
        <f ca="1" t="array" ref="O151">(_xlfn.SINGLE(_xlfn.XLOOKUP(1,(INDIRECT($R$1&amp;"!$C:$C")=B151)*(INDIRECT($R$1&amp;"!$G:$G")&lt;L151)*(INDIRECT($R$1&amp;"!$H:$H")&gt;=L151),INDIRECT($R$1&amp;"!$K:$K"))))*L151+(_xlfn.SINGLE(_xlfn.XLOOKUP(1,(INDIRECT($R$1&amp;"!$C:$C")=B151)*(INDIRECT($R$1&amp;"!$G:$G")&lt;L151)*(INDIRECT($R$1&amp;"!$H:$H")&gt;=L151),INDIRECT($R$1&amp;"!$L:$L"))))</f>
        <v>36.45</v>
      </c>
      <c r="P151" s="971" cm="1">
        <f ca="1" t="array" ref="P151">(_xlfn.SINGLE(_xlfn.XLOOKUP(1,(INDIRECT($R$1&amp;"!$C:$C")=B151)*(INDIRECT($R$1&amp;"!$G:$G")&lt;M151)*(INDIRECT($R$1&amp;"!$H:$H")&gt;=M151),INDIRECT($R$1&amp;"!$K:$K"))))*M151+(_xlfn.SINGLE(_xlfn.XLOOKUP(1,(INDIRECT($R$1&amp;"!$C:$C")=B151)*(INDIRECT($R$1&amp;"!$G:$G")&lt;M151)*(INDIRECT($R$1&amp;"!$H:$H")&gt;=M151),INDIRECT($R$1&amp;"!$L:$L"))))</f>
        <v>57.9</v>
      </c>
      <c r="Q151" s="971" cm="1">
        <f ca="1" t="array" ref="Q151">(_xlfn.SINGLE(_xlfn.XLOOKUP(1,(INDIRECT($R$1&amp;"!$C:$C")=B151)*(INDIRECT($R$1&amp;"!$G:$G")&lt;N151)*(INDIRECT($R$1&amp;"!$H:$H")&gt;=N151),INDIRECT($R$1&amp;"!$K:$K"))))*N151+(_xlfn.SINGLE(_xlfn.XLOOKUP(1,(INDIRECT($R$1&amp;"!$C:$C")=B151)*(INDIRECT($R$1&amp;"!$G:$G")&lt;N151)*(INDIRECT($R$1&amp;"!$H:$H")&gt;=N151),INDIRECT($R$1&amp;"!$L:$L"))))</f>
        <v>79.35</v>
      </c>
      <c r="R151" s="955"/>
    </row>
    <row r="152" ht="17.25" spans="1:18">
      <c r="A152" s="963" t="s">
        <v>318</v>
      </c>
      <c r="B152" s="963" t="s">
        <v>319</v>
      </c>
      <c r="C152" s="964">
        <f ca="1" t="shared" si="134"/>
        <v>9.01964788732394</v>
      </c>
      <c r="D152" s="964">
        <f ca="1" t="shared" si="135"/>
        <v>15.0252112676056</v>
      </c>
      <c r="E152" s="964">
        <f ca="1" t="shared" si="136"/>
        <v>21.0307746478873</v>
      </c>
      <c r="F152" s="965">
        <f ca="1" t="shared" ref="F152:H152" si="157">O152/$P$1</f>
        <v>6.45774647887324</v>
      </c>
      <c r="G152" s="965">
        <f ca="1" t="shared" si="157"/>
        <v>10.0985915492958</v>
      </c>
      <c r="H152" s="965">
        <f ca="1" t="shared" si="157"/>
        <v>13.7394366197183</v>
      </c>
      <c r="I152" s="965">
        <f>(VLOOKUP($B$1,'Product Procurement Sheet'!B:I,8,0)*$L$1)/$P$1</f>
        <v>1.97183098591549</v>
      </c>
      <c r="J152" s="965">
        <f>(VLOOKUP($B$1,'Product Procurement Sheet'!B:I,8,0)*$M$1)/$P$1</f>
        <v>3.94366197183099</v>
      </c>
      <c r="K152" s="965">
        <f>(VLOOKUP($B$1,'Product Procurement Sheet'!B:I,8,0)*$N$1)/$P$1</f>
        <v>5.91549295774648</v>
      </c>
      <c r="L152" s="968">
        <f>VLOOKUP($B$1,'Product Procurement Sheet'!B:D,3,FALSE)*$L$1</f>
        <v>0.11</v>
      </c>
      <c r="M152" s="968">
        <f>VLOOKUP($B$1,'Product Procurement Sheet'!B:D,3,FALSE)*$M$1</f>
        <v>0.22</v>
      </c>
      <c r="N152" s="968">
        <f>VLOOKUP($B$1,'Product Procurement Sheet'!B:D,3,FALSE)*$N$1</f>
        <v>0.33</v>
      </c>
      <c r="O152" s="971" cm="1">
        <f ca="1" t="array" ref="O152">(_xlfn.SINGLE(_xlfn.XLOOKUP(1,(INDIRECT($R$1&amp;"!$C:$C")=B152)*(INDIRECT($R$1&amp;"!$G:$G")&lt;L152)*(INDIRECT($R$1&amp;"!$H:$H")&gt;=L152),INDIRECT($R$1&amp;"!$K:$K"))))*L152+(_xlfn.SINGLE(_xlfn.XLOOKUP(1,(INDIRECT($R$1&amp;"!$C:$C")=B152)*(INDIRECT($R$1&amp;"!$G:$G")&lt;L152)*(INDIRECT($R$1&amp;"!$H:$H")&gt;=L152),INDIRECT($R$1&amp;"!$L:$L"))))</f>
        <v>45.85</v>
      </c>
      <c r="P152" s="971" cm="1">
        <f ca="1" t="array" ref="P152">(_xlfn.SINGLE(_xlfn.XLOOKUP(1,(INDIRECT($R$1&amp;"!$C:$C")=B152)*(INDIRECT($R$1&amp;"!$G:$G")&lt;M152)*(INDIRECT($R$1&amp;"!$H:$H")&gt;=M152),INDIRECT($R$1&amp;"!$K:$K"))))*M152+(_xlfn.SINGLE(_xlfn.XLOOKUP(1,(INDIRECT($R$1&amp;"!$C:$C")=B152)*(INDIRECT($R$1&amp;"!$G:$G")&lt;M152)*(INDIRECT($R$1&amp;"!$H:$H")&gt;=M152),INDIRECT($R$1&amp;"!$L:$L"))))</f>
        <v>71.7</v>
      </c>
      <c r="Q152" s="971" cm="1">
        <f ca="1" t="array" ref="Q152">(_xlfn.SINGLE(_xlfn.XLOOKUP(1,(INDIRECT($R$1&amp;"!$C:$C")=B152)*(INDIRECT($R$1&amp;"!$G:$G")&lt;N152)*(INDIRECT($R$1&amp;"!$H:$H")&gt;=N152),INDIRECT($R$1&amp;"!$K:$K"))))*N152+(_xlfn.SINGLE(_xlfn.XLOOKUP(1,(INDIRECT($R$1&amp;"!$C:$C")=B152)*(INDIRECT($R$1&amp;"!$G:$G")&lt;N152)*(INDIRECT($R$1&amp;"!$H:$H")&gt;=N152),INDIRECT($R$1&amp;"!$L:$L"))))</f>
        <v>97.55</v>
      </c>
      <c r="R152" s="955"/>
    </row>
    <row r="153" ht="17.25" spans="1:18">
      <c r="A153" s="963" t="s">
        <v>320</v>
      </c>
      <c r="B153" s="963" t="s">
        <v>321</v>
      </c>
      <c r="C153" s="964" t="e">
        <f ca="1" t="shared" si="134"/>
        <v>#N/A</v>
      </c>
      <c r="D153" s="964" t="e">
        <f ca="1" t="shared" si="135"/>
        <v>#N/A</v>
      </c>
      <c r="E153" s="964" t="e">
        <f ca="1" t="shared" si="136"/>
        <v>#N/A</v>
      </c>
      <c r="F153" s="965" t="e">
        <f ca="1" t="shared" ref="F153:H153" si="158">O153/$P$1</f>
        <v>#N/A</v>
      </c>
      <c r="G153" s="965" t="e">
        <f ca="1" t="shared" si="158"/>
        <v>#N/A</v>
      </c>
      <c r="H153" s="965" t="e">
        <f ca="1" t="shared" si="158"/>
        <v>#N/A</v>
      </c>
      <c r="I153" s="965">
        <f>(VLOOKUP($B$1,'Product Procurement Sheet'!B:I,8,0)*$L$1)/$P$1</f>
        <v>1.97183098591549</v>
      </c>
      <c r="J153" s="965">
        <f>(VLOOKUP($B$1,'Product Procurement Sheet'!B:I,8,0)*$M$1)/$P$1</f>
        <v>3.94366197183099</v>
      </c>
      <c r="K153" s="965">
        <f>(VLOOKUP($B$1,'Product Procurement Sheet'!B:I,8,0)*$N$1)/$P$1</f>
        <v>5.91549295774648</v>
      </c>
      <c r="L153" s="968">
        <f>VLOOKUP($B$1,'Product Procurement Sheet'!B:D,3,FALSE)*$L$1</f>
        <v>0.11</v>
      </c>
      <c r="M153" s="968">
        <f>VLOOKUP($B$1,'Product Procurement Sheet'!B:D,3,FALSE)*$M$1</f>
        <v>0.22</v>
      </c>
      <c r="N153" s="968">
        <f>VLOOKUP($B$1,'Product Procurement Sheet'!B:D,3,FALSE)*$N$1</f>
        <v>0.33</v>
      </c>
      <c r="O153" s="971" t="e" cm="1">
        <f ca="1" t="array" ref="O153">(_xlfn.SINGLE(_xlfn.XLOOKUP(1,(INDIRECT($R$1&amp;"!$C:$C")=B153)*(INDIRECT($R$1&amp;"!$G:$G")&lt;L153)*(INDIRECT($R$1&amp;"!$H:$H")&gt;=L153),INDIRECT($R$1&amp;"!$K:$K"))))*L153+(_xlfn.SINGLE(_xlfn.XLOOKUP(1,(INDIRECT($R$1&amp;"!$C:$C")=B153)*(INDIRECT($R$1&amp;"!$G:$G")&lt;L153)*(INDIRECT($R$1&amp;"!$H:$H")&gt;=L153),INDIRECT($R$1&amp;"!$L:$L"))))</f>
        <v>#N/A</v>
      </c>
      <c r="P153" s="971" t="e" cm="1">
        <f ca="1" t="array" ref="P153">(_xlfn.SINGLE(_xlfn.XLOOKUP(1,(INDIRECT($R$1&amp;"!$C:$C")=B153)*(INDIRECT($R$1&amp;"!$G:$G")&lt;M153)*(INDIRECT($R$1&amp;"!$H:$H")&gt;=M153),INDIRECT($R$1&amp;"!$K:$K"))))*M153+(_xlfn.SINGLE(_xlfn.XLOOKUP(1,(INDIRECT($R$1&amp;"!$C:$C")=B153)*(INDIRECT($R$1&amp;"!$G:$G")&lt;M153)*(INDIRECT($R$1&amp;"!$H:$H")&gt;=M153),INDIRECT($R$1&amp;"!$L:$L"))))</f>
        <v>#N/A</v>
      </c>
      <c r="Q153" s="971" t="e" cm="1">
        <f ca="1" t="array" ref="Q153">(_xlfn.SINGLE(_xlfn.XLOOKUP(1,(INDIRECT($R$1&amp;"!$C:$C")=B153)*(INDIRECT($R$1&amp;"!$G:$G")&lt;N153)*(INDIRECT($R$1&amp;"!$H:$H")&gt;=N153),INDIRECT($R$1&amp;"!$K:$K"))))*N153+(_xlfn.SINGLE(_xlfn.XLOOKUP(1,(INDIRECT($R$1&amp;"!$C:$C")=B153)*(INDIRECT($R$1&amp;"!$G:$G")&lt;N153)*(INDIRECT($R$1&amp;"!$H:$H")&gt;=N153),INDIRECT($R$1&amp;"!$L:$L"))))</f>
        <v>#N/A</v>
      </c>
      <c r="R153" s="955"/>
    </row>
    <row r="154" ht="17.25" spans="1:18">
      <c r="A154" s="963" t="s">
        <v>322</v>
      </c>
      <c r="B154" s="963" t="s">
        <v>323</v>
      </c>
      <c r="C154" s="964">
        <f ca="1" t="shared" si="134"/>
        <v>11.2500704225352</v>
      </c>
      <c r="D154" s="964">
        <f ca="1" t="shared" si="135"/>
        <v>16.9240845070423</v>
      </c>
      <c r="E154" s="964">
        <f ca="1" t="shared" si="136"/>
        <v>22.5980985915493</v>
      </c>
      <c r="F154" s="965">
        <f ca="1" t="shared" ref="F154:H154" si="159">O154/$P$1</f>
        <v>8.54225352112676</v>
      </c>
      <c r="G154" s="965">
        <f ca="1" t="shared" si="159"/>
        <v>11.8732394366197</v>
      </c>
      <c r="H154" s="965">
        <f ca="1" t="shared" si="159"/>
        <v>15.2042253521127</v>
      </c>
      <c r="I154" s="965">
        <f>(VLOOKUP($B$1,'Product Procurement Sheet'!B:I,8,0)*$L$1)/$P$1</f>
        <v>1.97183098591549</v>
      </c>
      <c r="J154" s="965">
        <f>(VLOOKUP($B$1,'Product Procurement Sheet'!B:I,8,0)*$M$1)/$P$1</f>
        <v>3.94366197183099</v>
      </c>
      <c r="K154" s="965">
        <f>(VLOOKUP($B$1,'Product Procurement Sheet'!B:I,8,0)*$N$1)/$P$1</f>
        <v>5.91549295774648</v>
      </c>
      <c r="L154" s="968">
        <f>VLOOKUP($B$1,'Product Procurement Sheet'!B:D,3,FALSE)*$L$1</f>
        <v>0.11</v>
      </c>
      <c r="M154" s="968">
        <f>VLOOKUP($B$1,'Product Procurement Sheet'!B:D,3,FALSE)*$M$1</f>
        <v>0.22</v>
      </c>
      <c r="N154" s="968">
        <f>VLOOKUP($B$1,'Product Procurement Sheet'!B:D,3,FALSE)*$N$1</f>
        <v>0.33</v>
      </c>
      <c r="O154" s="971" cm="1">
        <f ca="1" t="array" ref="O154">(_xlfn.SINGLE(_xlfn.XLOOKUP(1,(INDIRECT($R$1&amp;"!$C:$C")=B154)*(INDIRECT($R$1&amp;"!$G:$G")&lt;L154)*(INDIRECT($R$1&amp;"!$H:$H")&gt;=L154),INDIRECT($R$1&amp;"!$K:$K"))))*L154+(_xlfn.SINGLE(_xlfn.XLOOKUP(1,(INDIRECT($R$1&amp;"!$C:$C")=B154)*(INDIRECT($R$1&amp;"!$G:$G")&lt;L154)*(INDIRECT($R$1&amp;"!$H:$H")&gt;=L154),INDIRECT($R$1&amp;"!$L:$L"))))</f>
        <v>60.65</v>
      </c>
      <c r="P154" s="971" cm="1">
        <f ca="1" t="array" ref="P154">(_xlfn.SINGLE(_xlfn.XLOOKUP(1,(INDIRECT($R$1&amp;"!$C:$C")=B154)*(INDIRECT($R$1&amp;"!$G:$G")&lt;M154)*(INDIRECT($R$1&amp;"!$H:$H")&gt;=M154),INDIRECT($R$1&amp;"!$K:$K"))))*M154+(_xlfn.SINGLE(_xlfn.XLOOKUP(1,(INDIRECT($R$1&amp;"!$C:$C")=B154)*(INDIRECT($R$1&amp;"!$G:$G")&lt;M154)*(INDIRECT($R$1&amp;"!$H:$H")&gt;=M154),INDIRECT($R$1&amp;"!$L:$L"))))</f>
        <v>84.3</v>
      </c>
      <c r="Q154" s="971" cm="1">
        <f ca="1" t="array" ref="Q154">(_xlfn.SINGLE(_xlfn.XLOOKUP(1,(INDIRECT($R$1&amp;"!$C:$C")=B154)*(INDIRECT($R$1&amp;"!$G:$G")&lt;N154)*(INDIRECT($R$1&amp;"!$H:$H")&gt;=N154),INDIRECT($R$1&amp;"!$K:$K"))))*N154+(_xlfn.SINGLE(_xlfn.XLOOKUP(1,(INDIRECT($R$1&amp;"!$C:$C")=B154)*(INDIRECT($R$1&amp;"!$G:$G")&lt;N154)*(INDIRECT($R$1&amp;"!$H:$H")&gt;=N154),INDIRECT($R$1&amp;"!$L:$L"))))</f>
        <v>107.95</v>
      </c>
      <c r="R154" s="955"/>
    </row>
    <row r="155" ht="17.25" spans="1:18">
      <c r="A155" s="963" t="s">
        <v>324</v>
      </c>
      <c r="B155" s="963" t="s">
        <v>325</v>
      </c>
      <c r="C155" s="964">
        <f ca="1" t="shared" si="134"/>
        <v>8.025</v>
      </c>
      <c r="D155" s="964">
        <f ca="1" t="shared" si="135"/>
        <v>13.0359154929578</v>
      </c>
      <c r="E155" s="964">
        <f ca="1" t="shared" si="136"/>
        <v>18.0468309859155</v>
      </c>
      <c r="F155" s="965">
        <f ca="1" t="shared" ref="F155:H155" si="160">O155/$P$1</f>
        <v>5.52816901408451</v>
      </c>
      <c r="G155" s="965">
        <f ca="1" t="shared" si="160"/>
        <v>8.23943661971831</v>
      </c>
      <c r="H155" s="965">
        <f ca="1" t="shared" si="160"/>
        <v>10.9507042253521</v>
      </c>
      <c r="I155" s="965">
        <f>(VLOOKUP($B$1,'Product Procurement Sheet'!B:I,8,0)*$L$1)/$P$1</f>
        <v>1.97183098591549</v>
      </c>
      <c r="J155" s="965">
        <f>(VLOOKUP($B$1,'Product Procurement Sheet'!B:I,8,0)*$M$1)/$P$1</f>
        <v>3.94366197183099</v>
      </c>
      <c r="K155" s="965">
        <f>(VLOOKUP($B$1,'Product Procurement Sheet'!B:I,8,0)*$N$1)/$P$1</f>
        <v>5.91549295774648</v>
      </c>
      <c r="L155" s="968">
        <f>VLOOKUP($B$1,'Product Procurement Sheet'!B:D,3,FALSE)*$L$1</f>
        <v>0.11</v>
      </c>
      <c r="M155" s="968">
        <f>VLOOKUP($B$1,'Product Procurement Sheet'!B:D,3,FALSE)*$M$1</f>
        <v>0.22</v>
      </c>
      <c r="N155" s="968">
        <f>VLOOKUP($B$1,'Product Procurement Sheet'!B:D,3,FALSE)*$N$1</f>
        <v>0.33</v>
      </c>
      <c r="O155" s="971" cm="1">
        <f ca="1" t="array" ref="O155">(_xlfn.SINGLE(_xlfn.XLOOKUP(1,(INDIRECT($R$1&amp;"!$C:$C")=B155)*(INDIRECT($R$1&amp;"!$G:$G")&lt;L155)*(INDIRECT($R$1&amp;"!$H:$H")&gt;=L155),INDIRECT($R$1&amp;"!$K:$K"))))*L155+(_xlfn.SINGLE(_xlfn.XLOOKUP(1,(INDIRECT($R$1&amp;"!$C:$C")=B155)*(INDIRECT($R$1&amp;"!$G:$G")&lt;L155)*(INDIRECT($R$1&amp;"!$H:$H")&gt;=L155),INDIRECT($R$1&amp;"!$L:$L"))))</f>
        <v>39.25</v>
      </c>
      <c r="P155" s="971" cm="1">
        <f ca="1" t="array" ref="P155">(_xlfn.SINGLE(_xlfn.XLOOKUP(1,(INDIRECT($R$1&amp;"!$C:$C")=B155)*(INDIRECT($R$1&amp;"!$G:$G")&lt;M155)*(INDIRECT($R$1&amp;"!$H:$H")&gt;=M155),INDIRECT($R$1&amp;"!$K:$K"))))*M155+(_xlfn.SINGLE(_xlfn.XLOOKUP(1,(INDIRECT($R$1&amp;"!$C:$C")=B155)*(INDIRECT($R$1&amp;"!$G:$G")&lt;M155)*(INDIRECT($R$1&amp;"!$H:$H")&gt;=M155),INDIRECT($R$1&amp;"!$L:$L"))))</f>
        <v>58.5</v>
      </c>
      <c r="Q155" s="971" cm="1">
        <f ca="1" t="array" ref="Q155">(_xlfn.SINGLE(_xlfn.XLOOKUP(1,(INDIRECT($R$1&amp;"!$C:$C")=B155)*(INDIRECT($R$1&amp;"!$G:$G")&lt;N155)*(INDIRECT($R$1&amp;"!$H:$H")&gt;=N155),INDIRECT($R$1&amp;"!$K:$K"))))*N155+(_xlfn.SINGLE(_xlfn.XLOOKUP(1,(INDIRECT($R$1&amp;"!$C:$C")=B155)*(INDIRECT($R$1&amp;"!$G:$G")&lt;N155)*(INDIRECT($R$1&amp;"!$H:$H")&gt;=N155),INDIRECT($R$1&amp;"!$L:$L"))))</f>
        <v>77.75</v>
      </c>
      <c r="R155" s="955"/>
    </row>
    <row r="156" ht="17.25" spans="1:18">
      <c r="A156" s="963" t="s">
        <v>326</v>
      </c>
      <c r="B156" s="963" t="s">
        <v>327</v>
      </c>
      <c r="C156" s="964">
        <f ca="1" t="shared" si="134"/>
        <v>8.025</v>
      </c>
      <c r="D156" s="964">
        <f ca="1" t="shared" si="135"/>
        <v>13.0359154929578</v>
      </c>
      <c r="E156" s="964">
        <f ca="1" t="shared" si="136"/>
        <v>18.0468309859155</v>
      </c>
      <c r="F156" s="965">
        <f ca="1" t="shared" ref="F156:H156" si="161">O156/$P$1</f>
        <v>5.52816901408451</v>
      </c>
      <c r="G156" s="965">
        <f ca="1" t="shared" si="161"/>
        <v>8.23943661971831</v>
      </c>
      <c r="H156" s="965">
        <f ca="1" t="shared" si="161"/>
        <v>10.9507042253521</v>
      </c>
      <c r="I156" s="965">
        <f>(VLOOKUP($B$1,'Product Procurement Sheet'!B:I,8,0)*$L$1)/$P$1</f>
        <v>1.97183098591549</v>
      </c>
      <c r="J156" s="965">
        <f>(VLOOKUP($B$1,'Product Procurement Sheet'!B:I,8,0)*$M$1)/$P$1</f>
        <v>3.94366197183099</v>
      </c>
      <c r="K156" s="965">
        <f>(VLOOKUP($B$1,'Product Procurement Sheet'!B:I,8,0)*$N$1)/$P$1</f>
        <v>5.91549295774648</v>
      </c>
      <c r="L156" s="968">
        <f>VLOOKUP($B$1,'Product Procurement Sheet'!B:D,3,FALSE)*$L$1</f>
        <v>0.11</v>
      </c>
      <c r="M156" s="968">
        <f>VLOOKUP($B$1,'Product Procurement Sheet'!B:D,3,FALSE)*$M$1</f>
        <v>0.22</v>
      </c>
      <c r="N156" s="968">
        <f>VLOOKUP($B$1,'Product Procurement Sheet'!B:D,3,FALSE)*$N$1</f>
        <v>0.33</v>
      </c>
      <c r="O156" s="971" cm="1">
        <f ca="1" t="array" ref="O156">(_xlfn.SINGLE(_xlfn.XLOOKUP(1,(INDIRECT($R$1&amp;"!$C:$C")=B156)*(INDIRECT($R$1&amp;"!$G:$G")&lt;L156)*(INDIRECT($R$1&amp;"!$H:$H")&gt;=L156),INDIRECT($R$1&amp;"!$K:$K"))))*L156+(_xlfn.SINGLE(_xlfn.XLOOKUP(1,(INDIRECT($R$1&amp;"!$C:$C")=B156)*(INDIRECT($R$1&amp;"!$G:$G")&lt;L156)*(INDIRECT($R$1&amp;"!$H:$H")&gt;=L156),INDIRECT($R$1&amp;"!$L:$L"))))</f>
        <v>39.25</v>
      </c>
      <c r="P156" s="971" cm="1">
        <f ca="1" t="array" ref="P156">(_xlfn.SINGLE(_xlfn.XLOOKUP(1,(INDIRECT($R$1&amp;"!$C:$C")=B156)*(INDIRECT($R$1&amp;"!$G:$G")&lt;M156)*(INDIRECT($R$1&amp;"!$H:$H")&gt;=M156),INDIRECT($R$1&amp;"!$K:$K"))))*M156+(_xlfn.SINGLE(_xlfn.XLOOKUP(1,(INDIRECT($R$1&amp;"!$C:$C")=B156)*(INDIRECT($R$1&amp;"!$G:$G")&lt;M156)*(INDIRECT($R$1&amp;"!$H:$H")&gt;=M156),INDIRECT($R$1&amp;"!$L:$L"))))</f>
        <v>58.5</v>
      </c>
      <c r="Q156" s="971" cm="1">
        <f ca="1" t="array" ref="Q156">(_xlfn.SINGLE(_xlfn.XLOOKUP(1,(INDIRECT($R$1&amp;"!$C:$C")=B156)*(INDIRECT($R$1&amp;"!$G:$G")&lt;N156)*(INDIRECT($R$1&amp;"!$H:$H")&gt;=N156),INDIRECT($R$1&amp;"!$K:$K"))))*N156+(_xlfn.SINGLE(_xlfn.XLOOKUP(1,(INDIRECT($R$1&amp;"!$C:$C")=B156)*(INDIRECT($R$1&amp;"!$G:$G")&lt;N156)*(INDIRECT($R$1&amp;"!$H:$H")&gt;=N156),INDIRECT($R$1&amp;"!$L:$L"))))</f>
        <v>77.75</v>
      </c>
      <c r="R156" s="955"/>
    </row>
    <row r="157" ht="17.25" spans="1:18">
      <c r="A157" s="963" t="s">
        <v>328</v>
      </c>
      <c r="B157" s="963" t="s">
        <v>329</v>
      </c>
      <c r="C157" s="964">
        <f ca="1" t="shared" si="134"/>
        <v>8.85387323943662</v>
      </c>
      <c r="D157" s="964">
        <f ca="1" t="shared" si="135"/>
        <v>14.693661971831</v>
      </c>
      <c r="E157" s="964">
        <f ca="1" t="shared" si="136"/>
        <v>20.5334507042254</v>
      </c>
      <c r="F157" s="965">
        <f ca="1" t="shared" ref="F157:H157" si="162">O157/$P$1</f>
        <v>6.30281690140845</v>
      </c>
      <c r="G157" s="965">
        <f ca="1" t="shared" si="162"/>
        <v>9.7887323943662</v>
      </c>
      <c r="H157" s="965">
        <f ca="1" t="shared" si="162"/>
        <v>13.2746478873239</v>
      </c>
      <c r="I157" s="965">
        <f>(VLOOKUP($B$1,'Product Procurement Sheet'!B:I,8,0)*$L$1)/$P$1</f>
        <v>1.97183098591549</v>
      </c>
      <c r="J157" s="965">
        <f>(VLOOKUP($B$1,'Product Procurement Sheet'!B:I,8,0)*$M$1)/$P$1</f>
        <v>3.94366197183099</v>
      </c>
      <c r="K157" s="965">
        <f>(VLOOKUP($B$1,'Product Procurement Sheet'!B:I,8,0)*$N$1)/$P$1</f>
        <v>5.91549295774648</v>
      </c>
      <c r="L157" s="968">
        <f>VLOOKUP($B$1,'Product Procurement Sheet'!B:D,3,FALSE)*$L$1</f>
        <v>0.11</v>
      </c>
      <c r="M157" s="968">
        <f>VLOOKUP($B$1,'Product Procurement Sheet'!B:D,3,FALSE)*$M$1</f>
        <v>0.22</v>
      </c>
      <c r="N157" s="968">
        <f>VLOOKUP($B$1,'Product Procurement Sheet'!B:D,3,FALSE)*$N$1</f>
        <v>0.33</v>
      </c>
      <c r="O157" s="971" cm="1">
        <f ca="1" t="array" ref="O157">(_xlfn.SINGLE(_xlfn.XLOOKUP(1,(INDIRECT($R$1&amp;"!$C:$C")=B157)*(INDIRECT($R$1&amp;"!$G:$G")&lt;L157)*(INDIRECT($R$1&amp;"!$H:$H")&gt;=L157),INDIRECT($R$1&amp;"!$K:$K"))))*L157+(_xlfn.SINGLE(_xlfn.XLOOKUP(1,(INDIRECT($R$1&amp;"!$C:$C")=B157)*(INDIRECT($R$1&amp;"!$G:$G")&lt;L157)*(INDIRECT($R$1&amp;"!$H:$H")&gt;=L157),INDIRECT($R$1&amp;"!$L:$L"))))</f>
        <v>44.75</v>
      </c>
      <c r="P157" s="971" cm="1">
        <f ca="1" t="array" ref="P157">(_xlfn.SINGLE(_xlfn.XLOOKUP(1,(INDIRECT($R$1&amp;"!$C:$C")=B157)*(INDIRECT($R$1&amp;"!$G:$G")&lt;M157)*(INDIRECT($R$1&amp;"!$H:$H")&gt;=M157),INDIRECT($R$1&amp;"!$K:$K"))))*M157+(_xlfn.SINGLE(_xlfn.XLOOKUP(1,(INDIRECT($R$1&amp;"!$C:$C")=B157)*(INDIRECT($R$1&amp;"!$G:$G")&lt;M157)*(INDIRECT($R$1&amp;"!$H:$H")&gt;=M157),INDIRECT($R$1&amp;"!$L:$L"))))</f>
        <v>69.5</v>
      </c>
      <c r="Q157" s="971" cm="1">
        <f ca="1" t="array" ref="Q157">(_xlfn.SINGLE(_xlfn.XLOOKUP(1,(INDIRECT($R$1&amp;"!$C:$C")=B157)*(INDIRECT($R$1&amp;"!$G:$G")&lt;N157)*(INDIRECT($R$1&amp;"!$H:$H")&gt;=N157),INDIRECT($R$1&amp;"!$K:$K"))))*N157+(_xlfn.SINGLE(_xlfn.XLOOKUP(1,(INDIRECT($R$1&amp;"!$C:$C")=B157)*(INDIRECT($R$1&amp;"!$G:$G")&lt;N157)*(INDIRECT($R$1&amp;"!$H:$H")&gt;=N157),INDIRECT($R$1&amp;"!$L:$L"))))</f>
        <v>94.25</v>
      </c>
      <c r="R157" s="955"/>
    </row>
    <row r="158" ht="17.25" spans="1:18">
      <c r="A158" s="963" t="s">
        <v>330</v>
      </c>
      <c r="B158" s="963" t="s">
        <v>331</v>
      </c>
      <c r="C158" s="964">
        <f ca="1" t="shared" si="134"/>
        <v>8.19077464788732</v>
      </c>
      <c r="D158" s="964">
        <f ca="1" t="shared" si="135"/>
        <v>13.3674647887324</v>
      </c>
      <c r="E158" s="964">
        <f ca="1" t="shared" si="136"/>
        <v>18.5441549295775</v>
      </c>
      <c r="F158" s="965">
        <f ca="1" t="shared" ref="F158:H158" si="163">O158/$P$1</f>
        <v>5.6830985915493</v>
      </c>
      <c r="G158" s="965">
        <f ca="1" t="shared" si="163"/>
        <v>8.54929577464789</v>
      </c>
      <c r="H158" s="965">
        <f ca="1" t="shared" si="163"/>
        <v>11.4154929577465</v>
      </c>
      <c r="I158" s="965">
        <f>(VLOOKUP($B$1,'Product Procurement Sheet'!B:I,8,0)*$L$1)/$P$1</f>
        <v>1.97183098591549</v>
      </c>
      <c r="J158" s="965">
        <f>(VLOOKUP($B$1,'Product Procurement Sheet'!B:I,8,0)*$M$1)/$P$1</f>
        <v>3.94366197183099</v>
      </c>
      <c r="K158" s="965">
        <f>(VLOOKUP($B$1,'Product Procurement Sheet'!B:I,8,0)*$N$1)/$P$1</f>
        <v>5.91549295774648</v>
      </c>
      <c r="L158" s="968">
        <f>VLOOKUP($B$1,'Product Procurement Sheet'!B:D,3,FALSE)*$L$1</f>
        <v>0.11</v>
      </c>
      <c r="M158" s="968">
        <f>VLOOKUP($B$1,'Product Procurement Sheet'!B:D,3,FALSE)*$M$1</f>
        <v>0.22</v>
      </c>
      <c r="N158" s="968">
        <f>VLOOKUP($B$1,'Product Procurement Sheet'!B:D,3,FALSE)*$N$1</f>
        <v>0.33</v>
      </c>
      <c r="O158" s="971" cm="1">
        <f ca="1" t="array" ref="O158">(_xlfn.SINGLE(_xlfn.XLOOKUP(1,(INDIRECT($R$1&amp;"!$C:$C")=B158)*(INDIRECT($R$1&amp;"!$G:$G")&lt;L158)*(INDIRECT($R$1&amp;"!$H:$H")&gt;=L158),INDIRECT($R$1&amp;"!$K:$K"))))*L158+(_xlfn.SINGLE(_xlfn.XLOOKUP(1,(INDIRECT($R$1&amp;"!$C:$C")=B158)*(INDIRECT($R$1&amp;"!$G:$G")&lt;L158)*(INDIRECT($R$1&amp;"!$H:$H")&gt;=L158),INDIRECT($R$1&amp;"!$L:$L"))))</f>
        <v>40.35</v>
      </c>
      <c r="P158" s="971" cm="1">
        <f ca="1" t="array" ref="P158">(_xlfn.SINGLE(_xlfn.XLOOKUP(1,(INDIRECT($R$1&amp;"!$C:$C")=B158)*(INDIRECT($R$1&amp;"!$G:$G")&lt;M158)*(INDIRECT($R$1&amp;"!$H:$H")&gt;=M158),INDIRECT($R$1&amp;"!$K:$K"))))*M158+(_xlfn.SINGLE(_xlfn.XLOOKUP(1,(INDIRECT($R$1&amp;"!$C:$C")=B158)*(INDIRECT($R$1&amp;"!$G:$G")&lt;M158)*(INDIRECT($R$1&amp;"!$H:$H")&gt;=M158),INDIRECT($R$1&amp;"!$L:$L"))))</f>
        <v>60.7</v>
      </c>
      <c r="Q158" s="971" cm="1">
        <f ca="1" t="array" ref="Q158">(_xlfn.SINGLE(_xlfn.XLOOKUP(1,(INDIRECT($R$1&amp;"!$C:$C")=B158)*(INDIRECT($R$1&amp;"!$G:$G")&lt;N158)*(INDIRECT($R$1&amp;"!$H:$H")&gt;=N158),INDIRECT($R$1&amp;"!$K:$K"))))*N158+(_xlfn.SINGLE(_xlfn.XLOOKUP(1,(INDIRECT($R$1&amp;"!$C:$C")=B158)*(INDIRECT($R$1&amp;"!$G:$G")&lt;N158)*(INDIRECT($R$1&amp;"!$H:$H")&gt;=N158),INDIRECT($R$1&amp;"!$L:$L"))))</f>
        <v>81.05</v>
      </c>
      <c r="R158" s="955"/>
    </row>
    <row r="159" ht="17.25" spans="1:18">
      <c r="A159" s="963" t="s">
        <v>332</v>
      </c>
      <c r="B159" s="963" t="s">
        <v>333</v>
      </c>
      <c r="C159" s="964">
        <f ca="1" t="shared" si="134"/>
        <v>13.164014084507</v>
      </c>
      <c r="D159" s="964">
        <f ca="1" t="shared" si="135"/>
        <v>23.3139436619718</v>
      </c>
      <c r="E159" s="964">
        <f ca="1" t="shared" si="136"/>
        <v>33.4638732394366</v>
      </c>
      <c r="F159" s="965">
        <f ca="1" t="shared" ref="F159:H159" si="164">O159/$P$1</f>
        <v>10.330985915493</v>
      </c>
      <c r="G159" s="965">
        <f ca="1" t="shared" si="164"/>
        <v>17.8450704225352</v>
      </c>
      <c r="H159" s="965">
        <f ca="1" t="shared" si="164"/>
        <v>25.3591549295775</v>
      </c>
      <c r="I159" s="965">
        <f>(VLOOKUP($B$1,'Product Procurement Sheet'!B:I,8,0)*$L$1)/$P$1</f>
        <v>1.97183098591549</v>
      </c>
      <c r="J159" s="965">
        <f>(VLOOKUP($B$1,'Product Procurement Sheet'!B:I,8,0)*$M$1)/$P$1</f>
        <v>3.94366197183099</v>
      </c>
      <c r="K159" s="965">
        <f>(VLOOKUP($B$1,'Product Procurement Sheet'!B:I,8,0)*$N$1)/$P$1</f>
        <v>5.91549295774648</v>
      </c>
      <c r="L159" s="968">
        <f>VLOOKUP($B$1,'Product Procurement Sheet'!B:D,3,FALSE)*$L$1</f>
        <v>0.11</v>
      </c>
      <c r="M159" s="968">
        <f>VLOOKUP($B$1,'Product Procurement Sheet'!B:D,3,FALSE)*$M$1</f>
        <v>0.22</v>
      </c>
      <c r="N159" s="968">
        <f>VLOOKUP($B$1,'Product Procurement Sheet'!B:D,3,FALSE)*$N$1</f>
        <v>0.33</v>
      </c>
      <c r="O159" s="971" cm="1">
        <f ca="1" t="array" ref="O159">(_xlfn.SINGLE(_xlfn.XLOOKUP(1,(INDIRECT($R$1&amp;"!$C:$C")=B159)*(INDIRECT($R$1&amp;"!$G:$G")&lt;L159)*(INDIRECT($R$1&amp;"!$H:$H")&gt;=L159),INDIRECT($R$1&amp;"!$K:$K"))))*L159+(_xlfn.SINGLE(_xlfn.XLOOKUP(1,(INDIRECT($R$1&amp;"!$C:$C")=B159)*(INDIRECT($R$1&amp;"!$G:$G")&lt;L159)*(INDIRECT($R$1&amp;"!$H:$H")&gt;=L159),INDIRECT($R$1&amp;"!$L:$L"))))</f>
        <v>73.35</v>
      </c>
      <c r="P159" s="971" cm="1">
        <f ca="1" t="array" ref="P159">(_xlfn.SINGLE(_xlfn.XLOOKUP(1,(INDIRECT($R$1&amp;"!$C:$C")=B159)*(INDIRECT($R$1&amp;"!$G:$G")&lt;M159)*(INDIRECT($R$1&amp;"!$H:$H")&gt;=M159),INDIRECT($R$1&amp;"!$K:$K"))))*M159+(_xlfn.SINGLE(_xlfn.XLOOKUP(1,(INDIRECT($R$1&amp;"!$C:$C")=B159)*(INDIRECT($R$1&amp;"!$G:$G")&lt;M159)*(INDIRECT($R$1&amp;"!$H:$H")&gt;=M159),INDIRECT($R$1&amp;"!$L:$L"))))</f>
        <v>126.7</v>
      </c>
      <c r="Q159" s="971" cm="1">
        <f ca="1" t="array" ref="Q159">(_xlfn.SINGLE(_xlfn.XLOOKUP(1,(INDIRECT($R$1&amp;"!$C:$C")=B159)*(INDIRECT($R$1&amp;"!$G:$G")&lt;N159)*(INDIRECT($R$1&amp;"!$H:$H")&gt;=N159),INDIRECT($R$1&amp;"!$K:$K"))))*N159+(_xlfn.SINGLE(_xlfn.XLOOKUP(1,(INDIRECT($R$1&amp;"!$C:$C")=B159)*(INDIRECT($R$1&amp;"!$G:$G")&lt;N159)*(INDIRECT($R$1&amp;"!$H:$H")&gt;=N159),INDIRECT($R$1&amp;"!$L:$L"))))</f>
        <v>180.05</v>
      </c>
      <c r="R159" s="955"/>
    </row>
    <row r="160" ht="17.25" spans="1:18">
      <c r="A160" s="963" t="s">
        <v>334</v>
      </c>
      <c r="B160" s="963" t="s">
        <v>335</v>
      </c>
      <c r="C160" s="964">
        <f ca="1" t="shared" si="134"/>
        <v>8.025</v>
      </c>
      <c r="D160" s="964">
        <f ca="1" t="shared" si="135"/>
        <v>13.0359154929578</v>
      </c>
      <c r="E160" s="964">
        <f ca="1" t="shared" si="136"/>
        <v>18.0468309859155</v>
      </c>
      <c r="F160" s="965">
        <f ca="1" t="shared" ref="F160:H160" si="165">O160/$P$1</f>
        <v>5.52816901408451</v>
      </c>
      <c r="G160" s="965">
        <f ca="1" t="shared" si="165"/>
        <v>8.23943661971831</v>
      </c>
      <c r="H160" s="965">
        <f ca="1" t="shared" si="165"/>
        <v>10.9507042253521</v>
      </c>
      <c r="I160" s="965">
        <f>(VLOOKUP($B$1,'Product Procurement Sheet'!B:I,8,0)*$L$1)/$P$1</f>
        <v>1.97183098591549</v>
      </c>
      <c r="J160" s="965">
        <f>(VLOOKUP($B$1,'Product Procurement Sheet'!B:I,8,0)*$M$1)/$P$1</f>
        <v>3.94366197183099</v>
      </c>
      <c r="K160" s="965">
        <f>(VLOOKUP($B$1,'Product Procurement Sheet'!B:I,8,0)*$N$1)/$P$1</f>
        <v>5.91549295774648</v>
      </c>
      <c r="L160" s="968">
        <f>VLOOKUP($B$1,'Product Procurement Sheet'!B:D,3,FALSE)*$L$1</f>
        <v>0.11</v>
      </c>
      <c r="M160" s="968">
        <f>VLOOKUP($B$1,'Product Procurement Sheet'!B:D,3,FALSE)*$M$1</f>
        <v>0.22</v>
      </c>
      <c r="N160" s="968">
        <f>VLOOKUP($B$1,'Product Procurement Sheet'!B:D,3,FALSE)*$N$1</f>
        <v>0.33</v>
      </c>
      <c r="O160" s="971" cm="1">
        <f ca="1" t="array" ref="O160">(_xlfn.SINGLE(_xlfn.XLOOKUP(1,(INDIRECT($R$1&amp;"!$C:$C")=B160)*(INDIRECT($R$1&amp;"!$G:$G")&lt;L160)*(INDIRECT($R$1&amp;"!$H:$H")&gt;=L160),INDIRECT($R$1&amp;"!$K:$K"))))*L160+(_xlfn.SINGLE(_xlfn.XLOOKUP(1,(INDIRECT($R$1&amp;"!$C:$C")=B160)*(INDIRECT($R$1&amp;"!$G:$G")&lt;L160)*(INDIRECT($R$1&amp;"!$H:$H")&gt;=L160),INDIRECT($R$1&amp;"!$L:$L"))))</f>
        <v>39.25</v>
      </c>
      <c r="P160" s="971" cm="1">
        <f ca="1" t="array" ref="P160">(_xlfn.SINGLE(_xlfn.XLOOKUP(1,(INDIRECT($R$1&amp;"!$C:$C")=B160)*(INDIRECT($R$1&amp;"!$G:$G")&lt;M160)*(INDIRECT($R$1&amp;"!$H:$H")&gt;=M160),INDIRECT($R$1&amp;"!$K:$K"))))*M160+(_xlfn.SINGLE(_xlfn.XLOOKUP(1,(INDIRECT($R$1&amp;"!$C:$C")=B160)*(INDIRECT($R$1&amp;"!$G:$G")&lt;M160)*(INDIRECT($R$1&amp;"!$H:$H")&gt;=M160),INDIRECT($R$1&amp;"!$L:$L"))))</f>
        <v>58.5</v>
      </c>
      <c r="Q160" s="971" cm="1">
        <f ca="1" t="array" ref="Q160">(_xlfn.SINGLE(_xlfn.XLOOKUP(1,(INDIRECT($R$1&amp;"!$C:$C")=B160)*(INDIRECT($R$1&amp;"!$G:$G")&lt;N160)*(INDIRECT($R$1&amp;"!$H:$H")&gt;=N160),INDIRECT($R$1&amp;"!$K:$K"))))*N160+(_xlfn.SINGLE(_xlfn.XLOOKUP(1,(INDIRECT($R$1&amp;"!$C:$C")=B160)*(INDIRECT($R$1&amp;"!$G:$G")&lt;N160)*(INDIRECT($R$1&amp;"!$H:$H")&gt;=N160),INDIRECT($R$1&amp;"!$L:$L"))))</f>
        <v>77.75</v>
      </c>
      <c r="R160" s="955"/>
    </row>
    <row r="161" ht="17.25" spans="1:18">
      <c r="A161" s="963" t="s">
        <v>336</v>
      </c>
      <c r="B161" s="963" t="s">
        <v>337</v>
      </c>
      <c r="C161" s="964">
        <f ca="1" t="shared" si="134"/>
        <v>10.3609154929577</v>
      </c>
      <c r="D161" s="964">
        <f ca="1" t="shared" si="135"/>
        <v>16.2007042253521</v>
      </c>
      <c r="E161" s="964">
        <f ca="1" t="shared" si="136"/>
        <v>22.0404929577465</v>
      </c>
      <c r="F161" s="965">
        <f ca="1" t="shared" ref="F161:H161" si="166">O161/$P$1</f>
        <v>7.7112676056338</v>
      </c>
      <c r="G161" s="965">
        <f ca="1" t="shared" si="166"/>
        <v>11.1971830985915</v>
      </c>
      <c r="H161" s="965">
        <f ca="1" t="shared" si="166"/>
        <v>14.6830985915493</v>
      </c>
      <c r="I161" s="965">
        <f>(VLOOKUP($B$1,'Product Procurement Sheet'!B:I,8,0)*$L$1)/$P$1</f>
        <v>1.97183098591549</v>
      </c>
      <c r="J161" s="965">
        <f>(VLOOKUP($B$1,'Product Procurement Sheet'!B:I,8,0)*$M$1)/$P$1</f>
        <v>3.94366197183099</v>
      </c>
      <c r="K161" s="965">
        <f>(VLOOKUP($B$1,'Product Procurement Sheet'!B:I,8,0)*$N$1)/$P$1</f>
        <v>5.91549295774648</v>
      </c>
      <c r="L161" s="968">
        <f>VLOOKUP($B$1,'Product Procurement Sheet'!B:D,3,FALSE)*$L$1</f>
        <v>0.11</v>
      </c>
      <c r="M161" s="968">
        <f>VLOOKUP($B$1,'Product Procurement Sheet'!B:D,3,FALSE)*$M$1</f>
        <v>0.22</v>
      </c>
      <c r="N161" s="968">
        <f>VLOOKUP($B$1,'Product Procurement Sheet'!B:D,3,FALSE)*$N$1</f>
        <v>0.33</v>
      </c>
      <c r="O161" s="971" cm="1">
        <f ca="1" t="array" ref="O161">(_xlfn.SINGLE(_xlfn.XLOOKUP(1,(INDIRECT($R$1&amp;"!$C:$C")=B161)*(INDIRECT($R$1&amp;"!$G:$G")&lt;L161)*(INDIRECT($R$1&amp;"!$H:$H")&gt;=L161),INDIRECT($R$1&amp;"!$K:$K"))))*L161+(_xlfn.SINGLE(_xlfn.XLOOKUP(1,(INDIRECT($R$1&amp;"!$C:$C")=B161)*(INDIRECT($R$1&amp;"!$G:$G")&lt;L161)*(INDIRECT($R$1&amp;"!$H:$H")&gt;=L161),INDIRECT($R$1&amp;"!$L:$L"))))</f>
        <v>54.75</v>
      </c>
      <c r="P161" s="971" cm="1">
        <f ca="1" t="array" ref="P161">(_xlfn.SINGLE(_xlfn.XLOOKUP(1,(INDIRECT($R$1&amp;"!$C:$C")=B161)*(INDIRECT($R$1&amp;"!$G:$G")&lt;M161)*(INDIRECT($R$1&amp;"!$H:$H")&gt;=M161),INDIRECT($R$1&amp;"!$K:$K"))))*M161+(_xlfn.SINGLE(_xlfn.XLOOKUP(1,(INDIRECT($R$1&amp;"!$C:$C")=B161)*(INDIRECT($R$1&amp;"!$G:$G")&lt;M161)*(INDIRECT($R$1&amp;"!$H:$H")&gt;=M161),INDIRECT($R$1&amp;"!$L:$L"))))</f>
        <v>79.5</v>
      </c>
      <c r="Q161" s="971" cm="1">
        <f ca="1" t="array" ref="Q161">(_xlfn.SINGLE(_xlfn.XLOOKUP(1,(INDIRECT($R$1&amp;"!$C:$C")=B161)*(INDIRECT($R$1&amp;"!$G:$G")&lt;N161)*(INDIRECT($R$1&amp;"!$H:$H")&gt;=N161),INDIRECT($R$1&amp;"!$K:$K"))))*N161+(_xlfn.SINGLE(_xlfn.XLOOKUP(1,(INDIRECT($R$1&amp;"!$C:$C")=B161)*(INDIRECT($R$1&amp;"!$G:$G")&lt;N161)*(INDIRECT($R$1&amp;"!$H:$H")&gt;=N161),INDIRECT($R$1&amp;"!$L:$L"))))</f>
        <v>104.25</v>
      </c>
      <c r="R161" s="955"/>
    </row>
    <row r="162" ht="17.25" spans="1:18">
      <c r="A162" s="963" t="s">
        <v>338</v>
      </c>
      <c r="B162" s="963" t="s">
        <v>339</v>
      </c>
      <c r="C162" s="964">
        <f ca="1" t="shared" si="134"/>
        <v>8.19077464788732</v>
      </c>
      <c r="D162" s="964">
        <f ca="1" t="shared" si="135"/>
        <v>13.3674647887324</v>
      </c>
      <c r="E162" s="964">
        <f ca="1" t="shared" si="136"/>
        <v>18.5441549295775</v>
      </c>
      <c r="F162" s="965">
        <f ca="1" t="shared" ref="F162:H162" si="167">O162/$P$1</f>
        <v>5.6830985915493</v>
      </c>
      <c r="G162" s="965">
        <f ca="1" t="shared" si="167"/>
        <v>8.54929577464789</v>
      </c>
      <c r="H162" s="965">
        <f ca="1" t="shared" si="167"/>
        <v>11.4154929577465</v>
      </c>
      <c r="I162" s="965">
        <f>(VLOOKUP($B$1,'Product Procurement Sheet'!B:I,8,0)*$L$1)/$P$1</f>
        <v>1.97183098591549</v>
      </c>
      <c r="J162" s="965">
        <f>(VLOOKUP($B$1,'Product Procurement Sheet'!B:I,8,0)*$M$1)/$P$1</f>
        <v>3.94366197183099</v>
      </c>
      <c r="K162" s="965">
        <f>(VLOOKUP($B$1,'Product Procurement Sheet'!B:I,8,0)*$N$1)/$P$1</f>
        <v>5.91549295774648</v>
      </c>
      <c r="L162" s="968">
        <f>VLOOKUP($B$1,'Product Procurement Sheet'!B:D,3,FALSE)*$L$1</f>
        <v>0.11</v>
      </c>
      <c r="M162" s="968">
        <f>VLOOKUP($B$1,'Product Procurement Sheet'!B:D,3,FALSE)*$M$1</f>
        <v>0.22</v>
      </c>
      <c r="N162" s="968">
        <f>VLOOKUP($B$1,'Product Procurement Sheet'!B:D,3,FALSE)*$N$1</f>
        <v>0.33</v>
      </c>
      <c r="O162" s="971" cm="1">
        <f ca="1" t="array" ref="O162">(_xlfn.SINGLE(_xlfn.XLOOKUP(1,(INDIRECT($R$1&amp;"!$C:$C")=B162)*(INDIRECT($R$1&amp;"!$G:$G")&lt;L162)*(INDIRECT($R$1&amp;"!$H:$H")&gt;=L162),INDIRECT($R$1&amp;"!$K:$K"))))*L162+(_xlfn.SINGLE(_xlfn.XLOOKUP(1,(INDIRECT($R$1&amp;"!$C:$C")=B162)*(INDIRECT($R$1&amp;"!$G:$G")&lt;L162)*(INDIRECT($R$1&amp;"!$H:$H")&gt;=L162),INDIRECT($R$1&amp;"!$L:$L"))))</f>
        <v>40.35</v>
      </c>
      <c r="P162" s="971" cm="1">
        <f ca="1" t="array" ref="P162">(_xlfn.SINGLE(_xlfn.XLOOKUP(1,(INDIRECT($R$1&amp;"!$C:$C")=B162)*(INDIRECT($R$1&amp;"!$G:$G")&lt;M162)*(INDIRECT($R$1&amp;"!$H:$H")&gt;=M162),INDIRECT($R$1&amp;"!$K:$K"))))*M162+(_xlfn.SINGLE(_xlfn.XLOOKUP(1,(INDIRECT($R$1&amp;"!$C:$C")=B162)*(INDIRECT($R$1&amp;"!$G:$G")&lt;M162)*(INDIRECT($R$1&amp;"!$H:$H")&gt;=M162),INDIRECT($R$1&amp;"!$L:$L"))))</f>
        <v>60.7</v>
      </c>
      <c r="Q162" s="971" cm="1">
        <f ca="1" t="array" ref="Q162">(_xlfn.SINGLE(_xlfn.XLOOKUP(1,(INDIRECT($R$1&amp;"!$C:$C")=B162)*(INDIRECT($R$1&amp;"!$G:$G")&lt;N162)*(INDIRECT($R$1&amp;"!$H:$H")&gt;=N162),INDIRECT($R$1&amp;"!$K:$K"))))*N162+(_xlfn.SINGLE(_xlfn.XLOOKUP(1,(INDIRECT($R$1&amp;"!$C:$C")=B162)*(INDIRECT($R$1&amp;"!$G:$G")&lt;N162)*(INDIRECT($R$1&amp;"!$H:$H")&gt;=N162),INDIRECT($R$1&amp;"!$L:$L"))))</f>
        <v>81.05</v>
      </c>
      <c r="R162" s="955"/>
    </row>
    <row r="163" ht="17.25" spans="1:18">
      <c r="A163" s="963" t="s">
        <v>340</v>
      </c>
      <c r="B163" s="963" t="s">
        <v>341</v>
      </c>
      <c r="C163" s="964">
        <f ca="1" t="shared" si="134"/>
        <v>13.164014084507</v>
      </c>
      <c r="D163" s="964">
        <f ca="1" t="shared" si="135"/>
        <v>23.3139436619718</v>
      </c>
      <c r="E163" s="964">
        <f ca="1" t="shared" si="136"/>
        <v>33.4638732394366</v>
      </c>
      <c r="F163" s="965">
        <f ca="1" t="shared" ref="F163:H163" si="168">O163/$P$1</f>
        <v>10.330985915493</v>
      </c>
      <c r="G163" s="965">
        <f ca="1" t="shared" si="168"/>
        <v>17.8450704225352</v>
      </c>
      <c r="H163" s="965">
        <f ca="1" t="shared" si="168"/>
        <v>25.3591549295775</v>
      </c>
      <c r="I163" s="965">
        <f>(VLOOKUP($B$1,'Product Procurement Sheet'!B:I,8,0)*$L$1)/$P$1</f>
        <v>1.97183098591549</v>
      </c>
      <c r="J163" s="965">
        <f>(VLOOKUP($B$1,'Product Procurement Sheet'!B:I,8,0)*$M$1)/$P$1</f>
        <v>3.94366197183099</v>
      </c>
      <c r="K163" s="965">
        <f>(VLOOKUP($B$1,'Product Procurement Sheet'!B:I,8,0)*$N$1)/$P$1</f>
        <v>5.91549295774648</v>
      </c>
      <c r="L163" s="968">
        <f>VLOOKUP($B$1,'Product Procurement Sheet'!B:D,3,FALSE)*$L$1</f>
        <v>0.11</v>
      </c>
      <c r="M163" s="968">
        <f>VLOOKUP($B$1,'Product Procurement Sheet'!B:D,3,FALSE)*$M$1</f>
        <v>0.22</v>
      </c>
      <c r="N163" s="968">
        <f>VLOOKUP($B$1,'Product Procurement Sheet'!B:D,3,FALSE)*$N$1</f>
        <v>0.33</v>
      </c>
      <c r="O163" s="971" cm="1">
        <f ca="1" t="array" ref="O163">(_xlfn.SINGLE(_xlfn.XLOOKUP(1,(INDIRECT($R$1&amp;"!$C:$C")=B163)*(INDIRECT($R$1&amp;"!$G:$G")&lt;L163)*(INDIRECT($R$1&amp;"!$H:$H")&gt;=L163),INDIRECT($R$1&amp;"!$K:$K"))))*L163+(_xlfn.SINGLE(_xlfn.XLOOKUP(1,(INDIRECT($R$1&amp;"!$C:$C")=B163)*(INDIRECT($R$1&amp;"!$G:$G")&lt;L163)*(INDIRECT($R$1&amp;"!$H:$H")&gt;=L163),INDIRECT($R$1&amp;"!$L:$L"))))</f>
        <v>73.35</v>
      </c>
      <c r="P163" s="971" cm="1">
        <f ca="1" t="array" ref="P163">(_xlfn.SINGLE(_xlfn.XLOOKUP(1,(INDIRECT($R$1&amp;"!$C:$C")=B163)*(INDIRECT($R$1&amp;"!$G:$G")&lt;M163)*(INDIRECT($R$1&amp;"!$H:$H")&gt;=M163),INDIRECT($R$1&amp;"!$K:$K"))))*M163+(_xlfn.SINGLE(_xlfn.XLOOKUP(1,(INDIRECT($R$1&amp;"!$C:$C")=B163)*(INDIRECT($R$1&amp;"!$G:$G")&lt;M163)*(INDIRECT($R$1&amp;"!$H:$H")&gt;=M163),INDIRECT($R$1&amp;"!$L:$L"))))</f>
        <v>126.7</v>
      </c>
      <c r="Q163" s="971" cm="1">
        <f ca="1" t="array" ref="Q163">(_xlfn.SINGLE(_xlfn.XLOOKUP(1,(INDIRECT($R$1&amp;"!$C:$C")=B163)*(INDIRECT($R$1&amp;"!$G:$G")&lt;N163)*(INDIRECT($R$1&amp;"!$H:$H")&gt;=N163),INDIRECT($R$1&amp;"!$K:$K"))))*N163+(_xlfn.SINGLE(_xlfn.XLOOKUP(1,(INDIRECT($R$1&amp;"!$C:$C")=B163)*(INDIRECT($R$1&amp;"!$G:$G")&lt;N163)*(INDIRECT($R$1&amp;"!$H:$H")&gt;=N163),INDIRECT($R$1&amp;"!$L:$L"))))</f>
        <v>180.05</v>
      </c>
      <c r="R163" s="955"/>
    </row>
    <row r="164" ht="17.25" spans="1:18">
      <c r="A164" s="963" t="s">
        <v>342</v>
      </c>
      <c r="B164" s="963" t="s">
        <v>343</v>
      </c>
      <c r="C164" s="964">
        <f ca="1" t="shared" si="134"/>
        <v>7.85922535211267</v>
      </c>
      <c r="D164" s="964">
        <f ca="1" t="shared" si="135"/>
        <v>12.7043661971831</v>
      </c>
      <c r="E164" s="964">
        <f ca="1" t="shared" si="136"/>
        <v>17.5495070422535</v>
      </c>
      <c r="F164" s="965">
        <f ca="1" t="shared" ref="F164:H164" si="169">O164/$P$1</f>
        <v>5.37323943661972</v>
      </c>
      <c r="G164" s="965">
        <f ca="1" t="shared" si="169"/>
        <v>7.92957746478873</v>
      </c>
      <c r="H164" s="965">
        <f ca="1" t="shared" si="169"/>
        <v>10.4859154929577</v>
      </c>
      <c r="I164" s="965">
        <f>(VLOOKUP($B$1,'Product Procurement Sheet'!B:I,8,0)*$L$1)/$P$1</f>
        <v>1.97183098591549</v>
      </c>
      <c r="J164" s="965">
        <f>(VLOOKUP($B$1,'Product Procurement Sheet'!B:I,8,0)*$M$1)/$P$1</f>
        <v>3.94366197183099</v>
      </c>
      <c r="K164" s="965">
        <f>(VLOOKUP($B$1,'Product Procurement Sheet'!B:I,8,0)*$N$1)/$P$1</f>
        <v>5.91549295774648</v>
      </c>
      <c r="L164" s="968">
        <f>VLOOKUP($B$1,'Product Procurement Sheet'!B:D,3,FALSE)*$L$1</f>
        <v>0.11</v>
      </c>
      <c r="M164" s="968">
        <f>VLOOKUP($B$1,'Product Procurement Sheet'!B:D,3,FALSE)*$M$1</f>
        <v>0.22</v>
      </c>
      <c r="N164" s="968">
        <f>VLOOKUP($B$1,'Product Procurement Sheet'!B:D,3,FALSE)*$N$1</f>
        <v>0.33</v>
      </c>
      <c r="O164" s="971" cm="1">
        <f ca="1" t="array" ref="O164">(_xlfn.SINGLE(_xlfn.XLOOKUP(1,(INDIRECT($R$1&amp;"!$C:$C")=B164)*(INDIRECT($R$1&amp;"!$G:$G")&lt;L164)*(INDIRECT($R$1&amp;"!$H:$H")&gt;=L164),INDIRECT($R$1&amp;"!$K:$K"))))*L164+(_xlfn.SINGLE(_xlfn.XLOOKUP(1,(INDIRECT($R$1&amp;"!$C:$C")=B164)*(INDIRECT($R$1&amp;"!$G:$G")&lt;L164)*(INDIRECT($R$1&amp;"!$H:$H")&gt;=L164),INDIRECT($R$1&amp;"!$L:$L"))))</f>
        <v>38.15</v>
      </c>
      <c r="P164" s="971" cm="1">
        <f ca="1" t="array" ref="P164">(_xlfn.SINGLE(_xlfn.XLOOKUP(1,(INDIRECT($R$1&amp;"!$C:$C")=B164)*(INDIRECT($R$1&amp;"!$G:$G")&lt;M164)*(INDIRECT($R$1&amp;"!$H:$H")&gt;=M164),INDIRECT($R$1&amp;"!$K:$K"))))*M164+(_xlfn.SINGLE(_xlfn.XLOOKUP(1,(INDIRECT($R$1&amp;"!$C:$C")=B164)*(INDIRECT($R$1&amp;"!$G:$G")&lt;M164)*(INDIRECT($R$1&amp;"!$H:$H")&gt;=M164),INDIRECT($R$1&amp;"!$L:$L"))))</f>
        <v>56.3</v>
      </c>
      <c r="Q164" s="971" cm="1">
        <f ca="1" t="array" ref="Q164">(_xlfn.SINGLE(_xlfn.XLOOKUP(1,(INDIRECT($R$1&amp;"!$C:$C")=B164)*(INDIRECT($R$1&amp;"!$G:$G")&lt;N164)*(INDIRECT($R$1&amp;"!$H:$H")&gt;=N164),INDIRECT($R$1&amp;"!$K:$K"))))*N164+(_xlfn.SINGLE(_xlfn.XLOOKUP(1,(INDIRECT($R$1&amp;"!$C:$C")=B164)*(INDIRECT($R$1&amp;"!$G:$G")&lt;N164)*(INDIRECT($R$1&amp;"!$H:$H")&gt;=N164),INDIRECT($R$1&amp;"!$L:$L"))))</f>
        <v>74.45</v>
      </c>
      <c r="R164" s="955"/>
    </row>
    <row r="165" ht="17.25" spans="1:18">
      <c r="A165" s="963" t="s">
        <v>344</v>
      </c>
      <c r="B165" s="963" t="s">
        <v>345</v>
      </c>
      <c r="C165" s="964">
        <f ca="1" t="shared" si="134"/>
        <v>7.99485915492957</v>
      </c>
      <c r="D165" s="964">
        <f ca="1" t="shared" si="135"/>
        <v>12.6742253521127</v>
      </c>
      <c r="E165" s="964">
        <f ca="1" t="shared" si="136"/>
        <v>17.3535915492958</v>
      </c>
      <c r="F165" s="965">
        <f ca="1" t="shared" ref="F165:H165" si="170">O165/$P$1</f>
        <v>5.5</v>
      </c>
      <c r="G165" s="965">
        <f ca="1" t="shared" si="170"/>
        <v>7.90140845070423</v>
      </c>
      <c r="H165" s="965">
        <f ca="1" t="shared" si="170"/>
        <v>10.3028169014085</v>
      </c>
      <c r="I165" s="965">
        <f>(VLOOKUP($B$1,'Product Procurement Sheet'!B:I,8,0)*$L$1)/$P$1</f>
        <v>1.97183098591549</v>
      </c>
      <c r="J165" s="965">
        <f>(VLOOKUP($B$1,'Product Procurement Sheet'!B:I,8,0)*$M$1)/$P$1</f>
        <v>3.94366197183099</v>
      </c>
      <c r="K165" s="965">
        <f>(VLOOKUP($B$1,'Product Procurement Sheet'!B:I,8,0)*$N$1)/$P$1</f>
        <v>5.91549295774648</v>
      </c>
      <c r="L165" s="968">
        <f>VLOOKUP($B$1,'Product Procurement Sheet'!B:D,3,FALSE)*$L$1</f>
        <v>0.11</v>
      </c>
      <c r="M165" s="968">
        <f>VLOOKUP($B$1,'Product Procurement Sheet'!B:D,3,FALSE)*$M$1</f>
        <v>0.22</v>
      </c>
      <c r="N165" s="968">
        <f>VLOOKUP($B$1,'Product Procurement Sheet'!B:D,3,FALSE)*$N$1</f>
        <v>0.33</v>
      </c>
      <c r="O165" s="971" cm="1">
        <f ca="1" t="array" ref="O165">(_xlfn.SINGLE(_xlfn.XLOOKUP(1,(INDIRECT($R$1&amp;"!$C:$C")=B165)*(INDIRECT($R$1&amp;"!$G:$G")&lt;L165)*(INDIRECT($R$1&amp;"!$H:$H")&gt;=L165),INDIRECT($R$1&amp;"!$K:$K"))))*L165+(_xlfn.SINGLE(_xlfn.XLOOKUP(1,(INDIRECT($R$1&amp;"!$C:$C")=B165)*(INDIRECT($R$1&amp;"!$G:$G")&lt;L165)*(INDIRECT($R$1&amp;"!$H:$H")&gt;=L165),INDIRECT($R$1&amp;"!$L:$L"))))</f>
        <v>39.05</v>
      </c>
      <c r="P165" s="971" cm="1">
        <f ca="1" t="array" ref="P165">(_xlfn.SINGLE(_xlfn.XLOOKUP(1,(INDIRECT($R$1&amp;"!$C:$C")=B165)*(INDIRECT($R$1&amp;"!$G:$G")&lt;M165)*(INDIRECT($R$1&amp;"!$H:$H")&gt;=M165),INDIRECT($R$1&amp;"!$K:$K"))))*M165+(_xlfn.SINGLE(_xlfn.XLOOKUP(1,(INDIRECT($R$1&amp;"!$C:$C")=B165)*(INDIRECT($R$1&amp;"!$G:$G")&lt;M165)*(INDIRECT($R$1&amp;"!$H:$H")&gt;=M165),INDIRECT($R$1&amp;"!$L:$L"))))</f>
        <v>56.1</v>
      </c>
      <c r="Q165" s="971" cm="1">
        <f ca="1" t="array" ref="Q165">(_xlfn.SINGLE(_xlfn.XLOOKUP(1,(INDIRECT($R$1&amp;"!$C:$C")=B165)*(INDIRECT($R$1&amp;"!$G:$G")&lt;N165)*(INDIRECT($R$1&amp;"!$H:$H")&gt;=N165),INDIRECT($R$1&amp;"!$K:$K"))))*N165+(_xlfn.SINGLE(_xlfn.XLOOKUP(1,(INDIRECT($R$1&amp;"!$C:$C")=B165)*(INDIRECT($R$1&amp;"!$G:$G")&lt;N165)*(INDIRECT($R$1&amp;"!$H:$H")&gt;=N165),INDIRECT($R$1&amp;"!$L:$L"))))</f>
        <v>73.15</v>
      </c>
      <c r="R165" s="955"/>
    </row>
    <row r="166" ht="17.25" spans="1:18">
      <c r="A166" s="963" t="s">
        <v>346</v>
      </c>
      <c r="B166" s="963" t="s">
        <v>347</v>
      </c>
      <c r="C166" s="964">
        <f ca="1" t="shared" si="134"/>
        <v>19.297676056338</v>
      </c>
      <c r="D166" s="964">
        <f ca="1" t="shared" si="135"/>
        <v>35.5812676056338</v>
      </c>
      <c r="E166" s="964">
        <f ca="1" t="shared" si="136"/>
        <v>51.8648591549296</v>
      </c>
      <c r="F166" s="965">
        <f ca="1" t="shared" ref="F166:H166" si="171">O166/$P$1</f>
        <v>16.0633802816901</v>
      </c>
      <c r="G166" s="965">
        <f ca="1" t="shared" si="171"/>
        <v>29.3098591549296</v>
      </c>
      <c r="H166" s="965">
        <f ca="1" t="shared" si="171"/>
        <v>42.556338028169</v>
      </c>
      <c r="I166" s="965">
        <f>(VLOOKUP($B$1,'Product Procurement Sheet'!B:I,8,0)*$L$1)/$P$1</f>
        <v>1.97183098591549</v>
      </c>
      <c r="J166" s="965">
        <f>(VLOOKUP($B$1,'Product Procurement Sheet'!B:I,8,0)*$M$1)/$P$1</f>
        <v>3.94366197183099</v>
      </c>
      <c r="K166" s="965">
        <f>(VLOOKUP($B$1,'Product Procurement Sheet'!B:I,8,0)*$N$1)/$P$1</f>
        <v>5.91549295774648</v>
      </c>
      <c r="L166" s="968">
        <f>VLOOKUP($B$1,'Product Procurement Sheet'!B:D,3,FALSE)*$L$1</f>
        <v>0.11</v>
      </c>
      <c r="M166" s="968">
        <f>VLOOKUP($B$1,'Product Procurement Sheet'!B:D,3,FALSE)*$M$1</f>
        <v>0.22</v>
      </c>
      <c r="N166" s="968">
        <f>VLOOKUP($B$1,'Product Procurement Sheet'!B:D,3,FALSE)*$N$1</f>
        <v>0.33</v>
      </c>
      <c r="O166" s="971" cm="1">
        <f ca="1" t="array" ref="O166">(_xlfn.SINGLE(_xlfn.XLOOKUP(1,(INDIRECT($R$1&amp;"!$C:$C")=B166)*(INDIRECT($R$1&amp;"!$G:$G")&lt;L166)*(INDIRECT($R$1&amp;"!$H:$H")&gt;=L166),INDIRECT($R$1&amp;"!$K:$K"))))*L166+(_xlfn.SINGLE(_xlfn.XLOOKUP(1,(INDIRECT($R$1&amp;"!$C:$C")=B166)*(INDIRECT($R$1&amp;"!$G:$G")&lt;L166)*(INDIRECT($R$1&amp;"!$H:$H")&gt;=L166),INDIRECT($R$1&amp;"!$L:$L"))))</f>
        <v>114.05</v>
      </c>
      <c r="P166" s="971" cm="1">
        <f ca="1" t="array" ref="P166">(_xlfn.SINGLE(_xlfn.XLOOKUP(1,(INDIRECT($R$1&amp;"!$C:$C")=B166)*(INDIRECT($R$1&amp;"!$G:$G")&lt;M166)*(INDIRECT($R$1&amp;"!$H:$H")&gt;=M166),INDIRECT($R$1&amp;"!$K:$K"))))*M166+(_xlfn.SINGLE(_xlfn.XLOOKUP(1,(INDIRECT($R$1&amp;"!$C:$C")=B166)*(INDIRECT($R$1&amp;"!$G:$G")&lt;M166)*(INDIRECT($R$1&amp;"!$H:$H")&gt;=M166),INDIRECT($R$1&amp;"!$L:$L"))))</f>
        <v>208.1</v>
      </c>
      <c r="Q166" s="971" cm="1">
        <f ca="1" t="array" ref="Q166">(_xlfn.SINGLE(_xlfn.XLOOKUP(1,(INDIRECT($R$1&amp;"!$C:$C")=B166)*(INDIRECT($R$1&amp;"!$G:$G")&lt;N166)*(INDIRECT($R$1&amp;"!$H:$H")&gt;=N166),INDIRECT($R$1&amp;"!$K:$K"))))*N166+(_xlfn.SINGLE(_xlfn.XLOOKUP(1,(INDIRECT($R$1&amp;"!$C:$C")=B166)*(INDIRECT($R$1&amp;"!$G:$G")&lt;N166)*(INDIRECT($R$1&amp;"!$H:$H")&gt;=N166),INDIRECT($R$1&amp;"!$L:$L"))))</f>
        <v>302.15</v>
      </c>
      <c r="R166" s="955"/>
    </row>
    <row r="167" ht="17.25" spans="1:18">
      <c r="A167" s="963" t="s">
        <v>348</v>
      </c>
      <c r="B167" s="963" t="s">
        <v>349</v>
      </c>
      <c r="C167" s="964">
        <f ca="1" t="shared" si="134"/>
        <v>8.35654929577465</v>
      </c>
      <c r="D167" s="964">
        <f ca="1" t="shared" si="135"/>
        <v>13.699014084507</v>
      </c>
      <c r="E167" s="964">
        <f ca="1" t="shared" si="136"/>
        <v>19.0414788732394</v>
      </c>
      <c r="F167" s="965">
        <f ca="1" t="shared" ref="F167:H167" si="172">O167/$P$1</f>
        <v>5.83802816901408</v>
      </c>
      <c r="G167" s="965">
        <f ca="1" t="shared" si="172"/>
        <v>8.85915492957747</v>
      </c>
      <c r="H167" s="965">
        <f ca="1" t="shared" si="172"/>
        <v>11.8802816901408</v>
      </c>
      <c r="I167" s="965">
        <f>(VLOOKUP($B$1,'Product Procurement Sheet'!B:I,8,0)*$L$1)/$P$1</f>
        <v>1.97183098591549</v>
      </c>
      <c r="J167" s="965">
        <f>(VLOOKUP($B$1,'Product Procurement Sheet'!B:I,8,0)*$M$1)/$P$1</f>
        <v>3.94366197183099</v>
      </c>
      <c r="K167" s="965">
        <f>(VLOOKUP($B$1,'Product Procurement Sheet'!B:I,8,0)*$N$1)/$P$1</f>
        <v>5.91549295774648</v>
      </c>
      <c r="L167" s="968">
        <f>VLOOKUP($B$1,'Product Procurement Sheet'!B:D,3,FALSE)*$L$1</f>
        <v>0.11</v>
      </c>
      <c r="M167" s="968">
        <f>VLOOKUP($B$1,'Product Procurement Sheet'!B:D,3,FALSE)*$M$1</f>
        <v>0.22</v>
      </c>
      <c r="N167" s="968">
        <f>VLOOKUP($B$1,'Product Procurement Sheet'!B:D,3,FALSE)*$N$1</f>
        <v>0.33</v>
      </c>
      <c r="O167" s="971" cm="1">
        <f ca="1" t="array" ref="O167">(_xlfn.SINGLE(_xlfn.XLOOKUP(1,(INDIRECT($R$1&amp;"!$C:$C")=B167)*(INDIRECT($R$1&amp;"!$G:$G")&lt;L167)*(INDIRECT($R$1&amp;"!$H:$H")&gt;=L167),INDIRECT($R$1&amp;"!$K:$K"))))*L167+(_xlfn.SINGLE(_xlfn.XLOOKUP(1,(INDIRECT($R$1&amp;"!$C:$C")=B167)*(INDIRECT($R$1&amp;"!$G:$G")&lt;L167)*(INDIRECT($R$1&amp;"!$H:$H")&gt;=L167),INDIRECT($R$1&amp;"!$L:$L"))))</f>
        <v>41.45</v>
      </c>
      <c r="P167" s="971" cm="1">
        <f ca="1" t="array" ref="P167">(_xlfn.SINGLE(_xlfn.XLOOKUP(1,(INDIRECT($R$1&amp;"!$C:$C")=B167)*(INDIRECT($R$1&amp;"!$G:$G")&lt;M167)*(INDIRECT($R$1&amp;"!$H:$H")&gt;=M167),INDIRECT($R$1&amp;"!$K:$K"))))*M167+(_xlfn.SINGLE(_xlfn.XLOOKUP(1,(INDIRECT($R$1&amp;"!$C:$C")=B167)*(INDIRECT($R$1&amp;"!$G:$G")&lt;M167)*(INDIRECT($R$1&amp;"!$H:$H")&gt;=M167),INDIRECT($R$1&amp;"!$L:$L"))))</f>
        <v>62.9</v>
      </c>
      <c r="Q167" s="971" cm="1">
        <f ca="1" t="array" ref="Q167">(_xlfn.SINGLE(_xlfn.XLOOKUP(1,(INDIRECT($R$1&amp;"!$C:$C")=B167)*(INDIRECT($R$1&amp;"!$G:$G")&lt;N167)*(INDIRECT($R$1&amp;"!$H:$H")&gt;=N167),INDIRECT($R$1&amp;"!$K:$K"))))*N167+(_xlfn.SINGLE(_xlfn.XLOOKUP(1,(INDIRECT($R$1&amp;"!$C:$C")=B167)*(INDIRECT($R$1&amp;"!$G:$G")&lt;N167)*(INDIRECT($R$1&amp;"!$H:$H")&gt;=N167),INDIRECT($R$1&amp;"!$L:$L"))))</f>
        <v>84.35</v>
      </c>
      <c r="R167" s="955"/>
    </row>
    <row r="168" ht="17.25" spans="1:18">
      <c r="A168" s="963" t="s">
        <v>350</v>
      </c>
      <c r="B168" s="963" t="s">
        <v>351</v>
      </c>
      <c r="C168" s="964">
        <f ca="1" t="shared" si="134"/>
        <v>12.018661971831</v>
      </c>
      <c r="D168" s="964">
        <f ca="1" t="shared" si="135"/>
        <v>21.1739436619718</v>
      </c>
      <c r="E168" s="964">
        <f ca="1" t="shared" si="136"/>
        <v>30.3292253521127</v>
      </c>
      <c r="F168" s="965">
        <f ca="1" t="shared" ref="F168:H168" si="173">O168/$P$1</f>
        <v>9.26056338028169</v>
      </c>
      <c r="G168" s="965">
        <f ca="1" t="shared" si="173"/>
        <v>15.8450704225352</v>
      </c>
      <c r="H168" s="965">
        <f ca="1" t="shared" si="173"/>
        <v>22.4295774647887</v>
      </c>
      <c r="I168" s="965">
        <f>(VLOOKUP($B$1,'Product Procurement Sheet'!B:I,8,0)*$L$1)/$P$1</f>
        <v>1.97183098591549</v>
      </c>
      <c r="J168" s="965">
        <f>(VLOOKUP($B$1,'Product Procurement Sheet'!B:I,8,0)*$M$1)/$P$1</f>
        <v>3.94366197183099</v>
      </c>
      <c r="K168" s="965">
        <f>(VLOOKUP($B$1,'Product Procurement Sheet'!B:I,8,0)*$N$1)/$P$1</f>
        <v>5.91549295774648</v>
      </c>
      <c r="L168" s="968">
        <f>VLOOKUP($B$1,'Product Procurement Sheet'!B:D,3,FALSE)*$L$1</f>
        <v>0.11</v>
      </c>
      <c r="M168" s="968">
        <f>VLOOKUP($B$1,'Product Procurement Sheet'!B:D,3,FALSE)*$M$1</f>
        <v>0.22</v>
      </c>
      <c r="N168" s="968">
        <f>VLOOKUP($B$1,'Product Procurement Sheet'!B:D,3,FALSE)*$N$1</f>
        <v>0.33</v>
      </c>
      <c r="O168" s="971" cm="1">
        <f ca="1" t="array" ref="O168">(_xlfn.SINGLE(_xlfn.XLOOKUP(1,(INDIRECT($R$1&amp;"!$C:$C")=B168)*(INDIRECT($R$1&amp;"!$G:$G")&lt;L168)*(INDIRECT($R$1&amp;"!$H:$H")&gt;=L168),INDIRECT($R$1&amp;"!$K:$K"))))*L168+(_xlfn.SINGLE(_xlfn.XLOOKUP(1,(INDIRECT($R$1&amp;"!$C:$C")=B168)*(INDIRECT($R$1&amp;"!$G:$G")&lt;L168)*(INDIRECT($R$1&amp;"!$H:$H")&gt;=L168),INDIRECT($R$1&amp;"!$L:$L"))))</f>
        <v>65.75</v>
      </c>
      <c r="P168" s="971" cm="1">
        <f ca="1" t="array" ref="P168">(_xlfn.SINGLE(_xlfn.XLOOKUP(1,(INDIRECT($R$1&amp;"!$C:$C")=B168)*(INDIRECT($R$1&amp;"!$G:$G")&lt;M168)*(INDIRECT($R$1&amp;"!$H:$H")&gt;=M168),INDIRECT($R$1&amp;"!$K:$K"))))*M168+(_xlfn.SINGLE(_xlfn.XLOOKUP(1,(INDIRECT($R$1&amp;"!$C:$C")=B168)*(INDIRECT($R$1&amp;"!$G:$G")&lt;M168)*(INDIRECT($R$1&amp;"!$H:$H")&gt;=M168),INDIRECT($R$1&amp;"!$L:$L"))))</f>
        <v>112.5</v>
      </c>
      <c r="Q168" s="971" cm="1">
        <f ca="1" t="array" ref="Q168">(_xlfn.SINGLE(_xlfn.XLOOKUP(1,(INDIRECT($R$1&amp;"!$C:$C")=B168)*(INDIRECT($R$1&amp;"!$G:$G")&lt;N168)*(INDIRECT($R$1&amp;"!$H:$H")&gt;=N168),INDIRECT($R$1&amp;"!$K:$K"))))*N168+(_xlfn.SINGLE(_xlfn.XLOOKUP(1,(INDIRECT($R$1&amp;"!$C:$C")=B168)*(INDIRECT($R$1&amp;"!$G:$G")&lt;N168)*(INDIRECT($R$1&amp;"!$H:$H")&gt;=N168),INDIRECT($R$1&amp;"!$L:$L"))))</f>
        <v>159.25</v>
      </c>
      <c r="R168" s="955"/>
    </row>
    <row r="169" ht="17.25" spans="1:18">
      <c r="A169" s="963" t="s">
        <v>352</v>
      </c>
      <c r="B169" s="963" t="s">
        <v>353</v>
      </c>
      <c r="C169" s="964">
        <f ca="1" t="shared" si="134"/>
        <v>11.0089436619718</v>
      </c>
      <c r="D169" s="964">
        <f ca="1" t="shared" si="135"/>
        <v>19.0038028169014</v>
      </c>
      <c r="E169" s="964">
        <f ca="1" t="shared" si="136"/>
        <v>26.998661971831</v>
      </c>
      <c r="F169" s="965">
        <f ca="1" t="shared" ref="F169:H169" si="174">O169/$P$1</f>
        <v>8.3169014084507</v>
      </c>
      <c r="G169" s="965">
        <f ca="1" t="shared" si="174"/>
        <v>13.8169014084507</v>
      </c>
      <c r="H169" s="965">
        <f ca="1" t="shared" si="174"/>
        <v>19.3169014084507</v>
      </c>
      <c r="I169" s="965">
        <f>(VLOOKUP($B$1,'Product Procurement Sheet'!B:I,8,0)*$L$1)/$P$1</f>
        <v>1.97183098591549</v>
      </c>
      <c r="J169" s="965">
        <f>(VLOOKUP($B$1,'Product Procurement Sheet'!B:I,8,0)*$M$1)/$P$1</f>
        <v>3.94366197183099</v>
      </c>
      <c r="K169" s="965">
        <f>(VLOOKUP($B$1,'Product Procurement Sheet'!B:I,8,0)*$N$1)/$P$1</f>
        <v>5.91549295774648</v>
      </c>
      <c r="L169" s="968">
        <f>VLOOKUP($B$1,'Product Procurement Sheet'!B:D,3,FALSE)*$L$1</f>
        <v>0.11</v>
      </c>
      <c r="M169" s="968">
        <f>VLOOKUP($B$1,'Product Procurement Sheet'!B:D,3,FALSE)*$M$1</f>
        <v>0.22</v>
      </c>
      <c r="N169" s="968">
        <f>VLOOKUP($B$1,'Product Procurement Sheet'!B:D,3,FALSE)*$N$1</f>
        <v>0.33</v>
      </c>
      <c r="O169" s="971" cm="1">
        <f ca="1" t="array" ref="O169">(_xlfn.SINGLE(_xlfn.XLOOKUP(1,(INDIRECT($R$1&amp;"!$C:$C")=B169)*(INDIRECT($R$1&amp;"!$G:$G")&lt;L169)*(INDIRECT($R$1&amp;"!$H:$H")&gt;=L169),INDIRECT($R$1&amp;"!$K:$K"))))*L169+(_xlfn.SINGLE(_xlfn.XLOOKUP(1,(INDIRECT($R$1&amp;"!$C:$C")=B169)*(INDIRECT($R$1&amp;"!$G:$G")&lt;L169)*(INDIRECT($R$1&amp;"!$H:$H")&gt;=L169),INDIRECT($R$1&amp;"!$L:$L"))))</f>
        <v>59.05</v>
      </c>
      <c r="P169" s="971" cm="1">
        <f ca="1" t="array" ref="P169">(_xlfn.SINGLE(_xlfn.XLOOKUP(1,(INDIRECT($R$1&amp;"!$C:$C")=B169)*(INDIRECT($R$1&amp;"!$G:$G")&lt;M169)*(INDIRECT($R$1&amp;"!$H:$H")&gt;=M169),INDIRECT($R$1&amp;"!$K:$K"))))*M169+(_xlfn.SINGLE(_xlfn.XLOOKUP(1,(INDIRECT($R$1&amp;"!$C:$C")=B169)*(INDIRECT($R$1&amp;"!$G:$G")&lt;M169)*(INDIRECT($R$1&amp;"!$H:$H")&gt;=M169),INDIRECT($R$1&amp;"!$L:$L"))))</f>
        <v>98.1</v>
      </c>
      <c r="Q169" s="971" cm="1">
        <f ca="1" t="array" ref="Q169">(_xlfn.SINGLE(_xlfn.XLOOKUP(1,(INDIRECT($R$1&amp;"!$C:$C")=B169)*(INDIRECT($R$1&amp;"!$G:$G")&lt;N169)*(INDIRECT($R$1&amp;"!$H:$H")&gt;=N169),INDIRECT($R$1&amp;"!$K:$K"))))*N169+(_xlfn.SINGLE(_xlfn.XLOOKUP(1,(INDIRECT($R$1&amp;"!$C:$C")=B169)*(INDIRECT($R$1&amp;"!$G:$G")&lt;N169)*(INDIRECT($R$1&amp;"!$H:$H")&gt;=N169),INDIRECT($R$1&amp;"!$L:$L"))))</f>
        <v>137.15</v>
      </c>
      <c r="R169" s="955"/>
    </row>
    <row r="170" ht="17.25" spans="1:18">
      <c r="A170" s="963" t="s">
        <v>354</v>
      </c>
      <c r="B170" s="963" t="s">
        <v>355</v>
      </c>
      <c r="C170" s="964">
        <f ca="1" t="shared" si="134"/>
        <v>13.164014084507</v>
      </c>
      <c r="D170" s="964">
        <f ca="1" t="shared" si="135"/>
        <v>23.3139436619718</v>
      </c>
      <c r="E170" s="964">
        <f ca="1" t="shared" si="136"/>
        <v>33.4638732394366</v>
      </c>
      <c r="F170" s="965">
        <f ca="1" t="shared" ref="F170:H170" si="175">O170/$P$1</f>
        <v>10.330985915493</v>
      </c>
      <c r="G170" s="965">
        <f ca="1" t="shared" si="175"/>
        <v>17.8450704225352</v>
      </c>
      <c r="H170" s="965">
        <f ca="1" t="shared" si="175"/>
        <v>25.3591549295775</v>
      </c>
      <c r="I170" s="965">
        <f>(VLOOKUP($B$1,'Product Procurement Sheet'!B:I,8,0)*$L$1)/$P$1</f>
        <v>1.97183098591549</v>
      </c>
      <c r="J170" s="965">
        <f>(VLOOKUP($B$1,'Product Procurement Sheet'!B:I,8,0)*$M$1)/$P$1</f>
        <v>3.94366197183099</v>
      </c>
      <c r="K170" s="965">
        <f>(VLOOKUP($B$1,'Product Procurement Sheet'!B:I,8,0)*$N$1)/$P$1</f>
        <v>5.91549295774648</v>
      </c>
      <c r="L170" s="968">
        <f>VLOOKUP($B$1,'Product Procurement Sheet'!B:D,3,FALSE)*$L$1</f>
        <v>0.11</v>
      </c>
      <c r="M170" s="968">
        <f>VLOOKUP($B$1,'Product Procurement Sheet'!B:D,3,FALSE)*$M$1</f>
        <v>0.22</v>
      </c>
      <c r="N170" s="968">
        <f>VLOOKUP($B$1,'Product Procurement Sheet'!B:D,3,FALSE)*$N$1</f>
        <v>0.33</v>
      </c>
      <c r="O170" s="971" cm="1">
        <f ca="1" t="array" ref="O170">(_xlfn.SINGLE(_xlfn.XLOOKUP(1,(INDIRECT($R$1&amp;"!$C:$C")=B170)*(INDIRECT($R$1&amp;"!$G:$G")&lt;L170)*(INDIRECT($R$1&amp;"!$H:$H")&gt;=L170),INDIRECT($R$1&amp;"!$K:$K"))))*L170+(_xlfn.SINGLE(_xlfn.XLOOKUP(1,(INDIRECT($R$1&amp;"!$C:$C")=B170)*(INDIRECT($R$1&amp;"!$G:$G")&lt;L170)*(INDIRECT($R$1&amp;"!$H:$H")&gt;=L170),INDIRECT($R$1&amp;"!$L:$L"))))</f>
        <v>73.35</v>
      </c>
      <c r="P170" s="971" cm="1">
        <f ca="1" t="array" ref="P170">(_xlfn.SINGLE(_xlfn.XLOOKUP(1,(INDIRECT($R$1&amp;"!$C:$C")=B170)*(INDIRECT($R$1&amp;"!$G:$G")&lt;M170)*(INDIRECT($R$1&amp;"!$H:$H")&gt;=M170),INDIRECT($R$1&amp;"!$K:$K"))))*M170+(_xlfn.SINGLE(_xlfn.XLOOKUP(1,(INDIRECT($R$1&amp;"!$C:$C")=B170)*(INDIRECT($R$1&amp;"!$G:$G")&lt;M170)*(INDIRECT($R$1&amp;"!$H:$H")&gt;=M170),INDIRECT($R$1&amp;"!$L:$L"))))</f>
        <v>126.7</v>
      </c>
      <c r="Q170" s="971" cm="1">
        <f ca="1" t="array" ref="Q170">(_xlfn.SINGLE(_xlfn.XLOOKUP(1,(INDIRECT($R$1&amp;"!$C:$C")=B170)*(INDIRECT($R$1&amp;"!$G:$G")&lt;N170)*(INDIRECT($R$1&amp;"!$H:$H")&gt;=N170),INDIRECT($R$1&amp;"!$K:$K"))))*N170+(_xlfn.SINGLE(_xlfn.XLOOKUP(1,(INDIRECT($R$1&amp;"!$C:$C")=B170)*(INDIRECT($R$1&amp;"!$G:$G")&lt;N170)*(INDIRECT($R$1&amp;"!$H:$H")&gt;=N170),INDIRECT($R$1&amp;"!$L:$L"))))</f>
        <v>180.05</v>
      </c>
      <c r="R170" s="955"/>
    </row>
    <row r="171" ht="17.25" spans="1:18">
      <c r="A171" s="963" t="s">
        <v>356</v>
      </c>
      <c r="B171" s="963" t="s">
        <v>357</v>
      </c>
      <c r="C171" s="964">
        <f ca="1" t="shared" si="134"/>
        <v>8.35654929577465</v>
      </c>
      <c r="D171" s="964">
        <f ca="1" t="shared" si="135"/>
        <v>13.699014084507</v>
      </c>
      <c r="E171" s="964">
        <f ca="1" t="shared" si="136"/>
        <v>19.0414788732394</v>
      </c>
      <c r="F171" s="965">
        <f ca="1" t="shared" ref="F171:H171" si="176">O171/$P$1</f>
        <v>5.83802816901408</v>
      </c>
      <c r="G171" s="965">
        <f ca="1" t="shared" si="176"/>
        <v>8.85915492957747</v>
      </c>
      <c r="H171" s="965">
        <f ca="1" t="shared" si="176"/>
        <v>11.8802816901408</v>
      </c>
      <c r="I171" s="965">
        <f>(VLOOKUP($B$1,'Product Procurement Sheet'!B:I,8,0)*$L$1)/$P$1</f>
        <v>1.97183098591549</v>
      </c>
      <c r="J171" s="965">
        <f>(VLOOKUP($B$1,'Product Procurement Sheet'!B:I,8,0)*$M$1)/$P$1</f>
        <v>3.94366197183099</v>
      </c>
      <c r="K171" s="965">
        <f>(VLOOKUP($B$1,'Product Procurement Sheet'!B:I,8,0)*$N$1)/$P$1</f>
        <v>5.91549295774648</v>
      </c>
      <c r="L171" s="968">
        <f>VLOOKUP($B$1,'Product Procurement Sheet'!B:D,3,FALSE)*$L$1</f>
        <v>0.11</v>
      </c>
      <c r="M171" s="968">
        <f>VLOOKUP($B$1,'Product Procurement Sheet'!B:D,3,FALSE)*$M$1</f>
        <v>0.22</v>
      </c>
      <c r="N171" s="968">
        <f>VLOOKUP($B$1,'Product Procurement Sheet'!B:D,3,FALSE)*$N$1</f>
        <v>0.33</v>
      </c>
      <c r="O171" s="971" cm="1">
        <f ca="1" t="array" ref="O171">(_xlfn.SINGLE(_xlfn.XLOOKUP(1,(INDIRECT($R$1&amp;"!$C:$C")=B171)*(INDIRECT($R$1&amp;"!$G:$G")&lt;L171)*(INDIRECT($R$1&amp;"!$H:$H")&gt;=L171),INDIRECT($R$1&amp;"!$K:$K"))))*L171+(_xlfn.SINGLE(_xlfn.XLOOKUP(1,(INDIRECT($R$1&amp;"!$C:$C")=B171)*(INDIRECT($R$1&amp;"!$G:$G")&lt;L171)*(INDIRECT($R$1&amp;"!$H:$H")&gt;=L171),INDIRECT($R$1&amp;"!$L:$L"))))</f>
        <v>41.45</v>
      </c>
      <c r="P171" s="971" cm="1">
        <f ca="1" t="array" ref="P171">(_xlfn.SINGLE(_xlfn.XLOOKUP(1,(INDIRECT($R$1&amp;"!$C:$C")=B171)*(INDIRECT($R$1&amp;"!$G:$G")&lt;M171)*(INDIRECT($R$1&amp;"!$H:$H")&gt;=M171),INDIRECT($R$1&amp;"!$K:$K"))))*M171+(_xlfn.SINGLE(_xlfn.XLOOKUP(1,(INDIRECT($R$1&amp;"!$C:$C")=B171)*(INDIRECT($R$1&amp;"!$G:$G")&lt;M171)*(INDIRECT($R$1&amp;"!$H:$H")&gt;=M171),INDIRECT($R$1&amp;"!$L:$L"))))</f>
        <v>62.9</v>
      </c>
      <c r="Q171" s="971" cm="1">
        <f ca="1" t="array" ref="Q171">(_xlfn.SINGLE(_xlfn.XLOOKUP(1,(INDIRECT($R$1&amp;"!$C:$C")=B171)*(INDIRECT($R$1&amp;"!$G:$G")&lt;N171)*(INDIRECT($R$1&amp;"!$H:$H")&gt;=N171),INDIRECT($R$1&amp;"!$K:$K"))))*N171+(_xlfn.SINGLE(_xlfn.XLOOKUP(1,(INDIRECT($R$1&amp;"!$C:$C")=B171)*(INDIRECT($R$1&amp;"!$G:$G")&lt;N171)*(INDIRECT($R$1&amp;"!$H:$H")&gt;=N171),INDIRECT($R$1&amp;"!$L:$L"))))</f>
        <v>84.35</v>
      </c>
      <c r="R171" s="955"/>
    </row>
    <row r="172" ht="17.25" spans="1:18">
      <c r="A172" s="963" t="s">
        <v>358</v>
      </c>
      <c r="B172" s="963" t="s">
        <v>359</v>
      </c>
      <c r="C172" s="964">
        <f ca="1" t="shared" si="134"/>
        <v>13.164014084507</v>
      </c>
      <c r="D172" s="964">
        <f ca="1" t="shared" si="135"/>
        <v>23.3139436619718</v>
      </c>
      <c r="E172" s="964">
        <f ca="1" t="shared" si="136"/>
        <v>33.4638732394366</v>
      </c>
      <c r="F172" s="965">
        <f ca="1" t="shared" ref="F172:H172" si="177">O172/$P$1</f>
        <v>10.330985915493</v>
      </c>
      <c r="G172" s="965">
        <f ca="1" t="shared" si="177"/>
        <v>17.8450704225352</v>
      </c>
      <c r="H172" s="965">
        <f ca="1" t="shared" si="177"/>
        <v>25.3591549295775</v>
      </c>
      <c r="I172" s="965">
        <f>(VLOOKUP($B$1,'Product Procurement Sheet'!B:I,8,0)*$L$1)/$P$1</f>
        <v>1.97183098591549</v>
      </c>
      <c r="J172" s="965">
        <f>(VLOOKUP($B$1,'Product Procurement Sheet'!B:I,8,0)*$M$1)/$P$1</f>
        <v>3.94366197183099</v>
      </c>
      <c r="K172" s="965">
        <f>(VLOOKUP($B$1,'Product Procurement Sheet'!B:I,8,0)*$N$1)/$P$1</f>
        <v>5.91549295774648</v>
      </c>
      <c r="L172" s="968">
        <f>VLOOKUP($B$1,'Product Procurement Sheet'!B:D,3,FALSE)*$L$1</f>
        <v>0.11</v>
      </c>
      <c r="M172" s="968">
        <f>VLOOKUP($B$1,'Product Procurement Sheet'!B:D,3,FALSE)*$M$1</f>
        <v>0.22</v>
      </c>
      <c r="N172" s="968">
        <f>VLOOKUP($B$1,'Product Procurement Sheet'!B:D,3,FALSE)*$N$1</f>
        <v>0.33</v>
      </c>
      <c r="O172" s="971" cm="1">
        <f ca="1" t="array" ref="O172">(_xlfn.SINGLE(_xlfn.XLOOKUP(1,(INDIRECT($R$1&amp;"!$C:$C")=B172)*(INDIRECT($R$1&amp;"!$G:$G")&lt;L172)*(INDIRECT($R$1&amp;"!$H:$H")&gt;=L172),INDIRECT($R$1&amp;"!$K:$K"))))*L172+(_xlfn.SINGLE(_xlfn.XLOOKUP(1,(INDIRECT($R$1&amp;"!$C:$C")=B172)*(INDIRECT($R$1&amp;"!$G:$G")&lt;L172)*(INDIRECT($R$1&amp;"!$H:$H")&gt;=L172),INDIRECT($R$1&amp;"!$L:$L"))))</f>
        <v>73.35</v>
      </c>
      <c r="P172" s="971" cm="1">
        <f ca="1" t="array" ref="P172">(_xlfn.SINGLE(_xlfn.XLOOKUP(1,(INDIRECT($R$1&amp;"!$C:$C")=B172)*(INDIRECT($R$1&amp;"!$G:$G")&lt;M172)*(INDIRECT($R$1&amp;"!$H:$H")&gt;=M172),INDIRECT($R$1&amp;"!$K:$K"))))*M172+(_xlfn.SINGLE(_xlfn.XLOOKUP(1,(INDIRECT($R$1&amp;"!$C:$C")=B172)*(INDIRECT($R$1&amp;"!$G:$G")&lt;M172)*(INDIRECT($R$1&amp;"!$H:$H")&gt;=M172),INDIRECT($R$1&amp;"!$L:$L"))))</f>
        <v>126.7</v>
      </c>
      <c r="Q172" s="971" cm="1">
        <f ca="1" t="array" ref="Q172">(_xlfn.SINGLE(_xlfn.XLOOKUP(1,(INDIRECT($R$1&amp;"!$C:$C")=B172)*(INDIRECT($R$1&amp;"!$G:$G")&lt;N172)*(INDIRECT($R$1&amp;"!$H:$H")&gt;=N172),INDIRECT($R$1&amp;"!$K:$K"))))*N172+(_xlfn.SINGLE(_xlfn.XLOOKUP(1,(INDIRECT($R$1&amp;"!$C:$C")=B172)*(INDIRECT($R$1&amp;"!$G:$G")&lt;N172)*(INDIRECT($R$1&amp;"!$H:$H")&gt;=N172),INDIRECT($R$1&amp;"!$L:$L"))))</f>
        <v>180.05</v>
      </c>
      <c r="R172" s="955"/>
    </row>
    <row r="173" ht="17.25" spans="1:18">
      <c r="A173" s="963" t="s">
        <v>360</v>
      </c>
      <c r="B173" s="963" t="s">
        <v>361</v>
      </c>
      <c r="C173" s="964">
        <f ca="1" t="shared" si="134"/>
        <v>8.85387323943662</v>
      </c>
      <c r="D173" s="964">
        <f ca="1" t="shared" si="135"/>
        <v>14.693661971831</v>
      </c>
      <c r="E173" s="964">
        <f ca="1" t="shared" si="136"/>
        <v>20.5334507042254</v>
      </c>
      <c r="F173" s="965">
        <f ca="1" t="shared" ref="F173:H173" si="178">O173/$P$1</f>
        <v>6.30281690140845</v>
      </c>
      <c r="G173" s="965">
        <f ca="1" t="shared" si="178"/>
        <v>9.7887323943662</v>
      </c>
      <c r="H173" s="965">
        <f ca="1" t="shared" si="178"/>
        <v>13.2746478873239</v>
      </c>
      <c r="I173" s="965">
        <f>(VLOOKUP($B$1,'Product Procurement Sheet'!B:I,8,0)*$L$1)/$P$1</f>
        <v>1.97183098591549</v>
      </c>
      <c r="J173" s="965">
        <f>(VLOOKUP($B$1,'Product Procurement Sheet'!B:I,8,0)*$M$1)/$P$1</f>
        <v>3.94366197183099</v>
      </c>
      <c r="K173" s="965">
        <f>(VLOOKUP($B$1,'Product Procurement Sheet'!B:I,8,0)*$N$1)/$P$1</f>
        <v>5.91549295774648</v>
      </c>
      <c r="L173" s="968">
        <f>VLOOKUP($B$1,'Product Procurement Sheet'!B:D,3,FALSE)*$L$1</f>
        <v>0.11</v>
      </c>
      <c r="M173" s="968">
        <f>VLOOKUP($B$1,'Product Procurement Sheet'!B:D,3,FALSE)*$M$1</f>
        <v>0.22</v>
      </c>
      <c r="N173" s="968">
        <f>VLOOKUP($B$1,'Product Procurement Sheet'!B:D,3,FALSE)*$N$1</f>
        <v>0.33</v>
      </c>
      <c r="O173" s="971" cm="1">
        <f ca="1" t="array" ref="O173">(_xlfn.SINGLE(_xlfn.XLOOKUP(1,(INDIRECT($R$1&amp;"!$C:$C")=B173)*(INDIRECT($R$1&amp;"!$G:$G")&lt;L173)*(INDIRECT($R$1&amp;"!$H:$H")&gt;=L173),INDIRECT($R$1&amp;"!$K:$K"))))*L173+(_xlfn.SINGLE(_xlfn.XLOOKUP(1,(INDIRECT($R$1&amp;"!$C:$C")=B173)*(INDIRECT($R$1&amp;"!$G:$G")&lt;L173)*(INDIRECT($R$1&amp;"!$H:$H")&gt;=L173),INDIRECT($R$1&amp;"!$L:$L"))))</f>
        <v>44.75</v>
      </c>
      <c r="P173" s="971" cm="1">
        <f ca="1" t="array" ref="P173">(_xlfn.SINGLE(_xlfn.XLOOKUP(1,(INDIRECT($R$1&amp;"!$C:$C")=B173)*(INDIRECT($R$1&amp;"!$G:$G")&lt;M173)*(INDIRECT($R$1&amp;"!$H:$H")&gt;=M173),INDIRECT($R$1&amp;"!$K:$K"))))*M173+(_xlfn.SINGLE(_xlfn.XLOOKUP(1,(INDIRECT($R$1&amp;"!$C:$C")=B173)*(INDIRECT($R$1&amp;"!$G:$G")&lt;M173)*(INDIRECT($R$1&amp;"!$H:$H")&gt;=M173),INDIRECT($R$1&amp;"!$L:$L"))))</f>
        <v>69.5</v>
      </c>
      <c r="Q173" s="971" cm="1">
        <f ca="1" t="array" ref="Q173">(_xlfn.SINGLE(_xlfn.XLOOKUP(1,(INDIRECT($R$1&amp;"!$C:$C")=B173)*(INDIRECT($R$1&amp;"!$G:$G")&lt;N173)*(INDIRECT($R$1&amp;"!$H:$H")&gt;=N173),INDIRECT($R$1&amp;"!$K:$K"))))*N173+(_xlfn.SINGLE(_xlfn.XLOOKUP(1,(INDIRECT($R$1&amp;"!$C:$C")=B173)*(INDIRECT($R$1&amp;"!$G:$G")&lt;N173)*(INDIRECT($R$1&amp;"!$H:$H")&gt;=N173),INDIRECT($R$1&amp;"!$L:$L"))))</f>
        <v>94.25</v>
      </c>
      <c r="R173" s="955"/>
    </row>
    <row r="174" ht="17.25" spans="1:18">
      <c r="A174" s="963" t="s">
        <v>362</v>
      </c>
      <c r="B174" s="963" t="s">
        <v>363</v>
      </c>
      <c r="C174" s="964">
        <f ca="1" t="shared" si="134"/>
        <v>6.955</v>
      </c>
      <c r="D174" s="964">
        <f ca="1" t="shared" si="135"/>
        <v>11.8001408450704</v>
      </c>
      <c r="E174" s="964">
        <f ca="1" t="shared" si="136"/>
        <v>16.6452816901408</v>
      </c>
      <c r="F174" s="965">
        <f ca="1" t="shared" ref="F174:H174" si="179">O174/$P$1</f>
        <v>4.52816901408451</v>
      </c>
      <c r="G174" s="965">
        <f ca="1" t="shared" si="179"/>
        <v>7.08450704225352</v>
      </c>
      <c r="H174" s="965">
        <f ca="1" t="shared" si="179"/>
        <v>9.64084507042254</v>
      </c>
      <c r="I174" s="965">
        <f>(VLOOKUP($B$1,'Product Procurement Sheet'!B:I,8,0)*$L$1)/$P$1</f>
        <v>1.97183098591549</v>
      </c>
      <c r="J174" s="965">
        <f>(VLOOKUP($B$1,'Product Procurement Sheet'!B:I,8,0)*$M$1)/$P$1</f>
        <v>3.94366197183099</v>
      </c>
      <c r="K174" s="965">
        <f>(VLOOKUP($B$1,'Product Procurement Sheet'!B:I,8,0)*$N$1)/$P$1</f>
        <v>5.91549295774648</v>
      </c>
      <c r="L174" s="968">
        <f>VLOOKUP($B$1,'Product Procurement Sheet'!B:D,3,FALSE)*$L$1</f>
        <v>0.11</v>
      </c>
      <c r="M174" s="968">
        <f>VLOOKUP($B$1,'Product Procurement Sheet'!B:D,3,FALSE)*$M$1</f>
        <v>0.22</v>
      </c>
      <c r="N174" s="968">
        <f>VLOOKUP($B$1,'Product Procurement Sheet'!B:D,3,FALSE)*$N$1</f>
        <v>0.33</v>
      </c>
      <c r="O174" s="971" cm="1">
        <f ca="1" t="array" ref="O174">(_xlfn.SINGLE(_xlfn.XLOOKUP(1,(INDIRECT($R$1&amp;"!$C:$C")=B174)*(INDIRECT($R$1&amp;"!$G:$G")&lt;L174)*(INDIRECT($R$1&amp;"!$H:$H")&gt;=L174),INDIRECT($R$1&amp;"!$K:$K"))))*L174+(_xlfn.SINGLE(_xlfn.XLOOKUP(1,(INDIRECT($R$1&amp;"!$C:$C")=B174)*(INDIRECT($R$1&amp;"!$G:$G")&lt;L174)*(INDIRECT($R$1&amp;"!$H:$H")&gt;=L174),INDIRECT($R$1&amp;"!$L:$L"))))</f>
        <v>32.15</v>
      </c>
      <c r="P174" s="971" cm="1">
        <f ca="1" t="array" ref="P174">(_xlfn.SINGLE(_xlfn.XLOOKUP(1,(INDIRECT($R$1&amp;"!$C:$C")=B174)*(INDIRECT($R$1&amp;"!$G:$G")&lt;M174)*(INDIRECT($R$1&amp;"!$H:$H")&gt;=M174),INDIRECT($R$1&amp;"!$K:$K"))))*M174+(_xlfn.SINGLE(_xlfn.XLOOKUP(1,(INDIRECT($R$1&amp;"!$C:$C")=B174)*(INDIRECT($R$1&amp;"!$G:$G")&lt;M174)*(INDIRECT($R$1&amp;"!$H:$H")&gt;=M174),INDIRECT($R$1&amp;"!$L:$L"))))</f>
        <v>50.3</v>
      </c>
      <c r="Q174" s="971" cm="1">
        <f ca="1" t="array" ref="Q174">(_xlfn.SINGLE(_xlfn.XLOOKUP(1,(INDIRECT($R$1&amp;"!$C:$C")=B174)*(INDIRECT($R$1&amp;"!$G:$G")&lt;N174)*(INDIRECT($R$1&amp;"!$H:$H")&gt;=N174),INDIRECT($R$1&amp;"!$K:$K"))))*N174+(_xlfn.SINGLE(_xlfn.XLOOKUP(1,(INDIRECT($R$1&amp;"!$C:$C")=B174)*(INDIRECT($R$1&amp;"!$G:$G")&lt;N174)*(INDIRECT($R$1&amp;"!$H:$H")&gt;=N174),INDIRECT($R$1&amp;"!$L:$L"))))</f>
        <v>68.45</v>
      </c>
      <c r="R174" s="955"/>
    </row>
    <row r="175" ht="17.25" spans="1:18">
      <c r="A175" s="963" t="s">
        <v>364</v>
      </c>
      <c r="B175" s="963" t="s">
        <v>365</v>
      </c>
      <c r="C175" s="964">
        <f ca="1" t="shared" si="134"/>
        <v>7.4975352112676</v>
      </c>
      <c r="D175" s="964">
        <f ca="1" t="shared" si="135"/>
        <v>11.6795774647887</v>
      </c>
      <c r="E175" s="964">
        <f ca="1" t="shared" si="136"/>
        <v>15.8616197183099</v>
      </c>
      <c r="F175" s="965">
        <f ca="1" t="shared" ref="F175:H175" si="180">O175/$P$1</f>
        <v>5.03521126760563</v>
      </c>
      <c r="G175" s="965">
        <f ca="1" t="shared" si="180"/>
        <v>6.97183098591549</v>
      </c>
      <c r="H175" s="965">
        <f ca="1" t="shared" si="180"/>
        <v>8.90845070422535</v>
      </c>
      <c r="I175" s="965">
        <f>(VLOOKUP($B$1,'Product Procurement Sheet'!B:I,8,0)*$L$1)/$P$1</f>
        <v>1.97183098591549</v>
      </c>
      <c r="J175" s="965">
        <f>(VLOOKUP($B$1,'Product Procurement Sheet'!B:I,8,0)*$M$1)/$P$1</f>
        <v>3.94366197183099</v>
      </c>
      <c r="K175" s="965">
        <f>(VLOOKUP($B$1,'Product Procurement Sheet'!B:I,8,0)*$N$1)/$P$1</f>
        <v>5.91549295774648</v>
      </c>
      <c r="L175" s="968">
        <f>VLOOKUP($B$1,'Product Procurement Sheet'!B:D,3,FALSE)*$L$1</f>
        <v>0.11</v>
      </c>
      <c r="M175" s="968">
        <f>VLOOKUP($B$1,'Product Procurement Sheet'!B:D,3,FALSE)*$M$1</f>
        <v>0.22</v>
      </c>
      <c r="N175" s="968">
        <f>VLOOKUP($B$1,'Product Procurement Sheet'!B:D,3,FALSE)*$N$1</f>
        <v>0.33</v>
      </c>
      <c r="O175" s="971" cm="1">
        <f ca="1" t="array" ref="O175">(_xlfn.SINGLE(_xlfn.XLOOKUP(1,(INDIRECT($R$1&amp;"!$C:$C")=B175)*(INDIRECT($R$1&amp;"!$G:$G")&lt;L175)*(INDIRECT($R$1&amp;"!$H:$H")&gt;=L175),INDIRECT($R$1&amp;"!$K:$K"))))*L175+(_xlfn.SINGLE(_xlfn.XLOOKUP(1,(INDIRECT($R$1&amp;"!$C:$C")=B175)*(INDIRECT($R$1&amp;"!$G:$G")&lt;L175)*(INDIRECT($R$1&amp;"!$H:$H")&gt;=L175),INDIRECT($R$1&amp;"!$L:$L"))))</f>
        <v>35.75</v>
      </c>
      <c r="P175" s="971" cm="1">
        <f ca="1" t="array" ref="P175">(_xlfn.SINGLE(_xlfn.XLOOKUP(1,(INDIRECT($R$1&amp;"!$C:$C")=B175)*(INDIRECT($R$1&amp;"!$G:$G")&lt;M175)*(INDIRECT($R$1&amp;"!$H:$H")&gt;=M175),INDIRECT($R$1&amp;"!$K:$K"))))*M175+(_xlfn.SINGLE(_xlfn.XLOOKUP(1,(INDIRECT($R$1&amp;"!$C:$C")=B175)*(INDIRECT($R$1&amp;"!$G:$G")&lt;M175)*(INDIRECT($R$1&amp;"!$H:$H")&gt;=M175),INDIRECT($R$1&amp;"!$L:$L"))))</f>
        <v>49.5</v>
      </c>
      <c r="Q175" s="971" cm="1">
        <f ca="1" t="array" ref="Q175">(_xlfn.SINGLE(_xlfn.XLOOKUP(1,(INDIRECT($R$1&amp;"!$C:$C")=B175)*(INDIRECT($R$1&amp;"!$G:$G")&lt;N175)*(INDIRECT($R$1&amp;"!$H:$H")&gt;=N175),INDIRECT($R$1&amp;"!$K:$K"))))*N175+(_xlfn.SINGLE(_xlfn.XLOOKUP(1,(INDIRECT($R$1&amp;"!$C:$C")=B175)*(INDIRECT($R$1&amp;"!$G:$G")&lt;N175)*(INDIRECT($R$1&amp;"!$H:$H")&gt;=N175),INDIRECT($R$1&amp;"!$L:$L"))))</f>
        <v>63.25</v>
      </c>
      <c r="R175" s="955"/>
    </row>
    <row r="176" ht="17.25" spans="1:18">
      <c r="A176" s="963" t="s">
        <v>366</v>
      </c>
      <c r="B176" s="963" t="s">
        <v>367</v>
      </c>
      <c r="C176" s="964">
        <f ca="1" t="shared" si="134"/>
        <v>13.164014084507</v>
      </c>
      <c r="D176" s="964">
        <f ca="1" t="shared" si="135"/>
        <v>23.3139436619718</v>
      </c>
      <c r="E176" s="964">
        <f ca="1" t="shared" si="136"/>
        <v>33.4638732394366</v>
      </c>
      <c r="F176" s="965">
        <f ca="1" t="shared" ref="F176:H176" si="181">O176/$P$1</f>
        <v>10.330985915493</v>
      </c>
      <c r="G176" s="965">
        <f ca="1" t="shared" si="181"/>
        <v>17.8450704225352</v>
      </c>
      <c r="H176" s="965">
        <f ca="1" t="shared" si="181"/>
        <v>25.3591549295775</v>
      </c>
      <c r="I176" s="965">
        <f>(VLOOKUP($B$1,'Product Procurement Sheet'!B:I,8,0)*$L$1)/$P$1</f>
        <v>1.97183098591549</v>
      </c>
      <c r="J176" s="965">
        <f>(VLOOKUP($B$1,'Product Procurement Sheet'!B:I,8,0)*$M$1)/$P$1</f>
        <v>3.94366197183099</v>
      </c>
      <c r="K176" s="965">
        <f>(VLOOKUP($B$1,'Product Procurement Sheet'!B:I,8,0)*$N$1)/$P$1</f>
        <v>5.91549295774648</v>
      </c>
      <c r="L176" s="968">
        <f>VLOOKUP($B$1,'Product Procurement Sheet'!B:D,3,FALSE)*$L$1</f>
        <v>0.11</v>
      </c>
      <c r="M176" s="968">
        <f>VLOOKUP($B$1,'Product Procurement Sheet'!B:D,3,FALSE)*$M$1</f>
        <v>0.22</v>
      </c>
      <c r="N176" s="968">
        <f>VLOOKUP($B$1,'Product Procurement Sheet'!B:D,3,FALSE)*$N$1</f>
        <v>0.33</v>
      </c>
      <c r="O176" s="971" cm="1">
        <f ca="1" t="array" ref="O176">(_xlfn.SINGLE(_xlfn.XLOOKUP(1,(INDIRECT($R$1&amp;"!$C:$C")=B176)*(INDIRECT($R$1&amp;"!$G:$G")&lt;L176)*(INDIRECT($R$1&amp;"!$H:$H")&gt;=L176),INDIRECT($R$1&amp;"!$K:$K"))))*L176+(_xlfn.SINGLE(_xlfn.XLOOKUP(1,(INDIRECT($R$1&amp;"!$C:$C")=B176)*(INDIRECT($R$1&amp;"!$G:$G")&lt;L176)*(INDIRECT($R$1&amp;"!$H:$H")&gt;=L176),INDIRECT($R$1&amp;"!$L:$L"))))</f>
        <v>73.35</v>
      </c>
      <c r="P176" s="971" cm="1">
        <f ca="1" t="array" ref="P176">(_xlfn.SINGLE(_xlfn.XLOOKUP(1,(INDIRECT($R$1&amp;"!$C:$C")=B176)*(INDIRECT($R$1&amp;"!$G:$G")&lt;M176)*(INDIRECT($R$1&amp;"!$H:$H")&gt;=M176),INDIRECT($R$1&amp;"!$K:$K"))))*M176+(_xlfn.SINGLE(_xlfn.XLOOKUP(1,(INDIRECT($R$1&amp;"!$C:$C")=B176)*(INDIRECT($R$1&amp;"!$G:$G")&lt;M176)*(INDIRECT($R$1&amp;"!$H:$H")&gt;=M176),INDIRECT($R$1&amp;"!$L:$L"))))</f>
        <v>126.7</v>
      </c>
      <c r="Q176" s="971" cm="1">
        <f ca="1" t="array" ref="Q176">(_xlfn.SINGLE(_xlfn.XLOOKUP(1,(INDIRECT($R$1&amp;"!$C:$C")=B176)*(INDIRECT($R$1&amp;"!$G:$G")&lt;N176)*(INDIRECT($R$1&amp;"!$H:$H")&gt;=N176),INDIRECT($R$1&amp;"!$K:$K"))))*N176+(_xlfn.SINGLE(_xlfn.XLOOKUP(1,(INDIRECT($R$1&amp;"!$C:$C")=B176)*(INDIRECT($R$1&amp;"!$G:$G")&lt;N176)*(INDIRECT($R$1&amp;"!$H:$H")&gt;=N176),INDIRECT($R$1&amp;"!$L:$L"))))</f>
        <v>180.05</v>
      </c>
      <c r="R176" s="955"/>
    </row>
    <row r="177" ht="17.25" spans="1:18">
      <c r="A177" s="963" t="s">
        <v>368</v>
      </c>
      <c r="B177" s="963" t="s">
        <v>369</v>
      </c>
      <c r="C177" s="964">
        <f ca="1" t="shared" si="134"/>
        <v>9.51697183098591</v>
      </c>
      <c r="D177" s="964">
        <f ca="1" t="shared" si="135"/>
        <v>16.0198591549296</v>
      </c>
      <c r="E177" s="964">
        <f ca="1" t="shared" si="136"/>
        <v>22.5227464788732</v>
      </c>
      <c r="F177" s="965">
        <f ca="1" t="shared" ref="F177:H177" si="182">O177/$P$1</f>
        <v>6.92253521126761</v>
      </c>
      <c r="G177" s="965">
        <f ca="1" t="shared" si="182"/>
        <v>11.0281690140845</v>
      </c>
      <c r="H177" s="965">
        <f ca="1" t="shared" si="182"/>
        <v>15.1338028169014</v>
      </c>
      <c r="I177" s="965">
        <f>(VLOOKUP($B$1,'Product Procurement Sheet'!B:I,8,0)*$L$1)/$P$1</f>
        <v>1.97183098591549</v>
      </c>
      <c r="J177" s="965">
        <f>(VLOOKUP($B$1,'Product Procurement Sheet'!B:I,8,0)*$M$1)/$P$1</f>
        <v>3.94366197183099</v>
      </c>
      <c r="K177" s="965">
        <f>(VLOOKUP($B$1,'Product Procurement Sheet'!B:I,8,0)*$N$1)/$P$1</f>
        <v>5.91549295774648</v>
      </c>
      <c r="L177" s="968">
        <f>VLOOKUP($B$1,'Product Procurement Sheet'!B:D,3,FALSE)*$L$1</f>
        <v>0.11</v>
      </c>
      <c r="M177" s="968">
        <f>VLOOKUP($B$1,'Product Procurement Sheet'!B:D,3,FALSE)*$M$1</f>
        <v>0.22</v>
      </c>
      <c r="N177" s="968">
        <f>VLOOKUP($B$1,'Product Procurement Sheet'!B:D,3,FALSE)*$N$1</f>
        <v>0.33</v>
      </c>
      <c r="O177" s="971" cm="1">
        <f ca="1" t="array" ref="O177">(_xlfn.SINGLE(_xlfn.XLOOKUP(1,(INDIRECT($R$1&amp;"!$C:$C")=B177)*(INDIRECT($R$1&amp;"!$G:$G")&lt;L177)*(INDIRECT($R$1&amp;"!$H:$H")&gt;=L177),INDIRECT($R$1&amp;"!$K:$K"))))*L177+(_xlfn.SINGLE(_xlfn.XLOOKUP(1,(INDIRECT($R$1&amp;"!$C:$C")=B177)*(INDIRECT($R$1&amp;"!$G:$G")&lt;L177)*(INDIRECT($R$1&amp;"!$H:$H")&gt;=L177),INDIRECT($R$1&amp;"!$L:$L"))))</f>
        <v>49.15</v>
      </c>
      <c r="P177" s="971" cm="1">
        <f ca="1" t="array" ref="P177">(_xlfn.SINGLE(_xlfn.XLOOKUP(1,(INDIRECT($R$1&amp;"!$C:$C")=B177)*(INDIRECT($R$1&amp;"!$G:$G")&lt;M177)*(INDIRECT($R$1&amp;"!$H:$H")&gt;=M177),INDIRECT($R$1&amp;"!$K:$K"))))*M177+(_xlfn.SINGLE(_xlfn.XLOOKUP(1,(INDIRECT($R$1&amp;"!$C:$C")=B177)*(INDIRECT($R$1&amp;"!$G:$G")&lt;M177)*(INDIRECT($R$1&amp;"!$H:$H")&gt;=M177),INDIRECT($R$1&amp;"!$L:$L"))))</f>
        <v>78.3</v>
      </c>
      <c r="Q177" s="971" cm="1">
        <f ca="1" t="array" ref="Q177">(_xlfn.SINGLE(_xlfn.XLOOKUP(1,(INDIRECT($R$1&amp;"!$C:$C")=B177)*(INDIRECT($R$1&amp;"!$G:$G")&lt;N177)*(INDIRECT($R$1&amp;"!$H:$H")&gt;=N177),INDIRECT($R$1&amp;"!$K:$K"))))*N177+(_xlfn.SINGLE(_xlfn.XLOOKUP(1,(INDIRECT($R$1&amp;"!$C:$C")=B177)*(INDIRECT($R$1&amp;"!$G:$G")&lt;N177)*(INDIRECT($R$1&amp;"!$H:$H")&gt;=N177),INDIRECT($R$1&amp;"!$L:$L"))))</f>
        <v>107.45</v>
      </c>
      <c r="R177" s="955"/>
    </row>
    <row r="178" ht="17.25" spans="1:18">
      <c r="A178" s="963" t="s">
        <v>370</v>
      </c>
      <c r="B178" s="963" t="s">
        <v>371</v>
      </c>
      <c r="C178" s="964">
        <f ca="1" t="shared" si="134"/>
        <v>13.164014084507</v>
      </c>
      <c r="D178" s="964">
        <f ca="1" t="shared" si="135"/>
        <v>23.3139436619718</v>
      </c>
      <c r="E178" s="964">
        <f ca="1" t="shared" si="136"/>
        <v>33.4638732394366</v>
      </c>
      <c r="F178" s="965">
        <f ca="1" t="shared" ref="F178:H178" si="183">O178/$P$1</f>
        <v>10.330985915493</v>
      </c>
      <c r="G178" s="965">
        <f ca="1" t="shared" si="183"/>
        <v>17.8450704225352</v>
      </c>
      <c r="H178" s="965">
        <f ca="1" t="shared" si="183"/>
        <v>25.3591549295775</v>
      </c>
      <c r="I178" s="965">
        <f>(VLOOKUP($B$1,'Product Procurement Sheet'!B:I,8,0)*$L$1)/$P$1</f>
        <v>1.97183098591549</v>
      </c>
      <c r="J178" s="965">
        <f>(VLOOKUP($B$1,'Product Procurement Sheet'!B:I,8,0)*$M$1)/$P$1</f>
        <v>3.94366197183099</v>
      </c>
      <c r="K178" s="965">
        <f>(VLOOKUP($B$1,'Product Procurement Sheet'!B:I,8,0)*$N$1)/$P$1</f>
        <v>5.91549295774648</v>
      </c>
      <c r="L178" s="968">
        <f>VLOOKUP($B$1,'Product Procurement Sheet'!B:D,3,FALSE)*$L$1</f>
        <v>0.11</v>
      </c>
      <c r="M178" s="968">
        <f>VLOOKUP($B$1,'Product Procurement Sheet'!B:D,3,FALSE)*$M$1</f>
        <v>0.22</v>
      </c>
      <c r="N178" s="968">
        <f>VLOOKUP($B$1,'Product Procurement Sheet'!B:D,3,FALSE)*$N$1</f>
        <v>0.33</v>
      </c>
      <c r="O178" s="971" cm="1">
        <f ca="1" t="array" ref="O178">(_xlfn.SINGLE(_xlfn.XLOOKUP(1,(INDIRECT($R$1&amp;"!$C:$C")=B178)*(INDIRECT($R$1&amp;"!$G:$G")&lt;L178)*(INDIRECT($R$1&amp;"!$H:$H")&gt;=L178),INDIRECT($R$1&amp;"!$K:$K"))))*L178+(_xlfn.SINGLE(_xlfn.XLOOKUP(1,(INDIRECT($R$1&amp;"!$C:$C")=B178)*(INDIRECT($R$1&amp;"!$G:$G")&lt;L178)*(INDIRECT($R$1&amp;"!$H:$H")&gt;=L178),INDIRECT($R$1&amp;"!$L:$L"))))</f>
        <v>73.35</v>
      </c>
      <c r="P178" s="971" cm="1">
        <f ca="1" t="array" ref="P178">(_xlfn.SINGLE(_xlfn.XLOOKUP(1,(INDIRECT($R$1&amp;"!$C:$C")=B178)*(INDIRECT($R$1&amp;"!$G:$G")&lt;M178)*(INDIRECT($R$1&amp;"!$H:$H")&gt;=M178),INDIRECT($R$1&amp;"!$K:$K"))))*M178+(_xlfn.SINGLE(_xlfn.XLOOKUP(1,(INDIRECT($R$1&amp;"!$C:$C")=B178)*(INDIRECT($R$1&amp;"!$G:$G")&lt;M178)*(INDIRECT($R$1&amp;"!$H:$H")&gt;=M178),INDIRECT($R$1&amp;"!$L:$L"))))</f>
        <v>126.7</v>
      </c>
      <c r="Q178" s="971" cm="1">
        <f ca="1" t="array" ref="Q178">(_xlfn.SINGLE(_xlfn.XLOOKUP(1,(INDIRECT($R$1&amp;"!$C:$C")=B178)*(INDIRECT($R$1&amp;"!$G:$G")&lt;N178)*(INDIRECT($R$1&amp;"!$H:$H")&gt;=N178),INDIRECT($R$1&amp;"!$K:$K"))))*N178+(_xlfn.SINGLE(_xlfn.XLOOKUP(1,(INDIRECT($R$1&amp;"!$C:$C")=B178)*(INDIRECT($R$1&amp;"!$G:$G")&lt;N178)*(INDIRECT($R$1&amp;"!$H:$H")&gt;=N178),INDIRECT($R$1&amp;"!$L:$L"))))</f>
        <v>180.05</v>
      </c>
      <c r="R178" s="955"/>
    </row>
    <row r="179" ht="17.25" spans="1:18">
      <c r="A179" s="963" t="s">
        <v>372</v>
      </c>
      <c r="B179" s="963" t="s">
        <v>373</v>
      </c>
      <c r="C179" s="964">
        <f ca="1" t="shared" si="134"/>
        <v>8.68809859154929</v>
      </c>
      <c r="D179" s="964">
        <f ca="1" t="shared" si="135"/>
        <v>14.3621126760563</v>
      </c>
      <c r="E179" s="964">
        <f ca="1" t="shared" si="136"/>
        <v>20.0361267605634</v>
      </c>
      <c r="F179" s="965">
        <f ca="1" t="shared" ref="F179:H179" si="184">O179/$P$1</f>
        <v>6.14788732394366</v>
      </c>
      <c r="G179" s="965">
        <f ca="1" t="shared" si="184"/>
        <v>9.47887323943662</v>
      </c>
      <c r="H179" s="965">
        <f ca="1" t="shared" si="184"/>
        <v>12.8098591549296</v>
      </c>
      <c r="I179" s="965">
        <f>(VLOOKUP($B$1,'Product Procurement Sheet'!B:I,8,0)*$L$1)/$P$1</f>
        <v>1.97183098591549</v>
      </c>
      <c r="J179" s="965">
        <f>(VLOOKUP($B$1,'Product Procurement Sheet'!B:I,8,0)*$M$1)/$P$1</f>
        <v>3.94366197183099</v>
      </c>
      <c r="K179" s="965">
        <f>(VLOOKUP($B$1,'Product Procurement Sheet'!B:I,8,0)*$N$1)/$P$1</f>
        <v>5.91549295774648</v>
      </c>
      <c r="L179" s="968">
        <f>VLOOKUP($B$1,'Product Procurement Sheet'!B:D,3,FALSE)*$L$1</f>
        <v>0.11</v>
      </c>
      <c r="M179" s="968">
        <f>VLOOKUP($B$1,'Product Procurement Sheet'!B:D,3,FALSE)*$M$1</f>
        <v>0.22</v>
      </c>
      <c r="N179" s="968">
        <f>VLOOKUP($B$1,'Product Procurement Sheet'!B:D,3,FALSE)*$N$1</f>
        <v>0.33</v>
      </c>
      <c r="O179" s="971" cm="1">
        <f ca="1" t="array" ref="O179">(_xlfn.SINGLE(_xlfn.XLOOKUP(1,(INDIRECT($R$1&amp;"!$C:$C")=B179)*(INDIRECT($R$1&amp;"!$G:$G")&lt;L179)*(INDIRECT($R$1&amp;"!$H:$H")&gt;=L179),INDIRECT($R$1&amp;"!$K:$K"))))*L179+(_xlfn.SINGLE(_xlfn.XLOOKUP(1,(INDIRECT($R$1&amp;"!$C:$C")=B179)*(INDIRECT($R$1&amp;"!$G:$G")&lt;L179)*(INDIRECT($R$1&amp;"!$H:$H")&gt;=L179),INDIRECT($R$1&amp;"!$L:$L"))))</f>
        <v>43.65</v>
      </c>
      <c r="P179" s="971" cm="1">
        <f ca="1" t="array" ref="P179">(_xlfn.SINGLE(_xlfn.XLOOKUP(1,(INDIRECT($R$1&amp;"!$C:$C")=B179)*(INDIRECT($R$1&amp;"!$G:$G")&lt;M179)*(INDIRECT($R$1&amp;"!$H:$H")&gt;=M179),INDIRECT($R$1&amp;"!$K:$K"))))*M179+(_xlfn.SINGLE(_xlfn.XLOOKUP(1,(INDIRECT($R$1&amp;"!$C:$C")=B179)*(INDIRECT($R$1&amp;"!$G:$G")&lt;M179)*(INDIRECT($R$1&amp;"!$H:$H")&gt;=M179),INDIRECT($R$1&amp;"!$L:$L"))))</f>
        <v>67.3</v>
      </c>
      <c r="Q179" s="971" cm="1">
        <f ca="1" t="array" ref="Q179">(_xlfn.SINGLE(_xlfn.XLOOKUP(1,(INDIRECT($R$1&amp;"!$C:$C")=B179)*(INDIRECT($R$1&amp;"!$G:$G")&lt;N179)*(INDIRECT($R$1&amp;"!$H:$H")&gt;=N179),INDIRECT($R$1&amp;"!$K:$K"))))*N179+(_xlfn.SINGLE(_xlfn.XLOOKUP(1,(INDIRECT($R$1&amp;"!$C:$C")=B179)*(INDIRECT($R$1&amp;"!$G:$G")&lt;N179)*(INDIRECT($R$1&amp;"!$H:$H")&gt;=N179),INDIRECT($R$1&amp;"!$L:$L"))))</f>
        <v>90.95</v>
      </c>
      <c r="R179" s="955"/>
    </row>
    <row r="180" ht="17.25" spans="1:18">
      <c r="A180" s="963" t="s">
        <v>374</v>
      </c>
      <c r="B180" s="963" t="s">
        <v>375</v>
      </c>
      <c r="C180" s="964">
        <f ca="1" t="shared" si="134"/>
        <v>8.025</v>
      </c>
      <c r="D180" s="964">
        <f ca="1" t="shared" si="135"/>
        <v>13.0359154929578</v>
      </c>
      <c r="E180" s="964">
        <f ca="1" t="shared" si="136"/>
        <v>18.0468309859155</v>
      </c>
      <c r="F180" s="965">
        <f ca="1" t="shared" ref="F180:H180" si="185">O180/$P$1</f>
        <v>5.52816901408451</v>
      </c>
      <c r="G180" s="965">
        <f ca="1" t="shared" si="185"/>
        <v>8.23943661971831</v>
      </c>
      <c r="H180" s="965">
        <f ca="1" t="shared" si="185"/>
        <v>10.9507042253521</v>
      </c>
      <c r="I180" s="965">
        <f>(VLOOKUP($B$1,'Product Procurement Sheet'!B:I,8,0)*$L$1)/$P$1</f>
        <v>1.97183098591549</v>
      </c>
      <c r="J180" s="965">
        <f>(VLOOKUP($B$1,'Product Procurement Sheet'!B:I,8,0)*$M$1)/$P$1</f>
        <v>3.94366197183099</v>
      </c>
      <c r="K180" s="965">
        <f>(VLOOKUP($B$1,'Product Procurement Sheet'!B:I,8,0)*$N$1)/$P$1</f>
        <v>5.91549295774648</v>
      </c>
      <c r="L180" s="968">
        <f>VLOOKUP($B$1,'Product Procurement Sheet'!B:D,3,FALSE)*$L$1</f>
        <v>0.11</v>
      </c>
      <c r="M180" s="968">
        <f>VLOOKUP($B$1,'Product Procurement Sheet'!B:D,3,FALSE)*$M$1</f>
        <v>0.22</v>
      </c>
      <c r="N180" s="968">
        <f>VLOOKUP($B$1,'Product Procurement Sheet'!B:D,3,FALSE)*$N$1</f>
        <v>0.33</v>
      </c>
      <c r="O180" s="971" cm="1">
        <f ca="1" t="array" ref="O180">(_xlfn.SINGLE(_xlfn.XLOOKUP(1,(INDIRECT($R$1&amp;"!$C:$C")=B180)*(INDIRECT($R$1&amp;"!$G:$G")&lt;L180)*(INDIRECT($R$1&amp;"!$H:$H")&gt;=L180),INDIRECT($R$1&amp;"!$K:$K"))))*L180+(_xlfn.SINGLE(_xlfn.XLOOKUP(1,(INDIRECT($R$1&amp;"!$C:$C")=B180)*(INDIRECT($R$1&amp;"!$G:$G")&lt;L180)*(INDIRECT($R$1&amp;"!$H:$H")&gt;=L180),INDIRECT($R$1&amp;"!$L:$L"))))</f>
        <v>39.25</v>
      </c>
      <c r="P180" s="971" cm="1">
        <f ca="1" t="array" ref="P180">(_xlfn.SINGLE(_xlfn.XLOOKUP(1,(INDIRECT($R$1&amp;"!$C:$C")=B180)*(INDIRECT($R$1&amp;"!$G:$G")&lt;M180)*(INDIRECT($R$1&amp;"!$H:$H")&gt;=M180),INDIRECT($R$1&amp;"!$K:$K"))))*M180+(_xlfn.SINGLE(_xlfn.XLOOKUP(1,(INDIRECT($R$1&amp;"!$C:$C")=B180)*(INDIRECT($R$1&amp;"!$G:$G")&lt;M180)*(INDIRECT($R$1&amp;"!$H:$H")&gt;=M180),INDIRECT($R$1&amp;"!$L:$L"))))</f>
        <v>58.5</v>
      </c>
      <c r="Q180" s="971" cm="1">
        <f ca="1" t="array" ref="Q180">(_xlfn.SINGLE(_xlfn.XLOOKUP(1,(INDIRECT($R$1&amp;"!$C:$C")=B180)*(INDIRECT($R$1&amp;"!$G:$G")&lt;N180)*(INDIRECT($R$1&amp;"!$H:$H")&gt;=N180),INDIRECT($R$1&amp;"!$K:$K"))))*N180+(_xlfn.SINGLE(_xlfn.XLOOKUP(1,(INDIRECT($R$1&amp;"!$C:$C")=B180)*(INDIRECT($R$1&amp;"!$G:$G")&lt;N180)*(INDIRECT($R$1&amp;"!$H:$H")&gt;=N180),INDIRECT($R$1&amp;"!$L:$L"))))</f>
        <v>77.75</v>
      </c>
      <c r="R180" s="955"/>
    </row>
    <row r="181" ht="17.25" spans="1:18">
      <c r="A181" s="963" t="s">
        <v>376</v>
      </c>
      <c r="B181" s="963" t="s">
        <v>377</v>
      </c>
      <c r="C181" s="964">
        <f ca="1" t="shared" si="134"/>
        <v>13.164014084507</v>
      </c>
      <c r="D181" s="964">
        <f ca="1" t="shared" si="135"/>
        <v>23.3139436619718</v>
      </c>
      <c r="E181" s="964">
        <f ca="1" t="shared" si="136"/>
        <v>33.4638732394366</v>
      </c>
      <c r="F181" s="965">
        <f ca="1" t="shared" ref="F181:H181" si="186">O181/$P$1</f>
        <v>10.330985915493</v>
      </c>
      <c r="G181" s="965">
        <f ca="1" t="shared" si="186"/>
        <v>17.8450704225352</v>
      </c>
      <c r="H181" s="965">
        <f ca="1" t="shared" si="186"/>
        <v>25.3591549295775</v>
      </c>
      <c r="I181" s="965">
        <f>(VLOOKUP($B$1,'Product Procurement Sheet'!B:I,8,0)*$L$1)/$P$1</f>
        <v>1.97183098591549</v>
      </c>
      <c r="J181" s="965">
        <f>(VLOOKUP($B$1,'Product Procurement Sheet'!B:I,8,0)*$M$1)/$P$1</f>
        <v>3.94366197183099</v>
      </c>
      <c r="K181" s="965">
        <f>(VLOOKUP($B$1,'Product Procurement Sheet'!B:I,8,0)*$N$1)/$P$1</f>
        <v>5.91549295774648</v>
      </c>
      <c r="L181" s="968">
        <f>VLOOKUP($B$1,'Product Procurement Sheet'!B:D,3,FALSE)*$L$1</f>
        <v>0.11</v>
      </c>
      <c r="M181" s="968">
        <f>VLOOKUP($B$1,'Product Procurement Sheet'!B:D,3,FALSE)*$M$1</f>
        <v>0.22</v>
      </c>
      <c r="N181" s="968">
        <f>VLOOKUP($B$1,'Product Procurement Sheet'!B:D,3,FALSE)*$N$1</f>
        <v>0.33</v>
      </c>
      <c r="O181" s="971" cm="1">
        <f ca="1" t="array" ref="O181">(_xlfn.SINGLE(_xlfn.XLOOKUP(1,(INDIRECT($R$1&amp;"!$C:$C")=B181)*(INDIRECT($R$1&amp;"!$G:$G")&lt;L181)*(INDIRECT($R$1&amp;"!$H:$H")&gt;=L181),INDIRECT($R$1&amp;"!$K:$K"))))*L181+(_xlfn.SINGLE(_xlfn.XLOOKUP(1,(INDIRECT($R$1&amp;"!$C:$C")=B181)*(INDIRECT($R$1&amp;"!$G:$G")&lt;L181)*(INDIRECT($R$1&amp;"!$H:$H")&gt;=L181),INDIRECT($R$1&amp;"!$L:$L"))))</f>
        <v>73.35</v>
      </c>
      <c r="P181" s="971" cm="1">
        <f ca="1" t="array" ref="P181">(_xlfn.SINGLE(_xlfn.XLOOKUP(1,(INDIRECT($R$1&amp;"!$C:$C")=B181)*(INDIRECT($R$1&amp;"!$G:$G")&lt;M181)*(INDIRECT($R$1&amp;"!$H:$H")&gt;=M181),INDIRECT($R$1&amp;"!$K:$K"))))*M181+(_xlfn.SINGLE(_xlfn.XLOOKUP(1,(INDIRECT($R$1&amp;"!$C:$C")=B181)*(INDIRECT($R$1&amp;"!$G:$G")&lt;M181)*(INDIRECT($R$1&amp;"!$H:$H")&gt;=M181),INDIRECT($R$1&amp;"!$L:$L"))))</f>
        <v>126.7</v>
      </c>
      <c r="Q181" s="971" cm="1">
        <f ca="1" t="array" ref="Q181">(_xlfn.SINGLE(_xlfn.XLOOKUP(1,(INDIRECT($R$1&amp;"!$C:$C")=B181)*(INDIRECT($R$1&amp;"!$G:$G")&lt;N181)*(INDIRECT($R$1&amp;"!$H:$H")&gt;=N181),INDIRECT($R$1&amp;"!$K:$K"))))*N181+(_xlfn.SINGLE(_xlfn.XLOOKUP(1,(INDIRECT($R$1&amp;"!$C:$C")=B181)*(INDIRECT($R$1&amp;"!$G:$G")&lt;N181)*(INDIRECT($R$1&amp;"!$H:$H")&gt;=N181),INDIRECT($R$1&amp;"!$L:$L"))))</f>
        <v>180.05</v>
      </c>
      <c r="R181" s="955"/>
    </row>
    <row r="182" ht="17.25" spans="1:18">
      <c r="A182" s="963" t="s">
        <v>378</v>
      </c>
      <c r="B182" s="963" t="s">
        <v>379</v>
      </c>
      <c r="C182" s="964">
        <f ca="1" t="shared" si="134"/>
        <v>9.32105633802817</v>
      </c>
      <c r="D182" s="964">
        <f ca="1" t="shared" si="135"/>
        <v>15.3266197183099</v>
      </c>
      <c r="E182" s="964">
        <f ca="1" t="shared" si="136"/>
        <v>21.3321830985915</v>
      </c>
      <c r="F182" s="965">
        <f ca="1" t="shared" ref="F182:H182" si="187">O182/$P$1</f>
        <v>6.73943661971831</v>
      </c>
      <c r="G182" s="965">
        <f ca="1" t="shared" si="187"/>
        <v>10.3802816901408</v>
      </c>
      <c r="H182" s="965">
        <f ca="1" t="shared" si="187"/>
        <v>14.0211267605634</v>
      </c>
      <c r="I182" s="965">
        <f>(VLOOKUP($B$1,'Product Procurement Sheet'!B:I,8,0)*$L$1)/$P$1</f>
        <v>1.97183098591549</v>
      </c>
      <c r="J182" s="965">
        <f>(VLOOKUP($B$1,'Product Procurement Sheet'!B:I,8,0)*$M$1)/$P$1</f>
        <v>3.94366197183099</v>
      </c>
      <c r="K182" s="965">
        <f>(VLOOKUP($B$1,'Product Procurement Sheet'!B:I,8,0)*$N$1)/$P$1</f>
        <v>5.91549295774648</v>
      </c>
      <c r="L182" s="968">
        <f>VLOOKUP($B$1,'Product Procurement Sheet'!B:D,3,FALSE)*$L$1</f>
        <v>0.11</v>
      </c>
      <c r="M182" s="968">
        <f>VLOOKUP($B$1,'Product Procurement Sheet'!B:D,3,FALSE)*$M$1</f>
        <v>0.22</v>
      </c>
      <c r="N182" s="968">
        <f>VLOOKUP($B$1,'Product Procurement Sheet'!B:D,3,FALSE)*$N$1</f>
        <v>0.33</v>
      </c>
      <c r="O182" s="971" cm="1">
        <f ca="1" t="array" ref="O182">(_xlfn.SINGLE(_xlfn.XLOOKUP(1,(INDIRECT($R$1&amp;"!$C:$C")=B182)*(INDIRECT($R$1&amp;"!$G:$G")&lt;L182)*(INDIRECT($R$1&amp;"!$H:$H")&gt;=L182),INDIRECT($R$1&amp;"!$K:$K"))))*L182+(_xlfn.SINGLE(_xlfn.XLOOKUP(1,(INDIRECT($R$1&amp;"!$C:$C")=B182)*(INDIRECT($R$1&amp;"!$G:$G")&lt;L182)*(INDIRECT($R$1&amp;"!$H:$H")&gt;=L182),INDIRECT($R$1&amp;"!$L:$L"))))</f>
        <v>47.85</v>
      </c>
      <c r="P182" s="971" cm="1">
        <f ca="1" t="array" ref="P182">(_xlfn.SINGLE(_xlfn.XLOOKUP(1,(INDIRECT($R$1&amp;"!$C:$C")=B182)*(INDIRECT($R$1&amp;"!$G:$G")&lt;M182)*(INDIRECT($R$1&amp;"!$H:$H")&gt;=M182),INDIRECT($R$1&amp;"!$K:$K"))))*M182+(_xlfn.SINGLE(_xlfn.XLOOKUP(1,(INDIRECT($R$1&amp;"!$C:$C")=B182)*(INDIRECT($R$1&amp;"!$G:$G")&lt;M182)*(INDIRECT($R$1&amp;"!$H:$H")&gt;=M182),INDIRECT($R$1&amp;"!$L:$L"))))</f>
        <v>73.7</v>
      </c>
      <c r="Q182" s="971" cm="1">
        <f ca="1" t="array" ref="Q182">(_xlfn.SINGLE(_xlfn.XLOOKUP(1,(INDIRECT($R$1&amp;"!$C:$C")=B182)*(INDIRECT($R$1&amp;"!$G:$G")&lt;N182)*(INDIRECT($R$1&amp;"!$H:$H")&gt;=N182),INDIRECT($R$1&amp;"!$K:$K"))))*N182+(_xlfn.SINGLE(_xlfn.XLOOKUP(1,(INDIRECT($R$1&amp;"!$C:$C")=B182)*(INDIRECT($R$1&amp;"!$G:$G")&lt;N182)*(INDIRECT($R$1&amp;"!$H:$H")&gt;=N182),INDIRECT($R$1&amp;"!$L:$L"))))</f>
        <v>99.55</v>
      </c>
      <c r="R182" s="955"/>
    </row>
    <row r="183" ht="17.25" spans="1:18">
      <c r="A183" s="963" t="s">
        <v>380</v>
      </c>
      <c r="B183" s="963" t="s">
        <v>381</v>
      </c>
      <c r="C183" s="964">
        <f ca="1" t="shared" si="134"/>
        <v>8.52232394366197</v>
      </c>
      <c r="D183" s="964">
        <f ca="1" t="shared" si="135"/>
        <v>14.0305633802817</v>
      </c>
      <c r="E183" s="964">
        <f ca="1" t="shared" si="136"/>
        <v>19.5388028169014</v>
      </c>
      <c r="F183" s="965">
        <f ca="1" t="shared" ref="F183:H183" si="188">O183/$P$1</f>
        <v>5.99295774647887</v>
      </c>
      <c r="G183" s="965">
        <f ca="1" t="shared" si="188"/>
        <v>9.16901408450704</v>
      </c>
      <c r="H183" s="965">
        <f ca="1" t="shared" si="188"/>
        <v>12.3450704225352</v>
      </c>
      <c r="I183" s="965">
        <f>(VLOOKUP($B$1,'Product Procurement Sheet'!B:I,8,0)*$L$1)/$P$1</f>
        <v>1.97183098591549</v>
      </c>
      <c r="J183" s="965">
        <f>(VLOOKUP($B$1,'Product Procurement Sheet'!B:I,8,0)*$M$1)/$P$1</f>
        <v>3.94366197183099</v>
      </c>
      <c r="K183" s="965">
        <f>(VLOOKUP($B$1,'Product Procurement Sheet'!B:I,8,0)*$N$1)/$P$1</f>
        <v>5.91549295774648</v>
      </c>
      <c r="L183" s="968">
        <f>VLOOKUP($B$1,'Product Procurement Sheet'!B:D,3,FALSE)*$L$1</f>
        <v>0.11</v>
      </c>
      <c r="M183" s="968">
        <f>VLOOKUP($B$1,'Product Procurement Sheet'!B:D,3,FALSE)*$M$1</f>
        <v>0.22</v>
      </c>
      <c r="N183" s="968">
        <f>VLOOKUP($B$1,'Product Procurement Sheet'!B:D,3,FALSE)*$N$1</f>
        <v>0.33</v>
      </c>
      <c r="O183" s="971" cm="1">
        <f ca="1" t="array" ref="O183">(_xlfn.SINGLE(_xlfn.XLOOKUP(1,(INDIRECT($R$1&amp;"!$C:$C")=B183)*(INDIRECT($R$1&amp;"!$G:$G")&lt;L183)*(INDIRECT($R$1&amp;"!$H:$H")&gt;=L183),INDIRECT($R$1&amp;"!$K:$K"))))*L183+(_xlfn.SINGLE(_xlfn.XLOOKUP(1,(INDIRECT($R$1&amp;"!$C:$C")=B183)*(INDIRECT($R$1&amp;"!$G:$G")&lt;L183)*(INDIRECT($R$1&amp;"!$H:$H")&gt;=L183),INDIRECT($R$1&amp;"!$L:$L"))))</f>
        <v>42.55</v>
      </c>
      <c r="P183" s="971" cm="1">
        <f ca="1" t="array" ref="P183">(_xlfn.SINGLE(_xlfn.XLOOKUP(1,(INDIRECT($R$1&amp;"!$C:$C")=B183)*(INDIRECT($R$1&amp;"!$G:$G")&lt;M183)*(INDIRECT($R$1&amp;"!$H:$H")&gt;=M183),INDIRECT($R$1&amp;"!$K:$K"))))*M183+(_xlfn.SINGLE(_xlfn.XLOOKUP(1,(INDIRECT($R$1&amp;"!$C:$C")=B183)*(INDIRECT($R$1&amp;"!$G:$G")&lt;M183)*(INDIRECT($R$1&amp;"!$H:$H")&gt;=M183),INDIRECT($R$1&amp;"!$L:$L"))))</f>
        <v>65.1</v>
      </c>
      <c r="Q183" s="971" cm="1">
        <f ca="1" t="array" ref="Q183">(_xlfn.SINGLE(_xlfn.XLOOKUP(1,(INDIRECT($R$1&amp;"!$C:$C")=B183)*(INDIRECT($R$1&amp;"!$G:$G")&lt;N183)*(INDIRECT($R$1&amp;"!$H:$H")&gt;=N183),INDIRECT($R$1&amp;"!$K:$K"))))*N183+(_xlfn.SINGLE(_xlfn.XLOOKUP(1,(INDIRECT($R$1&amp;"!$C:$C")=B183)*(INDIRECT($R$1&amp;"!$G:$G")&lt;N183)*(INDIRECT($R$1&amp;"!$H:$H")&gt;=N183),INDIRECT($R$1&amp;"!$L:$L"))))</f>
        <v>87.65</v>
      </c>
      <c r="R183" s="955"/>
    </row>
    <row r="184" ht="17.25" spans="1:18">
      <c r="A184" s="963" t="s">
        <v>382</v>
      </c>
      <c r="B184" s="963" t="s">
        <v>383</v>
      </c>
      <c r="C184" s="964">
        <f ca="1" t="shared" si="134"/>
        <v>7.60302816901408</v>
      </c>
      <c r="D184" s="964">
        <f ca="1" t="shared" si="135"/>
        <v>12.9454929577465</v>
      </c>
      <c r="E184" s="964">
        <f ca="1" t="shared" si="136"/>
        <v>18.2879577464789</v>
      </c>
      <c r="F184" s="965">
        <f ca="1" t="shared" ref="F184:H184" si="189">O184/$P$1</f>
        <v>5.13380281690141</v>
      </c>
      <c r="G184" s="965">
        <f ca="1" t="shared" si="189"/>
        <v>8.15492957746479</v>
      </c>
      <c r="H184" s="965">
        <f ca="1" t="shared" si="189"/>
        <v>11.1760563380282</v>
      </c>
      <c r="I184" s="965">
        <f>(VLOOKUP($B$1,'Product Procurement Sheet'!B:I,8,0)*$L$1)/$P$1</f>
        <v>1.97183098591549</v>
      </c>
      <c r="J184" s="965">
        <f>(VLOOKUP($B$1,'Product Procurement Sheet'!B:I,8,0)*$M$1)/$P$1</f>
        <v>3.94366197183099</v>
      </c>
      <c r="K184" s="965">
        <f>(VLOOKUP($B$1,'Product Procurement Sheet'!B:I,8,0)*$N$1)/$P$1</f>
        <v>5.91549295774648</v>
      </c>
      <c r="L184" s="968">
        <f>VLOOKUP($B$1,'Product Procurement Sheet'!B:D,3,FALSE)*$L$1</f>
        <v>0.11</v>
      </c>
      <c r="M184" s="968">
        <f>VLOOKUP($B$1,'Product Procurement Sheet'!B:D,3,FALSE)*$M$1</f>
        <v>0.22</v>
      </c>
      <c r="N184" s="968">
        <f>VLOOKUP($B$1,'Product Procurement Sheet'!B:D,3,FALSE)*$N$1</f>
        <v>0.33</v>
      </c>
      <c r="O184" s="971" cm="1">
        <f ca="1" t="array" ref="O184">(_xlfn.SINGLE(_xlfn.XLOOKUP(1,(INDIRECT($R$1&amp;"!$C:$C")=B184)*(INDIRECT($R$1&amp;"!$G:$G")&lt;L184)*(INDIRECT($R$1&amp;"!$H:$H")&gt;=L184),INDIRECT($R$1&amp;"!$K:$K"))))*L184+(_xlfn.SINGLE(_xlfn.XLOOKUP(1,(INDIRECT($R$1&amp;"!$C:$C")=B184)*(INDIRECT($R$1&amp;"!$G:$G")&lt;L184)*(INDIRECT($R$1&amp;"!$H:$H")&gt;=L184),INDIRECT($R$1&amp;"!$L:$L"))))</f>
        <v>36.45</v>
      </c>
      <c r="P184" s="971" cm="1">
        <f ca="1" t="array" ref="P184">(_xlfn.SINGLE(_xlfn.XLOOKUP(1,(INDIRECT($R$1&amp;"!$C:$C")=B184)*(INDIRECT($R$1&amp;"!$G:$G")&lt;M184)*(INDIRECT($R$1&amp;"!$H:$H")&gt;=M184),INDIRECT($R$1&amp;"!$K:$K"))))*M184+(_xlfn.SINGLE(_xlfn.XLOOKUP(1,(INDIRECT($R$1&amp;"!$C:$C")=B184)*(INDIRECT($R$1&amp;"!$G:$G")&lt;M184)*(INDIRECT($R$1&amp;"!$H:$H")&gt;=M184),INDIRECT($R$1&amp;"!$L:$L"))))</f>
        <v>57.9</v>
      </c>
      <c r="Q184" s="971" cm="1">
        <f ca="1" t="array" ref="Q184">(_xlfn.SINGLE(_xlfn.XLOOKUP(1,(INDIRECT($R$1&amp;"!$C:$C")=B184)*(INDIRECT($R$1&amp;"!$G:$G")&lt;N184)*(INDIRECT($R$1&amp;"!$H:$H")&gt;=N184),INDIRECT($R$1&amp;"!$K:$K"))))*N184+(_xlfn.SINGLE(_xlfn.XLOOKUP(1,(INDIRECT($R$1&amp;"!$C:$C")=B184)*(INDIRECT($R$1&amp;"!$G:$G")&lt;N184)*(INDIRECT($R$1&amp;"!$H:$H")&gt;=N184),INDIRECT($R$1&amp;"!$L:$L"))))</f>
        <v>79.35</v>
      </c>
      <c r="R184" s="955"/>
    </row>
    <row r="185" ht="17.25" spans="1:18">
      <c r="A185" s="963" t="s">
        <v>384</v>
      </c>
      <c r="B185" s="963" t="s">
        <v>385</v>
      </c>
      <c r="C185" s="964">
        <f ca="1" t="shared" si="134"/>
        <v>9.86359154929577</v>
      </c>
      <c r="D185" s="964">
        <f ca="1" t="shared" si="135"/>
        <v>15.2060563380282</v>
      </c>
      <c r="E185" s="964">
        <f ca="1" t="shared" si="136"/>
        <v>20.5485211267606</v>
      </c>
      <c r="F185" s="965">
        <f ca="1" t="shared" ref="F185:H185" si="190">O185/$P$1</f>
        <v>7.24647887323944</v>
      </c>
      <c r="G185" s="965">
        <f ca="1" t="shared" si="190"/>
        <v>10.2676056338028</v>
      </c>
      <c r="H185" s="965">
        <f ca="1" t="shared" si="190"/>
        <v>13.2887323943662</v>
      </c>
      <c r="I185" s="965">
        <f>(VLOOKUP($B$1,'Product Procurement Sheet'!B:I,8,0)*$L$1)/$P$1</f>
        <v>1.97183098591549</v>
      </c>
      <c r="J185" s="965">
        <f>(VLOOKUP($B$1,'Product Procurement Sheet'!B:I,8,0)*$M$1)/$P$1</f>
        <v>3.94366197183099</v>
      </c>
      <c r="K185" s="965">
        <f>(VLOOKUP($B$1,'Product Procurement Sheet'!B:I,8,0)*$N$1)/$P$1</f>
        <v>5.91549295774648</v>
      </c>
      <c r="L185" s="968">
        <f>VLOOKUP($B$1,'Product Procurement Sheet'!B:D,3,FALSE)*$L$1</f>
        <v>0.11</v>
      </c>
      <c r="M185" s="968">
        <f>VLOOKUP($B$1,'Product Procurement Sheet'!B:D,3,FALSE)*$M$1</f>
        <v>0.22</v>
      </c>
      <c r="N185" s="968">
        <f>VLOOKUP($B$1,'Product Procurement Sheet'!B:D,3,FALSE)*$N$1</f>
        <v>0.33</v>
      </c>
      <c r="O185" s="971" cm="1">
        <f ca="1" t="array" ref="O185">(_xlfn.SINGLE(_xlfn.XLOOKUP(1,(INDIRECT($R$1&amp;"!$C:$C")=B185)*(INDIRECT($R$1&amp;"!$G:$G")&lt;L185)*(INDIRECT($R$1&amp;"!$H:$H")&gt;=L185),INDIRECT($R$1&amp;"!$K:$K"))))*L185+(_xlfn.SINGLE(_xlfn.XLOOKUP(1,(INDIRECT($R$1&amp;"!$C:$C")=B185)*(INDIRECT($R$1&amp;"!$G:$G")&lt;L185)*(INDIRECT($R$1&amp;"!$H:$H")&gt;=L185),INDIRECT($R$1&amp;"!$L:$L"))))</f>
        <v>51.45</v>
      </c>
      <c r="P185" s="971" cm="1">
        <f ca="1" t="array" ref="P185">(_xlfn.SINGLE(_xlfn.XLOOKUP(1,(INDIRECT($R$1&amp;"!$C:$C")=B185)*(INDIRECT($R$1&amp;"!$G:$G")&lt;M185)*(INDIRECT($R$1&amp;"!$H:$H")&gt;=M185),INDIRECT($R$1&amp;"!$K:$K"))))*M185+(_xlfn.SINGLE(_xlfn.XLOOKUP(1,(INDIRECT($R$1&amp;"!$C:$C")=B185)*(INDIRECT($R$1&amp;"!$G:$G")&lt;M185)*(INDIRECT($R$1&amp;"!$H:$H")&gt;=M185),INDIRECT($R$1&amp;"!$L:$L"))))</f>
        <v>72.9</v>
      </c>
      <c r="Q185" s="971" cm="1">
        <f ca="1" t="array" ref="Q185">(_xlfn.SINGLE(_xlfn.XLOOKUP(1,(INDIRECT($R$1&amp;"!$C:$C")=B185)*(INDIRECT($R$1&amp;"!$G:$G")&lt;N185)*(INDIRECT($R$1&amp;"!$H:$H")&gt;=N185),INDIRECT($R$1&amp;"!$K:$K"))))*N185+(_xlfn.SINGLE(_xlfn.XLOOKUP(1,(INDIRECT($R$1&amp;"!$C:$C")=B185)*(INDIRECT($R$1&amp;"!$G:$G")&lt;N185)*(INDIRECT($R$1&amp;"!$H:$H")&gt;=N185),INDIRECT($R$1&amp;"!$L:$L"))))</f>
        <v>94.35</v>
      </c>
      <c r="R185" s="955"/>
    </row>
    <row r="186" ht="17.25" spans="1:18">
      <c r="A186" s="963" t="s">
        <v>386</v>
      </c>
      <c r="B186" s="963" t="s">
        <v>387</v>
      </c>
      <c r="C186" s="964">
        <f ca="1" t="shared" si="134"/>
        <v>7.46739436619718</v>
      </c>
      <c r="D186" s="964">
        <f ca="1" t="shared" si="135"/>
        <v>12.9756338028169</v>
      </c>
      <c r="E186" s="964">
        <f ca="1" t="shared" si="136"/>
        <v>18.4838732394366</v>
      </c>
      <c r="F186" s="965">
        <f ca="1" t="shared" ref="F186:H186" si="191">O186/$P$1</f>
        <v>5.00704225352113</v>
      </c>
      <c r="G186" s="965">
        <f ca="1" t="shared" si="191"/>
        <v>8.1830985915493</v>
      </c>
      <c r="H186" s="965">
        <f ca="1" t="shared" si="191"/>
        <v>11.3591549295775</v>
      </c>
      <c r="I186" s="965">
        <f>(VLOOKUP($B$1,'Product Procurement Sheet'!B:I,8,0)*$L$1)/$P$1</f>
        <v>1.97183098591549</v>
      </c>
      <c r="J186" s="965">
        <f>(VLOOKUP($B$1,'Product Procurement Sheet'!B:I,8,0)*$M$1)/$P$1</f>
        <v>3.94366197183099</v>
      </c>
      <c r="K186" s="965">
        <f>(VLOOKUP($B$1,'Product Procurement Sheet'!B:I,8,0)*$N$1)/$P$1</f>
        <v>5.91549295774648</v>
      </c>
      <c r="L186" s="968">
        <f>VLOOKUP($B$1,'Product Procurement Sheet'!B:D,3,FALSE)*$L$1</f>
        <v>0.11</v>
      </c>
      <c r="M186" s="968">
        <f>VLOOKUP($B$1,'Product Procurement Sheet'!B:D,3,FALSE)*$M$1</f>
        <v>0.22</v>
      </c>
      <c r="N186" s="968">
        <f>VLOOKUP($B$1,'Product Procurement Sheet'!B:D,3,FALSE)*$N$1</f>
        <v>0.33</v>
      </c>
      <c r="O186" s="971" cm="1">
        <f ca="1" t="array" ref="O186">(_xlfn.SINGLE(_xlfn.XLOOKUP(1,(INDIRECT($R$1&amp;"!$C:$C")=B186)*(INDIRECT($R$1&amp;"!$G:$G")&lt;L186)*(INDIRECT($R$1&amp;"!$H:$H")&gt;=L186),INDIRECT($R$1&amp;"!$K:$K"))))*L186+(_xlfn.SINGLE(_xlfn.XLOOKUP(1,(INDIRECT($R$1&amp;"!$C:$C")=B186)*(INDIRECT($R$1&amp;"!$G:$G")&lt;L186)*(INDIRECT($R$1&amp;"!$H:$H")&gt;=L186),INDIRECT($R$1&amp;"!$L:$L"))))</f>
        <v>35.55</v>
      </c>
      <c r="P186" s="971" cm="1">
        <f ca="1" t="array" ref="P186">(_xlfn.SINGLE(_xlfn.XLOOKUP(1,(INDIRECT($R$1&amp;"!$C:$C")=B186)*(INDIRECT($R$1&amp;"!$G:$G")&lt;M186)*(INDIRECT($R$1&amp;"!$H:$H")&gt;=M186),INDIRECT($R$1&amp;"!$K:$K"))))*M186+(_xlfn.SINGLE(_xlfn.XLOOKUP(1,(INDIRECT($R$1&amp;"!$C:$C")=B186)*(INDIRECT($R$1&amp;"!$G:$G")&lt;M186)*(INDIRECT($R$1&amp;"!$H:$H")&gt;=M186),INDIRECT($R$1&amp;"!$L:$L"))))</f>
        <v>58.1</v>
      </c>
      <c r="Q186" s="971" cm="1">
        <f ca="1" t="array" ref="Q186">(_xlfn.SINGLE(_xlfn.XLOOKUP(1,(INDIRECT($R$1&amp;"!$C:$C")=B186)*(INDIRECT($R$1&amp;"!$G:$G")&lt;N186)*(INDIRECT($R$1&amp;"!$H:$H")&gt;=N186),INDIRECT($R$1&amp;"!$K:$K"))))*N186+(_xlfn.SINGLE(_xlfn.XLOOKUP(1,(INDIRECT($R$1&amp;"!$C:$C")=B186)*(INDIRECT($R$1&amp;"!$G:$G")&lt;N186)*(INDIRECT($R$1&amp;"!$H:$H")&gt;=N186),INDIRECT($R$1&amp;"!$L:$L"))))</f>
        <v>80.65</v>
      </c>
      <c r="R186" s="955"/>
    </row>
    <row r="187" ht="17.25" spans="1:18">
      <c r="A187" s="963" t="s">
        <v>388</v>
      </c>
      <c r="B187" s="963" t="s">
        <v>389</v>
      </c>
      <c r="C187" s="964">
        <f ca="1" t="shared" si="134"/>
        <v>10.0293661971831</v>
      </c>
      <c r="D187" s="964">
        <f ca="1" t="shared" si="135"/>
        <v>15.5376056338028</v>
      </c>
      <c r="E187" s="964">
        <f ca="1" t="shared" si="136"/>
        <v>21.0458450704225</v>
      </c>
      <c r="F187" s="965">
        <f ca="1" t="shared" ref="F187:H187" si="192">O187/$P$1</f>
        <v>7.40140845070423</v>
      </c>
      <c r="G187" s="965">
        <f ca="1" t="shared" si="192"/>
        <v>10.5774647887324</v>
      </c>
      <c r="H187" s="965">
        <f ca="1" t="shared" si="192"/>
        <v>13.7535211267606</v>
      </c>
      <c r="I187" s="965">
        <f>(VLOOKUP($B$1,'Product Procurement Sheet'!B:I,8,0)*$L$1)/$P$1</f>
        <v>1.97183098591549</v>
      </c>
      <c r="J187" s="965">
        <f>(VLOOKUP($B$1,'Product Procurement Sheet'!B:I,8,0)*$M$1)/$P$1</f>
        <v>3.94366197183099</v>
      </c>
      <c r="K187" s="965">
        <f>(VLOOKUP($B$1,'Product Procurement Sheet'!B:I,8,0)*$N$1)/$P$1</f>
        <v>5.91549295774648</v>
      </c>
      <c r="L187" s="968">
        <f>VLOOKUP($B$1,'Product Procurement Sheet'!B:D,3,FALSE)*$L$1</f>
        <v>0.11</v>
      </c>
      <c r="M187" s="968">
        <f>VLOOKUP($B$1,'Product Procurement Sheet'!B:D,3,FALSE)*$M$1</f>
        <v>0.22</v>
      </c>
      <c r="N187" s="968">
        <f>VLOOKUP($B$1,'Product Procurement Sheet'!B:D,3,FALSE)*$N$1</f>
        <v>0.33</v>
      </c>
      <c r="O187" s="971" cm="1">
        <f ca="1" t="array" ref="O187">(_xlfn.SINGLE(_xlfn.XLOOKUP(1,(INDIRECT($R$1&amp;"!$C:$C")=B187)*(INDIRECT($R$1&amp;"!$G:$G")&lt;L187)*(INDIRECT($R$1&amp;"!$H:$H")&gt;=L187),INDIRECT($R$1&amp;"!$K:$K"))))*L187+(_xlfn.SINGLE(_xlfn.XLOOKUP(1,(INDIRECT($R$1&amp;"!$C:$C")=B187)*(INDIRECT($R$1&amp;"!$G:$G")&lt;L187)*(INDIRECT($R$1&amp;"!$H:$H")&gt;=L187),INDIRECT($R$1&amp;"!$L:$L"))))</f>
        <v>52.55</v>
      </c>
      <c r="P187" s="971" cm="1">
        <f ca="1" t="array" ref="P187">(_xlfn.SINGLE(_xlfn.XLOOKUP(1,(INDIRECT($R$1&amp;"!$C:$C")=B187)*(INDIRECT($R$1&amp;"!$G:$G")&lt;M187)*(INDIRECT($R$1&amp;"!$H:$H")&gt;=M187),INDIRECT($R$1&amp;"!$K:$K"))))*M187+(_xlfn.SINGLE(_xlfn.XLOOKUP(1,(INDIRECT($R$1&amp;"!$C:$C")=B187)*(INDIRECT($R$1&amp;"!$G:$G")&lt;M187)*(INDIRECT($R$1&amp;"!$H:$H")&gt;=M187),INDIRECT($R$1&amp;"!$L:$L"))))</f>
        <v>75.1</v>
      </c>
      <c r="Q187" s="971" cm="1">
        <f ca="1" t="array" ref="Q187">(_xlfn.SINGLE(_xlfn.XLOOKUP(1,(INDIRECT($R$1&amp;"!$C:$C")=B187)*(INDIRECT($R$1&amp;"!$G:$G")&lt;N187)*(INDIRECT($R$1&amp;"!$H:$H")&gt;=N187),INDIRECT($R$1&amp;"!$K:$K"))))*N187+(_xlfn.SINGLE(_xlfn.XLOOKUP(1,(INDIRECT($R$1&amp;"!$C:$C")=B187)*(INDIRECT($R$1&amp;"!$G:$G")&lt;N187)*(INDIRECT($R$1&amp;"!$H:$H")&gt;=N187),INDIRECT($R$1&amp;"!$L:$L"))))</f>
        <v>97.65</v>
      </c>
      <c r="R187" s="955"/>
    </row>
    <row r="188" ht="17.25" spans="1:18">
      <c r="A188" s="963" t="s">
        <v>390</v>
      </c>
      <c r="B188" s="963" t="s">
        <v>391</v>
      </c>
      <c r="C188" s="964">
        <f ca="1" t="shared" si="134"/>
        <v>10.6773943661972</v>
      </c>
      <c r="D188" s="964">
        <f ca="1" t="shared" si="135"/>
        <v>18.3407042253521</v>
      </c>
      <c r="E188" s="964">
        <f ca="1" t="shared" si="136"/>
        <v>26.004014084507</v>
      </c>
      <c r="F188" s="965">
        <f ca="1" t="shared" ref="F188:H188" si="193">O188/$P$1</f>
        <v>8.00704225352113</v>
      </c>
      <c r="G188" s="965">
        <f ca="1" t="shared" si="193"/>
        <v>13.1971830985915</v>
      </c>
      <c r="H188" s="965">
        <f ca="1" t="shared" si="193"/>
        <v>18.387323943662</v>
      </c>
      <c r="I188" s="965">
        <f>(VLOOKUP($B$1,'Product Procurement Sheet'!B:I,8,0)*$L$1)/$P$1</f>
        <v>1.97183098591549</v>
      </c>
      <c r="J188" s="965">
        <f>(VLOOKUP($B$1,'Product Procurement Sheet'!B:I,8,0)*$M$1)/$P$1</f>
        <v>3.94366197183099</v>
      </c>
      <c r="K188" s="965">
        <f>(VLOOKUP($B$1,'Product Procurement Sheet'!B:I,8,0)*$N$1)/$P$1</f>
        <v>5.91549295774648</v>
      </c>
      <c r="L188" s="968">
        <f>VLOOKUP($B$1,'Product Procurement Sheet'!B:D,3,FALSE)*$L$1</f>
        <v>0.11</v>
      </c>
      <c r="M188" s="968">
        <f>VLOOKUP($B$1,'Product Procurement Sheet'!B:D,3,FALSE)*$M$1</f>
        <v>0.22</v>
      </c>
      <c r="N188" s="968">
        <f>VLOOKUP($B$1,'Product Procurement Sheet'!B:D,3,FALSE)*$N$1</f>
        <v>0.33</v>
      </c>
      <c r="O188" s="971" cm="1">
        <f ca="1" t="array" ref="O188">(_xlfn.SINGLE(_xlfn.XLOOKUP(1,(INDIRECT($R$1&amp;"!$C:$C")=B188)*(INDIRECT($R$1&amp;"!$G:$G")&lt;L188)*(INDIRECT($R$1&amp;"!$H:$H")&gt;=L188),INDIRECT($R$1&amp;"!$K:$K"))))*L188+(_xlfn.SINGLE(_xlfn.XLOOKUP(1,(INDIRECT($R$1&amp;"!$C:$C")=B188)*(INDIRECT($R$1&amp;"!$G:$G")&lt;L188)*(INDIRECT($R$1&amp;"!$H:$H")&gt;=L188),INDIRECT($R$1&amp;"!$L:$L"))))</f>
        <v>56.85</v>
      </c>
      <c r="P188" s="971" cm="1">
        <f ca="1" t="array" ref="P188">(_xlfn.SINGLE(_xlfn.XLOOKUP(1,(INDIRECT($R$1&amp;"!$C:$C")=B188)*(INDIRECT($R$1&amp;"!$G:$G")&lt;M188)*(INDIRECT($R$1&amp;"!$H:$H")&gt;=M188),INDIRECT($R$1&amp;"!$K:$K"))))*M188+(_xlfn.SINGLE(_xlfn.XLOOKUP(1,(INDIRECT($R$1&amp;"!$C:$C")=B188)*(INDIRECT($R$1&amp;"!$G:$G")&lt;M188)*(INDIRECT($R$1&amp;"!$H:$H")&gt;=M188),INDIRECT($R$1&amp;"!$L:$L"))))</f>
        <v>93.7</v>
      </c>
      <c r="Q188" s="971" cm="1">
        <f ca="1" t="array" ref="Q188">(_xlfn.SINGLE(_xlfn.XLOOKUP(1,(INDIRECT($R$1&amp;"!$C:$C")=B188)*(INDIRECT($R$1&amp;"!$G:$G")&lt;N188)*(INDIRECT($R$1&amp;"!$H:$H")&gt;=N188),INDIRECT($R$1&amp;"!$K:$K"))))*N188+(_xlfn.SINGLE(_xlfn.XLOOKUP(1,(INDIRECT($R$1&amp;"!$C:$C")=B188)*(INDIRECT($R$1&amp;"!$G:$G")&lt;N188)*(INDIRECT($R$1&amp;"!$H:$H")&gt;=N188),INDIRECT($R$1&amp;"!$L:$L"))))</f>
        <v>130.55</v>
      </c>
      <c r="R188" s="955"/>
    </row>
    <row r="189" ht="17.25" spans="1:18">
      <c r="A189" s="963" t="s">
        <v>392</v>
      </c>
      <c r="B189" s="963" t="s">
        <v>393</v>
      </c>
      <c r="C189" s="964">
        <f ca="1" t="shared" si="134"/>
        <v>10.1800704225352</v>
      </c>
      <c r="D189" s="964">
        <f ca="1" t="shared" si="135"/>
        <v>17.3460563380282</v>
      </c>
      <c r="E189" s="964">
        <f ca="1" t="shared" si="136"/>
        <v>24.5120422535211</v>
      </c>
      <c r="F189" s="965">
        <f ca="1" t="shared" ref="F189:H189" si="194">O189/$P$1</f>
        <v>7.54225352112676</v>
      </c>
      <c r="G189" s="965">
        <f ca="1" t="shared" si="194"/>
        <v>12.2676056338028</v>
      </c>
      <c r="H189" s="965">
        <f ca="1" t="shared" si="194"/>
        <v>16.9929577464789</v>
      </c>
      <c r="I189" s="965">
        <f>(VLOOKUP($B$1,'Product Procurement Sheet'!B:I,8,0)*$L$1)/$P$1</f>
        <v>1.97183098591549</v>
      </c>
      <c r="J189" s="965">
        <f>(VLOOKUP($B$1,'Product Procurement Sheet'!B:I,8,0)*$M$1)/$P$1</f>
        <v>3.94366197183099</v>
      </c>
      <c r="K189" s="965">
        <f>(VLOOKUP($B$1,'Product Procurement Sheet'!B:I,8,0)*$N$1)/$P$1</f>
        <v>5.91549295774648</v>
      </c>
      <c r="L189" s="968">
        <f>VLOOKUP($B$1,'Product Procurement Sheet'!B:D,3,FALSE)*$L$1</f>
        <v>0.11</v>
      </c>
      <c r="M189" s="968">
        <f>VLOOKUP($B$1,'Product Procurement Sheet'!B:D,3,FALSE)*$M$1</f>
        <v>0.22</v>
      </c>
      <c r="N189" s="968">
        <f>VLOOKUP($B$1,'Product Procurement Sheet'!B:D,3,FALSE)*$N$1</f>
        <v>0.33</v>
      </c>
      <c r="O189" s="971" cm="1">
        <f ca="1" t="array" ref="O189">(_xlfn.SINGLE(_xlfn.XLOOKUP(1,(INDIRECT($R$1&amp;"!$C:$C")=B189)*(INDIRECT($R$1&amp;"!$G:$G")&lt;L189)*(INDIRECT($R$1&amp;"!$H:$H")&gt;=L189),INDIRECT($R$1&amp;"!$K:$K"))))*L189+(_xlfn.SINGLE(_xlfn.XLOOKUP(1,(INDIRECT($R$1&amp;"!$C:$C")=B189)*(INDIRECT($R$1&amp;"!$G:$G")&lt;L189)*(INDIRECT($R$1&amp;"!$H:$H")&gt;=L189),INDIRECT($R$1&amp;"!$L:$L"))))</f>
        <v>53.55</v>
      </c>
      <c r="P189" s="971" cm="1">
        <f ca="1" t="array" ref="P189">(_xlfn.SINGLE(_xlfn.XLOOKUP(1,(INDIRECT($R$1&amp;"!$C:$C")=B189)*(INDIRECT($R$1&amp;"!$G:$G")&lt;M189)*(INDIRECT($R$1&amp;"!$H:$H")&gt;=M189),INDIRECT($R$1&amp;"!$K:$K"))))*M189+(_xlfn.SINGLE(_xlfn.XLOOKUP(1,(INDIRECT($R$1&amp;"!$C:$C")=B189)*(INDIRECT($R$1&amp;"!$G:$G")&lt;M189)*(INDIRECT($R$1&amp;"!$H:$H")&gt;=M189),INDIRECT($R$1&amp;"!$L:$L"))))</f>
        <v>87.1</v>
      </c>
      <c r="Q189" s="971" cm="1">
        <f ca="1" t="array" ref="Q189">(_xlfn.SINGLE(_xlfn.XLOOKUP(1,(INDIRECT($R$1&amp;"!$C:$C")=B189)*(INDIRECT($R$1&amp;"!$G:$G")&lt;N189)*(INDIRECT($R$1&amp;"!$H:$H")&gt;=N189),INDIRECT($R$1&amp;"!$K:$K"))))*N189+(_xlfn.SINGLE(_xlfn.XLOOKUP(1,(INDIRECT($R$1&amp;"!$C:$C")=B189)*(INDIRECT($R$1&amp;"!$G:$G")&lt;N189)*(INDIRECT($R$1&amp;"!$H:$H")&gt;=N189),INDIRECT($R$1&amp;"!$L:$L"))))</f>
        <v>120.65</v>
      </c>
      <c r="R189" s="955"/>
    </row>
    <row r="190" ht="17.25" spans="1:18">
      <c r="A190" s="963" t="s">
        <v>394</v>
      </c>
      <c r="B190" s="963" t="s">
        <v>395</v>
      </c>
      <c r="C190" s="964">
        <f ca="1" t="shared" si="134"/>
        <v>13.164014084507</v>
      </c>
      <c r="D190" s="964">
        <f ca="1" t="shared" si="135"/>
        <v>23.3139436619718</v>
      </c>
      <c r="E190" s="964">
        <f ca="1" t="shared" si="136"/>
        <v>33.4638732394366</v>
      </c>
      <c r="F190" s="965">
        <f ca="1" t="shared" ref="F190:H190" si="195">O190/$P$1</f>
        <v>10.330985915493</v>
      </c>
      <c r="G190" s="965">
        <f ca="1" t="shared" si="195"/>
        <v>17.8450704225352</v>
      </c>
      <c r="H190" s="965">
        <f ca="1" t="shared" si="195"/>
        <v>25.3591549295775</v>
      </c>
      <c r="I190" s="965">
        <f>(VLOOKUP($B$1,'Product Procurement Sheet'!B:I,8,0)*$L$1)/$P$1</f>
        <v>1.97183098591549</v>
      </c>
      <c r="J190" s="965">
        <f>(VLOOKUP($B$1,'Product Procurement Sheet'!B:I,8,0)*$M$1)/$P$1</f>
        <v>3.94366197183099</v>
      </c>
      <c r="K190" s="965">
        <f>(VLOOKUP($B$1,'Product Procurement Sheet'!B:I,8,0)*$N$1)/$P$1</f>
        <v>5.91549295774648</v>
      </c>
      <c r="L190" s="968">
        <f>VLOOKUP($B$1,'Product Procurement Sheet'!B:D,3,FALSE)*$L$1</f>
        <v>0.11</v>
      </c>
      <c r="M190" s="968">
        <f>VLOOKUP($B$1,'Product Procurement Sheet'!B:D,3,FALSE)*$M$1</f>
        <v>0.22</v>
      </c>
      <c r="N190" s="968">
        <f>VLOOKUP($B$1,'Product Procurement Sheet'!B:D,3,FALSE)*$N$1</f>
        <v>0.33</v>
      </c>
      <c r="O190" s="971" cm="1">
        <f ca="1" t="array" ref="O190">(_xlfn.SINGLE(_xlfn.XLOOKUP(1,(INDIRECT($R$1&amp;"!$C:$C")=B190)*(INDIRECT($R$1&amp;"!$G:$G")&lt;L190)*(INDIRECT($R$1&amp;"!$H:$H")&gt;=L190),INDIRECT($R$1&amp;"!$K:$K"))))*L190+(_xlfn.SINGLE(_xlfn.XLOOKUP(1,(INDIRECT($R$1&amp;"!$C:$C")=B190)*(INDIRECT($R$1&amp;"!$G:$G")&lt;L190)*(INDIRECT($R$1&amp;"!$H:$H")&gt;=L190),INDIRECT($R$1&amp;"!$L:$L"))))</f>
        <v>73.35</v>
      </c>
      <c r="P190" s="971" cm="1">
        <f ca="1" t="array" ref="P190">(_xlfn.SINGLE(_xlfn.XLOOKUP(1,(INDIRECT($R$1&amp;"!$C:$C")=B190)*(INDIRECT($R$1&amp;"!$G:$G")&lt;M190)*(INDIRECT($R$1&amp;"!$H:$H")&gt;=M190),INDIRECT($R$1&amp;"!$K:$K"))))*M190+(_xlfn.SINGLE(_xlfn.XLOOKUP(1,(INDIRECT($R$1&amp;"!$C:$C")=B190)*(INDIRECT($R$1&amp;"!$G:$G")&lt;M190)*(INDIRECT($R$1&amp;"!$H:$H")&gt;=M190),INDIRECT($R$1&amp;"!$L:$L"))))</f>
        <v>126.7</v>
      </c>
      <c r="Q190" s="971" cm="1">
        <f ca="1" t="array" ref="Q190">(_xlfn.SINGLE(_xlfn.XLOOKUP(1,(INDIRECT($R$1&amp;"!$C:$C")=B190)*(INDIRECT($R$1&amp;"!$G:$G")&lt;N190)*(INDIRECT($R$1&amp;"!$H:$H")&gt;=N190),INDIRECT($R$1&amp;"!$K:$K"))))*N190+(_xlfn.SINGLE(_xlfn.XLOOKUP(1,(INDIRECT($R$1&amp;"!$C:$C")=B190)*(INDIRECT($R$1&amp;"!$G:$G")&lt;N190)*(INDIRECT($R$1&amp;"!$H:$H")&gt;=N190),INDIRECT($R$1&amp;"!$L:$L"))))</f>
        <v>180.05</v>
      </c>
      <c r="R190" s="955"/>
    </row>
    <row r="191" ht="17.25" spans="1:18">
      <c r="A191" s="963" t="s">
        <v>396</v>
      </c>
      <c r="B191" s="963" t="s">
        <v>397</v>
      </c>
      <c r="C191" s="964">
        <f ca="1" t="shared" si="134"/>
        <v>11.5816197183099</v>
      </c>
      <c r="D191" s="964">
        <f ca="1" t="shared" si="135"/>
        <v>17.5871830985916</v>
      </c>
      <c r="E191" s="964">
        <f ca="1" t="shared" si="136"/>
        <v>23.5927464788732</v>
      </c>
      <c r="F191" s="965">
        <f ca="1" t="shared" ref="F191:H191" si="196">O191/$P$1</f>
        <v>8.85211267605634</v>
      </c>
      <c r="G191" s="965">
        <f ca="1" t="shared" si="196"/>
        <v>12.4929577464789</v>
      </c>
      <c r="H191" s="965">
        <f ca="1" t="shared" si="196"/>
        <v>16.1338028169014</v>
      </c>
      <c r="I191" s="965">
        <f>(VLOOKUP($B$1,'Product Procurement Sheet'!B:I,8,0)*$L$1)/$P$1</f>
        <v>1.97183098591549</v>
      </c>
      <c r="J191" s="965">
        <f>(VLOOKUP($B$1,'Product Procurement Sheet'!B:I,8,0)*$M$1)/$P$1</f>
        <v>3.94366197183099</v>
      </c>
      <c r="K191" s="965">
        <f>(VLOOKUP($B$1,'Product Procurement Sheet'!B:I,8,0)*$N$1)/$P$1</f>
        <v>5.91549295774648</v>
      </c>
      <c r="L191" s="968">
        <f>VLOOKUP($B$1,'Product Procurement Sheet'!B:D,3,FALSE)*$L$1</f>
        <v>0.11</v>
      </c>
      <c r="M191" s="968">
        <f>VLOOKUP($B$1,'Product Procurement Sheet'!B:D,3,FALSE)*$M$1</f>
        <v>0.22</v>
      </c>
      <c r="N191" s="968">
        <f>VLOOKUP($B$1,'Product Procurement Sheet'!B:D,3,FALSE)*$N$1</f>
        <v>0.33</v>
      </c>
      <c r="O191" s="971" cm="1">
        <f ca="1" t="array" ref="O191">(_xlfn.SINGLE(_xlfn.XLOOKUP(1,(INDIRECT($R$1&amp;"!$C:$C")=B191)*(INDIRECT($R$1&amp;"!$G:$G")&lt;L191)*(INDIRECT($R$1&amp;"!$H:$H")&gt;=L191),INDIRECT($R$1&amp;"!$K:$K"))))*L191+(_xlfn.SINGLE(_xlfn.XLOOKUP(1,(INDIRECT($R$1&amp;"!$C:$C")=B191)*(INDIRECT($R$1&amp;"!$G:$G")&lt;L191)*(INDIRECT($R$1&amp;"!$H:$H")&gt;=L191),INDIRECT($R$1&amp;"!$L:$L"))))</f>
        <v>62.85</v>
      </c>
      <c r="P191" s="971" cm="1">
        <f ca="1" t="array" ref="P191">(_xlfn.SINGLE(_xlfn.XLOOKUP(1,(INDIRECT($R$1&amp;"!$C:$C")=B191)*(INDIRECT($R$1&amp;"!$G:$G")&lt;M191)*(INDIRECT($R$1&amp;"!$H:$H")&gt;=M191),INDIRECT($R$1&amp;"!$K:$K"))))*M191+(_xlfn.SINGLE(_xlfn.XLOOKUP(1,(INDIRECT($R$1&amp;"!$C:$C")=B191)*(INDIRECT($R$1&amp;"!$G:$G")&lt;M191)*(INDIRECT($R$1&amp;"!$H:$H")&gt;=M191),INDIRECT($R$1&amp;"!$L:$L"))))</f>
        <v>88.7</v>
      </c>
      <c r="Q191" s="971" cm="1">
        <f ca="1" t="array" ref="Q191">(_xlfn.SINGLE(_xlfn.XLOOKUP(1,(INDIRECT($R$1&amp;"!$C:$C")=B191)*(INDIRECT($R$1&amp;"!$G:$G")&lt;N191)*(INDIRECT($R$1&amp;"!$H:$H")&gt;=N191),INDIRECT($R$1&amp;"!$K:$K"))))*N191+(_xlfn.SINGLE(_xlfn.XLOOKUP(1,(INDIRECT($R$1&amp;"!$C:$C")=B191)*(INDIRECT($R$1&amp;"!$G:$G")&lt;N191)*(INDIRECT($R$1&amp;"!$H:$H")&gt;=N191),INDIRECT($R$1&amp;"!$L:$L"))))</f>
        <v>114.55</v>
      </c>
      <c r="R191" s="955"/>
    </row>
    <row r="192" ht="17.25" spans="1:18">
      <c r="A192" s="963" t="s">
        <v>398</v>
      </c>
      <c r="B192" s="963" t="s">
        <v>399</v>
      </c>
      <c r="C192" s="964">
        <f ca="1" t="shared" si="134"/>
        <v>11.3555633802817</v>
      </c>
      <c r="D192" s="964">
        <f ca="1" t="shared" si="135"/>
        <v>18.19</v>
      </c>
      <c r="E192" s="964">
        <f ca="1" t="shared" si="136"/>
        <v>25.0244366197183</v>
      </c>
      <c r="F192" s="965">
        <f ca="1" t="shared" ref="F192:H192" si="197">O192/$P$1</f>
        <v>8.64084507042254</v>
      </c>
      <c r="G192" s="965">
        <f ca="1" t="shared" si="197"/>
        <v>13.056338028169</v>
      </c>
      <c r="H192" s="965">
        <f ca="1" t="shared" si="197"/>
        <v>17.4718309859155</v>
      </c>
      <c r="I192" s="965">
        <f>(VLOOKUP($B$1,'Product Procurement Sheet'!B:I,8,0)*$L$1)/$P$1</f>
        <v>1.97183098591549</v>
      </c>
      <c r="J192" s="965">
        <f>(VLOOKUP($B$1,'Product Procurement Sheet'!B:I,8,0)*$M$1)/$P$1</f>
        <v>3.94366197183099</v>
      </c>
      <c r="K192" s="965">
        <f>(VLOOKUP($B$1,'Product Procurement Sheet'!B:I,8,0)*$N$1)/$P$1</f>
        <v>5.91549295774648</v>
      </c>
      <c r="L192" s="968">
        <f>VLOOKUP($B$1,'Product Procurement Sheet'!B:D,3,FALSE)*$L$1</f>
        <v>0.11</v>
      </c>
      <c r="M192" s="968">
        <f>VLOOKUP($B$1,'Product Procurement Sheet'!B:D,3,FALSE)*$M$1</f>
        <v>0.22</v>
      </c>
      <c r="N192" s="968">
        <f>VLOOKUP($B$1,'Product Procurement Sheet'!B:D,3,FALSE)*$N$1</f>
        <v>0.33</v>
      </c>
      <c r="O192" s="971" cm="1">
        <f ca="1" t="array" ref="O192">(_xlfn.SINGLE(_xlfn.XLOOKUP(1,(INDIRECT($R$1&amp;"!$C:$C")=B192)*(INDIRECT($R$1&amp;"!$G:$G")&lt;L192)*(INDIRECT($R$1&amp;"!$H:$H")&gt;=L192),INDIRECT($R$1&amp;"!$K:$K"))))*L192+(_xlfn.SINGLE(_xlfn.XLOOKUP(1,(INDIRECT($R$1&amp;"!$C:$C")=B192)*(INDIRECT($R$1&amp;"!$G:$G")&lt;L192)*(INDIRECT($R$1&amp;"!$H:$H")&gt;=L192),INDIRECT($R$1&amp;"!$L:$L"))))</f>
        <v>61.35</v>
      </c>
      <c r="P192" s="971" cm="1">
        <f ca="1" t="array" ref="P192">(_xlfn.SINGLE(_xlfn.XLOOKUP(1,(INDIRECT($R$1&amp;"!$C:$C")=B192)*(INDIRECT($R$1&amp;"!$G:$G")&lt;M192)*(INDIRECT($R$1&amp;"!$H:$H")&gt;=M192),INDIRECT($R$1&amp;"!$K:$K"))))*M192+(_xlfn.SINGLE(_xlfn.XLOOKUP(1,(INDIRECT($R$1&amp;"!$C:$C")=B192)*(INDIRECT($R$1&amp;"!$G:$G")&lt;M192)*(INDIRECT($R$1&amp;"!$H:$H")&gt;=M192),INDIRECT($R$1&amp;"!$L:$L"))))</f>
        <v>92.7</v>
      </c>
      <c r="Q192" s="971" cm="1">
        <f ca="1" t="array" ref="Q192">(_xlfn.SINGLE(_xlfn.XLOOKUP(1,(INDIRECT($R$1&amp;"!$C:$C")=B192)*(INDIRECT($R$1&amp;"!$G:$G")&lt;N192)*(INDIRECT($R$1&amp;"!$H:$H")&gt;=N192),INDIRECT($R$1&amp;"!$K:$K"))))*N192+(_xlfn.SINGLE(_xlfn.XLOOKUP(1,(INDIRECT($R$1&amp;"!$C:$C")=B192)*(INDIRECT($R$1&amp;"!$G:$G")&lt;N192)*(INDIRECT($R$1&amp;"!$H:$H")&gt;=N192),INDIRECT($R$1&amp;"!$L:$L"))))</f>
        <v>124.05</v>
      </c>
      <c r="R192" s="955"/>
    </row>
    <row r="193" ht="17.25" spans="1:18">
      <c r="A193" s="963" t="s">
        <v>400</v>
      </c>
      <c r="B193" s="963" t="s">
        <v>401</v>
      </c>
      <c r="C193" s="964" t="e">
        <f ca="1" t="shared" si="134"/>
        <v>#N/A</v>
      </c>
      <c r="D193" s="964" t="e">
        <f ca="1" t="shared" si="135"/>
        <v>#N/A</v>
      </c>
      <c r="E193" s="964" t="e">
        <f ca="1" t="shared" si="136"/>
        <v>#N/A</v>
      </c>
      <c r="F193" s="965" t="e">
        <f ca="1" t="shared" ref="F193:H193" si="198">O193/$P$1</f>
        <v>#N/A</v>
      </c>
      <c r="G193" s="965" t="e">
        <f ca="1" t="shared" si="198"/>
        <v>#N/A</v>
      </c>
      <c r="H193" s="965" t="e">
        <f ca="1" t="shared" si="198"/>
        <v>#N/A</v>
      </c>
      <c r="I193" s="965">
        <f>(VLOOKUP($B$1,'Product Procurement Sheet'!B:I,8,0)*$L$1)/$P$1</f>
        <v>1.97183098591549</v>
      </c>
      <c r="J193" s="965">
        <f>(VLOOKUP($B$1,'Product Procurement Sheet'!B:I,8,0)*$M$1)/$P$1</f>
        <v>3.94366197183099</v>
      </c>
      <c r="K193" s="965">
        <f>(VLOOKUP($B$1,'Product Procurement Sheet'!B:I,8,0)*$N$1)/$P$1</f>
        <v>5.91549295774648</v>
      </c>
      <c r="L193" s="968">
        <f>VLOOKUP($B$1,'Product Procurement Sheet'!B:D,3,FALSE)*$L$1</f>
        <v>0.11</v>
      </c>
      <c r="M193" s="968">
        <f>VLOOKUP($B$1,'Product Procurement Sheet'!B:D,3,FALSE)*$M$1</f>
        <v>0.22</v>
      </c>
      <c r="N193" s="968">
        <f>VLOOKUP($B$1,'Product Procurement Sheet'!B:D,3,FALSE)*$N$1</f>
        <v>0.33</v>
      </c>
      <c r="O193" s="971" t="e" cm="1">
        <f ca="1" t="array" ref="O193">(_xlfn.SINGLE(_xlfn.XLOOKUP(1,(INDIRECT($R$1&amp;"!$C:$C")=B193)*(INDIRECT($R$1&amp;"!$G:$G")&lt;L193)*(INDIRECT($R$1&amp;"!$H:$H")&gt;=L193),INDIRECT($R$1&amp;"!$K:$K"))))*L193+(_xlfn.SINGLE(_xlfn.XLOOKUP(1,(INDIRECT($R$1&amp;"!$C:$C")=B193)*(INDIRECT($R$1&amp;"!$G:$G")&lt;L193)*(INDIRECT($R$1&amp;"!$H:$H")&gt;=L193),INDIRECT($R$1&amp;"!$L:$L"))))</f>
        <v>#N/A</v>
      </c>
      <c r="P193" s="971" t="e" cm="1">
        <f ca="1" t="array" ref="P193">(_xlfn.SINGLE(_xlfn.XLOOKUP(1,(INDIRECT($R$1&amp;"!$C:$C")=B193)*(INDIRECT($R$1&amp;"!$G:$G")&lt;M193)*(INDIRECT($R$1&amp;"!$H:$H")&gt;=M193),INDIRECT($R$1&amp;"!$K:$K"))))*M193+(_xlfn.SINGLE(_xlfn.XLOOKUP(1,(INDIRECT($R$1&amp;"!$C:$C")=B193)*(INDIRECT($R$1&amp;"!$G:$G")&lt;M193)*(INDIRECT($R$1&amp;"!$H:$H")&gt;=M193),INDIRECT($R$1&amp;"!$L:$L"))))</f>
        <v>#N/A</v>
      </c>
      <c r="Q193" s="971" t="e" cm="1">
        <f ca="1" t="array" ref="Q193">(_xlfn.SINGLE(_xlfn.XLOOKUP(1,(INDIRECT($R$1&amp;"!$C:$C")=B193)*(INDIRECT($R$1&amp;"!$G:$G")&lt;N193)*(INDIRECT($R$1&amp;"!$H:$H")&gt;=N193),INDIRECT($R$1&amp;"!$K:$K"))))*N193+(_xlfn.SINGLE(_xlfn.XLOOKUP(1,(INDIRECT($R$1&amp;"!$C:$C")=B193)*(INDIRECT($R$1&amp;"!$G:$G")&lt;N193)*(INDIRECT($R$1&amp;"!$H:$H")&gt;=N193),INDIRECT($R$1&amp;"!$L:$L"))))</f>
        <v>#N/A</v>
      </c>
      <c r="R193" s="955"/>
    </row>
    <row r="194" ht="17.25" spans="1:18">
      <c r="A194" s="963" t="s">
        <v>402</v>
      </c>
      <c r="B194" s="963" t="s">
        <v>403</v>
      </c>
      <c r="C194" s="964">
        <f ca="1" t="shared" si="134"/>
        <v>11.0842957746479</v>
      </c>
      <c r="D194" s="964">
        <f ca="1" t="shared" si="135"/>
        <v>16.5925352112676</v>
      </c>
      <c r="E194" s="964">
        <f ca="1" t="shared" si="136"/>
        <v>22.1007746478873</v>
      </c>
      <c r="F194" s="965">
        <f ca="1" t="shared" ref="F194:H194" si="199">O194/$P$1</f>
        <v>8.38732394366197</v>
      </c>
      <c r="G194" s="965">
        <f ca="1" t="shared" si="199"/>
        <v>11.5633802816901</v>
      </c>
      <c r="H194" s="965">
        <f ca="1" t="shared" si="199"/>
        <v>14.7394366197183</v>
      </c>
      <c r="I194" s="965">
        <f>(VLOOKUP($B$1,'Product Procurement Sheet'!B:I,8,0)*$L$1)/$P$1</f>
        <v>1.97183098591549</v>
      </c>
      <c r="J194" s="965">
        <f>(VLOOKUP($B$1,'Product Procurement Sheet'!B:I,8,0)*$M$1)/$P$1</f>
        <v>3.94366197183099</v>
      </c>
      <c r="K194" s="965">
        <f>(VLOOKUP($B$1,'Product Procurement Sheet'!B:I,8,0)*$N$1)/$P$1</f>
        <v>5.91549295774648</v>
      </c>
      <c r="L194" s="968">
        <f>VLOOKUP($B$1,'Product Procurement Sheet'!B:D,3,FALSE)*$L$1</f>
        <v>0.11</v>
      </c>
      <c r="M194" s="968">
        <f>VLOOKUP($B$1,'Product Procurement Sheet'!B:D,3,FALSE)*$M$1</f>
        <v>0.22</v>
      </c>
      <c r="N194" s="968">
        <f>VLOOKUP($B$1,'Product Procurement Sheet'!B:D,3,FALSE)*$N$1</f>
        <v>0.33</v>
      </c>
      <c r="O194" s="971" cm="1">
        <f ca="1" t="array" ref="O194">(_xlfn.SINGLE(_xlfn.XLOOKUP(1,(INDIRECT($R$1&amp;"!$C:$C")=B194)*(INDIRECT($R$1&amp;"!$G:$G")&lt;L194)*(INDIRECT($R$1&amp;"!$H:$H")&gt;=L194),INDIRECT($R$1&amp;"!$K:$K"))))*L194+(_xlfn.SINGLE(_xlfn.XLOOKUP(1,(INDIRECT($R$1&amp;"!$C:$C")=B194)*(INDIRECT($R$1&amp;"!$G:$G")&lt;L194)*(INDIRECT($R$1&amp;"!$H:$H")&gt;=L194),INDIRECT($R$1&amp;"!$L:$L"))))</f>
        <v>59.55</v>
      </c>
      <c r="P194" s="971" cm="1">
        <f ca="1" t="array" ref="P194">(_xlfn.SINGLE(_xlfn.XLOOKUP(1,(INDIRECT($R$1&amp;"!$C:$C")=B194)*(INDIRECT($R$1&amp;"!$G:$G")&lt;M194)*(INDIRECT($R$1&amp;"!$H:$H")&gt;=M194),INDIRECT($R$1&amp;"!$K:$K"))))*M194+(_xlfn.SINGLE(_xlfn.XLOOKUP(1,(INDIRECT($R$1&amp;"!$C:$C")=B194)*(INDIRECT($R$1&amp;"!$G:$G")&lt;M194)*(INDIRECT($R$1&amp;"!$H:$H")&gt;=M194),INDIRECT($R$1&amp;"!$L:$L"))))</f>
        <v>82.1</v>
      </c>
      <c r="Q194" s="971" cm="1">
        <f ca="1" t="array" ref="Q194">(_xlfn.SINGLE(_xlfn.XLOOKUP(1,(INDIRECT($R$1&amp;"!$C:$C")=B194)*(INDIRECT($R$1&amp;"!$G:$G")&lt;N194)*(INDIRECT($R$1&amp;"!$H:$H")&gt;=N194),INDIRECT($R$1&amp;"!$K:$K"))))*N194+(_xlfn.SINGLE(_xlfn.XLOOKUP(1,(INDIRECT($R$1&amp;"!$C:$C")=B194)*(INDIRECT($R$1&amp;"!$G:$G")&lt;N194)*(INDIRECT($R$1&amp;"!$H:$H")&gt;=N194),INDIRECT($R$1&amp;"!$L:$L"))))</f>
        <v>104.65</v>
      </c>
      <c r="R194" s="955"/>
    </row>
    <row r="195" ht="17.25" spans="1:18">
      <c r="A195" s="963" t="s">
        <v>404</v>
      </c>
      <c r="B195" s="963" t="s">
        <v>405</v>
      </c>
      <c r="C195" s="964">
        <f ca="1" t="shared" si="134"/>
        <v>10.6773943661972</v>
      </c>
      <c r="D195" s="964">
        <f ca="1" t="shared" si="135"/>
        <v>18.3407042253521</v>
      </c>
      <c r="E195" s="964">
        <f ca="1" t="shared" si="136"/>
        <v>26.004014084507</v>
      </c>
      <c r="F195" s="965">
        <f ca="1" t="shared" ref="F195:H195" si="200">O195/$P$1</f>
        <v>8.00704225352113</v>
      </c>
      <c r="G195" s="965">
        <f ca="1" t="shared" si="200"/>
        <v>13.1971830985915</v>
      </c>
      <c r="H195" s="965">
        <f ca="1" t="shared" si="200"/>
        <v>18.387323943662</v>
      </c>
      <c r="I195" s="965">
        <f>(VLOOKUP($B$1,'Product Procurement Sheet'!B:I,8,0)*$L$1)/$P$1</f>
        <v>1.97183098591549</v>
      </c>
      <c r="J195" s="965">
        <f>(VLOOKUP($B$1,'Product Procurement Sheet'!B:I,8,0)*$M$1)/$P$1</f>
        <v>3.94366197183099</v>
      </c>
      <c r="K195" s="965">
        <f>(VLOOKUP($B$1,'Product Procurement Sheet'!B:I,8,0)*$N$1)/$P$1</f>
        <v>5.91549295774648</v>
      </c>
      <c r="L195" s="968">
        <f>VLOOKUP($B$1,'Product Procurement Sheet'!B:D,3,FALSE)*$L$1</f>
        <v>0.11</v>
      </c>
      <c r="M195" s="968">
        <f>VLOOKUP($B$1,'Product Procurement Sheet'!B:D,3,FALSE)*$M$1</f>
        <v>0.22</v>
      </c>
      <c r="N195" s="968">
        <f>VLOOKUP($B$1,'Product Procurement Sheet'!B:D,3,FALSE)*$N$1</f>
        <v>0.33</v>
      </c>
      <c r="O195" s="971" cm="1">
        <f ca="1" t="array" ref="O195">(_xlfn.SINGLE(_xlfn.XLOOKUP(1,(INDIRECT($R$1&amp;"!$C:$C")=B195)*(INDIRECT($R$1&amp;"!$G:$G")&lt;L195)*(INDIRECT($R$1&amp;"!$H:$H")&gt;=L195),INDIRECT($R$1&amp;"!$K:$K"))))*L195+(_xlfn.SINGLE(_xlfn.XLOOKUP(1,(INDIRECT($R$1&amp;"!$C:$C")=B195)*(INDIRECT($R$1&amp;"!$G:$G")&lt;L195)*(INDIRECT($R$1&amp;"!$H:$H")&gt;=L195),INDIRECT($R$1&amp;"!$L:$L"))))</f>
        <v>56.85</v>
      </c>
      <c r="P195" s="971" cm="1">
        <f ca="1" t="array" ref="P195">(_xlfn.SINGLE(_xlfn.XLOOKUP(1,(INDIRECT($R$1&amp;"!$C:$C")=B195)*(INDIRECT($R$1&amp;"!$G:$G")&lt;M195)*(INDIRECT($R$1&amp;"!$H:$H")&gt;=M195),INDIRECT($R$1&amp;"!$K:$K"))))*M195+(_xlfn.SINGLE(_xlfn.XLOOKUP(1,(INDIRECT($R$1&amp;"!$C:$C")=B195)*(INDIRECT($R$1&amp;"!$G:$G")&lt;M195)*(INDIRECT($R$1&amp;"!$H:$H")&gt;=M195),INDIRECT($R$1&amp;"!$L:$L"))))</f>
        <v>93.7</v>
      </c>
      <c r="Q195" s="971" cm="1">
        <f ca="1" t="array" ref="Q195">(_xlfn.SINGLE(_xlfn.XLOOKUP(1,(INDIRECT($R$1&amp;"!$C:$C")=B195)*(INDIRECT($R$1&amp;"!$G:$G")&lt;N195)*(INDIRECT($R$1&amp;"!$H:$H")&gt;=N195),INDIRECT($R$1&amp;"!$K:$K"))))*N195+(_xlfn.SINGLE(_xlfn.XLOOKUP(1,(INDIRECT($R$1&amp;"!$C:$C")=B195)*(INDIRECT($R$1&amp;"!$G:$G")&lt;N195)*(INDIRECT($R$1&amp;"!$H:$H")&gt;=N195),INDIRECT($R$1&amp;"!$L:$L"))))</f>
        <v>130.55</v>
      </c>
      <c r="R195" s="955"/>
    </row>
    <row r="196" ht="17.25" spans="1:18">
      <c r="A196" s="963" t="s">
        <v>406</v>
      </c>
      <c r="B196" s="963" t="s">
        <v>407</v>
      </c>
      <c r="C196" s="964">
        <f ca="1" t="shared" ref="C196:C221" si="201">(F196+I196)*(1+$F$1)</f>
        <v>8.85387323943662</v>
      </c>
      <c r="D196" s="964">
        <f ca="1" t="shared" ref="D196:D221" si="202">(G196+J196)*(1+$F$1)</f>
        <v>14.693661971831</v>
      </c>
      <c r="E196" s="964">
        <f ca="1" t="shared" ref="E196:E221" si="203">(H196+K196)*(1+$F$1)</f>
        <v>20.5334507042254</v>
      </c>
      <c r="F196" s="965">
        <f ca="1" t="shared" ref="F196:H196" si="204">O196/$P$1</f>
        <v>6.30281690140845</v>
      </c>
      <c r="G196" s="965">
        <f ca="1" t="shared" si="204"/>
        <v>9.7887323943662</v>
      </c>
      <c r="H196" s="965">
        <f ca="1" t="shared" si="204"/>
        <v>13.2746478873239</v>
      </c>
      <c r="I196" s="965">
        <f>(VLOOKUP($B$1,'Product Procurement Sheet'!B:I,8,0)*$L$1)/$P$1</f>
        <v>1.97183098591549</v>
      </c>
      <c r="J196" s="965">
        <f>(VLOOKUP($B$1,'Product Procurement Sheet'!B:I,8,0)*$M$1)/$P$1</f>
        <v>3.94366197183099</v>
      </c>
      <c r="K196" s="965">
        <f>(VLOOKUP($B$1,'Product Procurement Sheet'!B:I,8,0)*$N$1)/$P$1</f>
        <v>5.91549295774648</v>
      </c>
      <c r="L196" s="968">
        <f>VLOOKUP($B$1,'Product Procurement Sheet'!B:D,3,FALSE)*$L$1</f>
        <v>0.11</v>
      </c>
      <c r="M196" s="968">
        <f>VLOOKUP($B$1,'Product Procurement Sheet'!B:D,3,FALSE)*$M$1</f>
        <v>0.22</v>
      </c>
      <c r="N196" s="968">
        <f>VLOOKUP($B$1,'Product Procurement Sheet'!B:D,3,FALSE)*$N$1</f>
        <v>0.33</v>
      </c>
      <c r="O196" s="971" cm="1">
        <f ca="1" t="array" ref="O196">(_xlfn.SINGLE(_xlfn.XLOOKUP(1,(INDIRECT($R$1&amp;"!$C:$C")=B196)*(INDIRECT($R$1&amp;"!$G:$G")&lt;L196)*(INDIRECT($R$1&amp;"!$H:$H")&gt;=L196),INDIRECT($R$1&amp;"!$K:$K"))))*L196+(_xlfn.SINGLE(_xlfn.XLOOKUP(1,(INDIRECT($R$1&amp;"!$C:$C")=B196)*(INDIRECT($R$1&amp;"!$G:$G")&lt;L196)*(INDIRECT($R$1&amp;"!$H:$H")&gt;=L196),INDIRECT($R$1&amp;"!$L:$L"))))</f>
        <v>44.75</v>
      </c>
      <c r="P196" s="971" cm="1">
        <f ca="1" t="array" ref="P196">(_xlfn.SINGLE(_xlfn.XLOOKUP(1,(INDIRECT($R$1&amp;"!$C:$C")=B196)*(INDIRECT($R$1&amp;"!$G:$G")&lt;M196)*(INDIRECT($R$1&amp;"!$H:$H")&gt;=M196),INDIRECT($R$1&amp;"!$K:$K"))))*M196+(_xlfn.SINGLE(_xlfn.XLOOKUP(1,(INDIRECT($R$1&amp;"!$C:$C")=B196)*(INDIRECT($R$1&amp;"!$G:$G")&lt;M196)*(INDIRECT($R$1&amp;"!$H:$H")&gt;=M196),INDIRECT($R$1&amp;"!$L:$L"))))</f>
        <v>69.5</v>
      </c>
      <c r="Q196" s="971" cm="1">
        <f ca="1" t="array" ref="Q196">(_xlfn.SINGLE(_xlfn.XLOOKUP(1,(INDIRECT($R$1&amp;"!$C:$C")=B196)*(INDIRECT($R$1&amp;"!$G:$G")&lt;N196)*(INDIRECT($R$1&amp;"!$H:$H")&gt;=N196),INDIRECT($R$1&amp;"!$K:$K"))))*N196+(_xlfn.SINGLE(_xlfn.XLOOKUP(1,(INDIRECT($R$1&amp;"!$C:$C")=B196)*(INDIRECT($R$1&amp;"!$G:$G")&lt;N196)*(INDIRECT($R$1&amp;"!$H:$H")&gt;=N196),INDIRECT($R$1&amp;"!$L:$L"))))</f>
        <v>94.25</v>
      </c>
      <c r="R196" s="955"/>
    </row>
    <row r="197" ht="17.25" spans="1:18">
      <c r="A197" s="963" t="s">
        <v>408</v>
      </c>
      <c r="B197" s="963" t="s">
        <v>409</v>
      </c>
      <c r="C197" s="964">
        <f ca="1" t="shared" si="201"/>
        <v>10.3609154929577</v>
      </c>
      <c r="D197" s="964">
        <f ca="1" t="shared" si="202"/>
        <v>16.2007042253521</v>
      </c>
      <c r="E197" s="964">
        <f ca="1" t="shared" si="203"/>
        <v>22.0404929577465</v>
      </c>
      <c r="F197" s="965">
        <f ca="1" t="shared" ref="F197:H197" si="205">O197/$P$1</f>
        <v>7.7112676056338</v>
      </c>
      <c r="G197" s="965">
        <f ca="1" t="shared" si="205"/>
        <v>11.1971830985915</v>
      </c>
      <c r="H197" s="965">
        <f ca="1" t="shared" si="205"/>
        <v>14.6830985915493</v>
      </c>
      <c r="I197" s="965">
        <f>(VLOOKUP($B$1,'Product Procurement Sheet'!B:I,8,0)*$L$1)/$P$1</f>
        <v>1.97183098591549</v>
      </c>
      <c r="J197" s="965">
        <f>(VLOOKUP($B$1,'Product Procurement Sheet'!B:I,8,0)*$M$1)/$P$1</f>
        <v>3.94366197183099</v>
      </c>
      <c r="K197" s="965">
        <f>(VLOOKUP($B$1,'Product Procurement Sheet'!B:I,8,0)*$N$1)/$P$1</f>
        <v>5.91549295774648</v>
      </c>
      <c r="L197" s="968">
        <f>VLOOKUP($B$1,'Product Procurement Sheet'!B:D,3,FALSE)*$L$1</f>
        <v>0.11</v>
      </c>
      <c r="M197" s="968">
        <f>VLOOKUP($B$1,'Product Procurement Sheet'!B:D,3,FALSE)*$M$1</f>
        <v>0.22</v>
      </c>
      <c r="N197" s="968">
        <f>VLOOKUP($B$1,'Product Procurement Sheet'!B:D,3,FALSE)*$N$1</f>
        <v>0.33</v>
      </c>
      <c r="O197" s="971" cm="1">
        <f ca="1" t="array" ref="O197">(_xlfn.SINGLE(_xlfn.XLOOKUP(1,(INDIRECT($R$1&amp;"!$C:$C")=B197)*(INDIRECT($R$1&amp;"!$G:$G")&lt;L197)*(INDIRECT($R$1&amp;"!$H:$H")&gt;=L197),INDIRECT($R$1&amp;"!$K:$K"))))*L197+(_xlfn.SINGLE(_xlfn.XLOOKUP(1,(INDIRECT($R$1&amp;"!$C:$C")=B197)*(INDIRECT($R$1&amp;"!$G:$G")&lt;L197)*(INDIRECT($R$1&amp;"!$H:$H")&gt;=L197),INDIRECT($R$1&amp;"!$L:$L"))))</f>
        <v>54.75</v>
      </c>
      <c r="P197" s="971" cm="1">
        <f ca="1" t="array" ref="P197">(_xlfn.SINGLE(_xlfn.XLOOKUP(1,(INDIRECT($R$1&amp;"!$C:$C")=B197)*(INDIRECT($R$1&amp;"!$G:$G")&lt;M197)*(INDIRECT($R$1&amp;"!$H:$H")&gt;=M197),INDIRECT($R$1&amp;"!$K:$K"))))*M197+(_xlfn.SINGLE(_xlfn.XLOOKUP(1,(INDIRECT($R$1&amp;"!$C:$C")=B197)*(INDIRECT($R$1&amp;"!$G:$G")&lt;M197)*(INDIRECT($R$1&amp;"!$H:$H")&gt;=M197),INDIRECT($R$1&amp;"!$L:$L"))))</f>
        <v>79.5</v>
      </c>
      <c r="Q197" s="971" cm="1">
        <f ca="1" t="array" ref="Q197">(_xlfn.SINGLE(_xlfn.XLOOKUP(1,(INDIRECT($R$1&amp;"!$C:$C")=B197)*(INDIRECT($R$1&amp;"!$G:$G")&lt;N197)*(INDIRECT($R$1&amp;"!$H:$H")&gt;=N197),INDIRECT($R$1&amp;"!$K:$K"))))*N197+(_xlfn.SINGLE(_xlfn.XLOOKUP(1,(INDIRECT($R$1&amp;"!$C:$C")=B197)*(INDIRECT($R$1&amp;"!$G:$G")&lt;N197)*(INDIRECT($R$1&amp;"!$H:$H")&gt;=N197),INDIRECT($R$1&amp;"!$L:$L"))))</f>
        <v>104.25</v>
      </c>
      <c r="R197" s="955"/>
    </row>
    <row r="198" ht="17.25" spans="1:18">
      <c r="A198" s="963" t="s">
        <v>410</v>
      </c>
      <c r="B198" s="963" t="s">
        <v>411</v>
      </c>
      <c r="C198" s="964">
        <f ca="1" t="shared" si="201"/>
        <v>9.51697183098591</v>
      </c>
      <c r="D198" s="964">
        <f ca="1" t="shared" si="202"/>
        <v>16.0198591549296</v>
      </c>
      <c r="E198" s="964">
        <f ca="1" t="shared" si="203"/>
        <v>22.5227464788732</v>
      </c>
      <c r="F198" s="965">
        <f ca="1" t="shared" ref="F198:H198" si="206">O198/$P$1</f>
        <v>6.92253521126761</v>
      </c>
      <c r="G198" s="965">
        <f ca="1" t="shared" si="206"/>
        <v>11.0281690140845</v>
      </c>
      <c r="H198" s="965">
        <f ca="1" t="shared" si="206"/>
        <v>15.1338028169014</v>
      </c>
      <c r="I198" s="965">
        <f>(VLOOKUP($B$1,'Product Procurement Sheet'!B:I,8,0)*$L$1)/$P$1</f>
        <v>1.97183098591549</v>
      </c>
      <c r="J198" s="965">
        <f>(VLOOKUP($B$1,'Product Procurement Sheet'!B:I,8,0)*$M$1)/$P$1</f>
        <v>3.94366197183099</v>
      </c>
      <c r="K198" s="965">
        <f>(VLOOKUP($B$1,'Product Procurement Sheet'!B:I,8,0)*$N$1)/$P$1</f>
        <v>5.91549295774648</v>
      </c>
      <c r="L198" s="968">
        <f>VLOOKUP($B$1,'Product Procurement Sheet'!B:D,3,FALSE)*$L$1</f>
        <v>0.11</v>
      </c>
      <c r="M198" s="968">
        <f>VLOOKUP($B$1,'Product Procurement Sheet'!B:D,3,FALSE)*$M$1</f>
        <v>0.22</v>
      </c>
      <c r="N198" s="968">
        <f>VLOOKUP($B$1,'Product Procurement Sheet'!B:D,3,FALSE)*$N$1</f>
        <v>0.33</v>
      </c>
      <c r="O198" s="971" cm="1">
        <f ca="1" t="array" ref="O198">(_xlfn.SINGLE(_xlfn.XLOOKUP(1,(INDIRECT($R$1&amp;"!$C:$C")=B198)*(INDIRECT($R$1&amp;"!$G:$G")&lt;L198)*(INDIRECT($R$1&amp;"!$H:$H")&gt;=L198),INDIRECT($R$1&amp;"!$K:$K"))))*L198+(_xlfn.SINGLE(_xlfn.XLOOKUP(1,(INDIRECT($R$1&amp;"!$C:$C")=B198)*(INDIRECT($R$1&amp;"!$G:$G")&lt;L198)*(INDIRECT($R$1&amp;"!$H:$H")&gt;=L198),INDIRECT($R$1&amp;"!$L:$L"))))</f>
        <v>49.15</v>
      </c>
      <c r="P198" s="971" cm="1">
        <f ca="1" t="array" ref="P198">(_xlfn.SINGLE(_xlfn.XLOOKUP(1,(INDIRECT($R$1&amp;"!$C:$C")=B198)*(INDIRECT($R$1&amp;"!$G:$G")&lt;M198)*(INDIRECT($R$1&amp;"!$H:$H")&gt;=M198),INDIRECT($R$1&amp;"!$K:$K"))))*M198+(_xlfn.SINGLE(_xlfn.XLOOKUP(1,(INDIRECT($R$1&amp;"!$C:$C")=B198)*(INDIRECT($R$1&amp;"!$G:$G")&lt;M198)*(INDIRECT($R$1&amp;"!$H:$H")&gt;=M198),INDIRECT($R$1&amp;"!$L:$L"))))</f>
        <v>78.3</v>
      </c>
      <c r="Q198" s="971" cm="1">
        <f ca="1" t="array" ref="Q198">(_xlfn.SINGLE(_xlfn.XLOOKUP(1,(INDIRECT($R$1&amp;"!$C:$C")=B198)*(INDIRECT($R$1&amp;"!$G:$G")&lt;N198)*(INDIRECT($R$1&amp;"!$H:$H")&gt;=N198),INDIRECT($R$1&amp;"!$K:$K"))))*N198+(_xlfn.SINGLE(_xlfn.XLOOKUP(1,(INDIRECT($R$1&amp;"!$C:$C")=B198)*(INDIRECT($R$1&amp;"!$G:$G")&lt;N198)*(INDIRECT($R$1&amp;"!$H:$H")&gt;=N198),INDIRECT($R$1&amp;"!$L:$L"))))</f>
        <v>107.45</v>
      </c>
      <c r="R198" s="955"/>
    </row>
    <row r="199" ht="17.25" spans="1:18">
      <c r="A199" s="963" t="s">
        <v>412</v>
      </c>
      <c r="B199" s="963" t="s">
        <v>413</v>
      </c>
      <c r="C199" s="964">
        <f ca="1" t="shared" si="201"/>
        <v>8.19077464788732</v>
      </c>
      <c r="D199" s="964">
        <f ca="1" t="shared" si="202"/>
        <v>13.3674647887324</v>
      </c>
      <c r="E199" s="964">
        <f ca="1" t="shared" si="203"/>
        <v>18.5441549295775</v>
      </c>
      <c r="F199" s="965">
        <f ca="1" t="shared" ref="F199:H199" si="207">O199/$P$1</f>
        <v>5.6830985915493</v>
      </c>
      <c r="G199" s="965">
        <f ca="1" t="shared" si="207"/>
        <v>8.54929577464789</v>
      </c>
      <c r="H199" s="965">
        <f ca="1" t="shared" si="207"/>
        <v>11.4154929577465</v>
      </c>
      <c r="I199" s="965">
        <f>(VLOOKUP($B$1,'Product Procurement Sheet'!B:I,8,0)*$L$1)/$P$1</f>
        <v>1.97183098591549</v>
      </c>
      <c r="J199" s="965">
        <f>(VLOOKUP($B$1,'Product Procurement Sheet'!B:I,8,0)*$M$1)/$P$1</f>
        <v>3.94366197183099</v>
      </c>
      <c r="K199" s="965">
        <f>(VLOOKUP($B$1,'Product Procurement Sheet'!B:I,8,0)*$N$1)/$P$1</f>
        <v>5.91549295774648</v>
      </c>
      <c r="L199" s="968">
        <f>VLOOKUP($B$1,'Product Procurement Sheet'!B:D,3,FALSE)*$L$1</f>
        <v>0.11</v>
      </c>
      <c r="M199" s="968">
        <f>VLOOKUP($B$1,'Product Procurement Sheet'!B:D,3,FALSE)*$M$1</f>
        <v>0.22</v>
      </c>
      <c r="N199" s="968">
        <f>VLOOKUP($B$1,'Product Procurement Sheet'!B:D,3,FALSE)*$N$1</f>
        <v>0.33</v>
      </c>
      <c r="O199" s="971" cm="1">
        <f ca="1" t="array" ref="O199">(_xlfn.SINGLE(_xlfn.XLOOKUP(1,(INDIRECT($R$1&amp;"!$C:$C")=B199)*(INDIRECT($R$1&amp;"!$G:$G")&lt;L199)*(INDIRECT($R$1&amp;"!$H:$H")&gt;=L199),INDIRECT($R$1&amp;"!$K:$K"))))*L199+(_xlfn.SINGLE(_xlfn.XLOOKUP(1,(INDIRECT($R$1&amp;"!$C:$C")=B199)*(INDIRECT($R$1&amp;"!$G:$G")&lt;L199)*(INDIRECT($R$1&amp;"!$H:$H")&gt;=L199),INDIRECT($R$1&amp;"!$L:$L"))))</f>
        <v>40.35</v>
      </c>
      <c r="P199" s="971" cm="1">
        <f ca="1" t="array" ref="P199">(_xlfn.SINGLE(_xlfn.XLOOKUP(1,(INDIRECT($R$1&amp;"!$C:$C")=B199)*(INDIRECT($R$1&amp;"!$G:$G")&lt;M199)*(INDIRECT($R$1&amp;"!$H:$H")&gt;=M199),INDIRECT($R$1&amp;"!$K:$K"))))*M199+(_xlfn.SINGLE(_xlfn.XLOOKUP(1,(INDIRECT($R$1&amp;"!$C:$C")=B199)*(INDIRECT($R$1&amp;"!$G:$G")&lt;M199)*(INDIRECT($R$1&amp;"!$H:$H")&gt;=M199),INDIRECT($R$1&amp;"!$L:$L"))))</f>
        <v>60.7</v>
      </c>
      <c r="Q199" s="971" cm="1">
        <f ca="1" t="array" ref="Q199">(_xlfn.SINGLE(_xlfn.XLOOKUP(1,(INDIRECT($R$1&amp;"!$C:$C")=B199)*(INDIRECT($R$1&amp;"!$G:$G")&lt;N199)*(INDIRECT($R$1&amp;"!$H:$H")&gt;=N199),INDIRECT($R$1&amp;"!$K:$K"))))*N199+(_xlfn.SINGLE(_xlfn.XLOOKUP(1,(INDIRECT($R$1&amp;"!$C:$C")=B199)*(INDIRECT($R$1&amp;"!$G:$G")&lt;N199)*(INDIRECT($R$1&amp;"!$H:$H")&gt;=N199),INDIRECT($R$1&amp;"!$L:$L"))))</f>
        <v>81.05</v>
      </c>
      <c r="R199" s="955"/>
    </row>
    <row r="200" ht="17.25" spans="1:18">
      <c r="A200" s="963" t="s">
        <v>414</v>
      </c>
      <c r="B200" s="963" t="s">
        <v>415</v>
      </c>
      <c r="C200" s="964">
        <f ca="1" t="shared" si="201"/>
        <v>12.6666901408451</v>
      </c>
      <c r="D200" s="964">
        <f ca="1" t="shared" si="202"/>
        <v>22.3192957746479</v>
      </c>
      <c r="E200" s="964">
        <f ca="1" t="shared" si="203"/>
        <v>31.9719014084507</v>
      </c>
      <c r="F200" s="965">
        <f ca="1" t="shared" ref="F200:H200" si="208">O200/$P$1</f>
        <v>9.86619718309859</v>
      </c>
      <c r="G200" s="965">
        <f ca="1" t="shared" si="208"/>
        <v>16.9154929577465</v>
      </c>
      <c r="H200" s="965">
        <f ca="1" t="shared" si="208"/>
        <v>23.9647887323944</v>
      </c>
      <c r="I200" s="965">
        <f>(VLOOKUP($B$1,'Product Procurement Sheet'!B:I,8,0)*$L$1)/$P$1</f>
        <v>1.97183098591549</v>
      </c>
      <c r="J200" s="965">
        <f>(VLOOKUP($B$1,'Product Procurement Sheet'!B:I,8,0)*$M$1)/$P$1</f>
        <v>3.94366197183099</v>
      </c>
      <c r="K200" s="965">
        <f>(VLOOKUP($B$1,'Product Procurement Sheet'!B:I,8,0)*$N$1)/$P$1</f>
        <v>5.91549295774648</v>
      </c>
      <c r="L200" s="968">
        <f>VLOOKUP($B$1,'Product Procurement Sheet'!B:D,3,FALSE)*$L$1</f>
        <v>0.11</v>
      </c>
      <c r="M200" s="968">
        <f>VLOOKUP($B$1,'Product Procurement Sheet'!B:D,3,FALSE)*$M$1</f>
        <v>0.22</v>
      </c>
      <c r="N200" s="968">
        <f>VLOOKUP($B$1,'Product Procurement Sheet'!B:D,3,FALSE)*$N$1</f>
        <v>0.33</v>
      </c>
      <c r="O200" s="971" cm="1">
        <f ca="1" t="array" ref="O200">(_xlfn.SINGLE(_xlfn.XLOOKUP(1,(INDIRECT($R$1&amp;"!$C:$C")=B200)*(INDIRECT($R$1&amp;"!$G:$G")&lt;L200)*(INDIRECT($R$1&amp;"!$H:$H")&gt;=L200),INDIRECT($R$1&amp;"!$K:$K"))))*L200+(_xlfn.SINGLE(_xlfn.XLOOKUP(1,(INDIRECT($R$1&amp;"!$C:$C")=B200)*(INDIRECT($R$1&amp;"!$G:$G")&lt;L200)*(INDIRECT($R$1&amp;"!$H:$H")&gt;=L200),INDIRECT($R$1&amp;"!$L:$L"))))</f>
        <v>70.05</v>
      </c>
      <c r="P200" s="971" cm="1">
        <f ca="1" t="array" ref="P200">(_xlfn.SINGLE(_xlfn.XLOOKUP(1,(INDIRECT($R$1&amp;"!$C:$C")=B200)*(INDIRECT($R$1&amp;"!$G:$G")&lt;M200)*(INDIRECT($R$1&amp;"!$H:$H")&gt;=M200),INDIRECT($R$1&amp;"!$K:$K"))))*M200+(_xlfn.SINGLE(_xlfn.XLOOKUP(1,(INDIRECT($R$1&amp;"!$C:$C")=B200)*(INDIRECT($R$1&amp;"!$G:$G")&lt;M200)*(INDIRECT($R$1&amp;"!$H:$H")&gt;=M200),INDIRECT($R$1&amp;"!$L:$L"))))</f>
        <v>120.1</v>
      </c>
      <c r="Q200" s="971" cm="1">
        <f ca="1" t="array" ref="Q200">(_xlfn.SINGLE(_xlfn.XLOOKUP(1,(INDIRECT($R$1&amp;"!$C:$C")=B200)*(INDIRECT($R$1&amp;"!$G:$G")&lt;N200)*(INDIRECT($R$1&amp;"!$H:$H")&gt;=N200),INDIRECT($R$1&amp;"!$K:$K"))))*N200+(_xlfn.SINGLE(_xlfn.XLOOKUP(1,(INDIRECT($R$1&amp;"!$C:$C")=B200)*(INDIRECT($R$1&amp;"!$G:$G")&lt;N200)*(INDIRECT($R$1&amp;"!$H:$H")&gt;=N200),INDIRECT($R$1&amp;"!$L:$L"))))</f>
        <v>170.15</v>
      </c>
      <c r="R200" s="955"/>
    </row>
    <row r="201" ht="17.25" spans="1:18">
      <c r="A201" s="963" t="s">
        <v>416</v>
      </c>
      <c r="B201" s="963" t="s">
        <v>417</v>
      </c>
      <c r="C201" s="964">
        <f ca="1" t="shared" si="201"/>
        <v>10.0142957746479</v>
      </c>
      <c r="D201" s="964">
        <f ca="1" t="shared" si="202"/>
        <v>17.0145070422535</v>
      </c>
      <c r="E201" s="964">
        <f ca="1" t="shared" si="203"/>
        <v>24.0147183098592</v>
      </c>
      <c r="F201" s="965">
        <f ca="1" t="shared" ref="F201:H201" si="209">O201/$P$1</f>
        <v>7.38732394366197</v>
      </c>
      <c r="G201" s="965">
        <f ca="1" t="shared" si="209"/>
        <v>11.9577464788732</v>
      </c>
      <c r="H201" s="965">
        <f ca="1" t="shared" si="209"/>
        <v>16.5281690140845</v>
      </c>
      <c r="I201" s="965">
        <f>(VLOOKUP($B$1,'Product Procurement Sheet'!B:I,8,0)*$L$1)/$P$1</f>
        <v>1.97183098591549</v>
      </c>
      <c r="J201" s="965">
        <f>(VLOOKUP($B$1,'Product Procurement Sheet'!B:I,8,0)*$M$1)/$P$1</f>
        <v>3.94366197183099</v>
      </c>
      <c r="K201" s="965">
        <f>(VLOOKUP($B$1,'Product Procurement Sheet'!B:I,8,0)*$N$1)/$P$1</f>
        <v>5.91549295774648</v>
      </c>
      <c r="L201" s="968">
        <f>VLOOKUP($B$1,'Product Procurement Sheet'!B:D,3,FALSE)*$L$1</f>
        <v>0.11</v>
      </c>
      <c r="M201" s="968">
        <f>VLOOKUP($B$1,'Product Procurement Sheet'!B:D,3,FALSE)*$M$1</f>
        <v>0.22</v>
      </c>
      <c r="N201" s="968">
        <f>VLOOKUP($B$1,'Product Procurement Sheet'!B:D,3,FALSE)*$N$1</f>
        <v>0.33</v>
      </c>
      <c r="O201" s="971" cm="1">
        <f ca="1" t="array" ref="O201">(_xlfn.SINGLE(_xlfn.XLOOKUP(1,(INDIRECT($R$1&amp;"!$C:$C")=B201)*(INDIRECT($R$1&amp;"!$G:$G")&lt;L201)*(INDIRECT($R$1&amp;"!$H:$H")&gt;=L201),INDIRECT($R$1&amp;"!$K:$K"))))*L201+(_xlfn.SINGLE(_xlfn.XLOOKUP(1,(INDIRECT($R$1&amp;"!$C:$C")=B201)*(INDIRECT($R$1&amp;"!$G:$G")&lt;L201)*(INDIRECT($R$1&amp;"!$H:$H")&gt;=L201),INDIRECT($R$1&amp;"!$L:$L"))))</f>
        <v>52.45</v>
      </c>
      <c r="P201" s="971" cm="1">
        <f ca="1" t="array" ref="P201">(_xlfn.SINGLE(_xlfn.XLOOKUP(1,(INDIRECT($R$1&amp;"!$C:$C")=B201)*(INDIRECT($R$1&amp;"!$G:$G")&lt;M201)*(INDIRECT($R$1&amp;"!$H:$H")&gt;=M201),INDIRECT($R$1&amp;"!$K:$K"))))*M201+(_xlfn.SINGLE(_xlfn.XLOOKUP(1,(INDIRECT($R$1&amp;"!$C:$C")=B201)*(INDIRECT($R$1&amp;"!$G:$G")&lt;M201)*(INDIRECT($R$1&amp;"!$H:$H")&gt;=M201),INDIRECT($R$1&amp;"!$L:$L"))))</f>
        <v>84.9</v>
      </c>
      <c r="Q201" s="971" cm="1">
        <f ca="1" t="array" ref="Q201">(_xlfn.SINGLE(_xlfn.XLOOKUP(1,(INDIRECT($R$1&amp;"!$C:$C")=B201)*(INDIRECT($R$1&amp;"!$G:$G")&lt;N201)*(INDIRECT($R$1&amp;"!$H:$H")&gt;=N201),INDIRECT($R$1&amp;"!$K:$K"))))*N201+(_xlfn.SINGLE(_xlfn.XLOOKUP(1,(INDIRECT($R$1&amp;"!$C:$C")=B201)*(INDIRECT($R$1&amp;"!$G:$G")&lt;N201)*(INDIRECT($R$1&amp;"!$H:$H")&gt;=N201),INDIRECT($R$1&amp;"!$L:$L"))))</f>
        <v>117.35</v>
      </c>
      <c r="R201" s="955"/>
    </row>
    <row r="202" ht="17.25" spans="1:18">
      <c r="A202" s="963" t="s">
        <v>418</v>
      </c>
      <c r="B202" s="963" t="s">
        <v>419</v>
      </c>
      <c r="C202" s="964">
        <f ca="1" t="shared" si="201"/>
        <v>9.51697183098591</v>
      </c>
      <c r="D202" s="964">
        <f ca="1" t="shared" si="202"/>
        <v>16.0198591549296</v>
      </c>
      <c r="E202" s="964">
        <f ca="1" t="shared" si="203"/>
        <v>22.5227464788732</v>
      </c>
      <c r="F202" s="965">
        <f ca="1" t="shared" ref="F202:H202" si="210">O202/$P$1</f>
        <v>6.92253521126761</v>
      </c>
      <c r="G202" s="965">
        <f ca="1" t="shared" si="210"/>
        <v>11.0281690140845</v>
      </c>
      <c r="H202" s="965">
        <f ca="1" t="shared" si="210"/>
        <v>15.1338028169014</v>
      </c>
      <c r="I202" s="965">
        <f>(VLOOKUP($B$1,'Product Procurement Sheet'!B:I,8,0)*$L$1)/$P$1</f>
        <v>1.97183098591549</v>
      </c>
      <c r="J202" s="965">
        <f>(VLOOKUP($B$1,'Product Procurement Sheet'!B:I,8,0)*$M$1)/$P$1</f>
        <v>3.94366197183099</v>
      </c>
      <c r="K202" s="965">
        <f>(VLOOKUP($B$1,'Product Procurement Sheet'!B:I,8,0)*$N$1)/$P$1</f>
        <v>5.91549295774648</v>
      </c>
      <c r="L202" s="968">
        <f>VLOOKUP($B$1,'Product Procurement Sheet'!B:D,3,FALSE)*$L$1</f>
        <v>0.11</v>
      </c>
      <c r="M202" s="968">
        <f>VLOOKUP($B$1,'Product Procurement Sheet'!B:D,3,FALSE)*$M$1</f>
        <v>0.22</v>
      </c>
      <c r="N202" s="968">
        <f>VLOOKUP($B$1,'Product Procurement Sheet'!B:D,3,FALSE)*$N$1</f>
        <v>0.33</v>
      </c>
      <c r="O202" s="971" cm="1">
        <f ca="1" t="array" ref="O202">(_xlfn.SINGLE(_xlfn.XLOOKUP(1,(INDIRECT($R$1&amp;"!$C:$C")=B202)*(INDIRECT($R$1&amp;"!$G:$G")&lt;L202)*(INDIRECT($R$1&amp;"!$H:$H")&gt;=L202),INDIRECT($R$1&amp;"!$K:$K"))))*L202+(_xlfn.SINGLE(_xlfn.XLOOKUP(1,(INDIRECT($R$1&amp;"!$C:$C")=B202)*(INDIRECT($R$1&amp;"!$G:$G")&lt;L202)*(INDIRECT($R$1&amp;"!$H:$H")&gt;=L202),INDIRECT($R$1&amp;"!$L:$L"))))</f>
        <v>49.15</v>
      </c>
      <c r="P202" s="971" cm="1">
        <f ca="1" t="array" ref="P202">(_xlfn.SINGLE(_xlfn.XLOOKUP(1,(INDIRECT($R$1&amp;"!$C:$C")=B202)*(INDIRECT($R$1&amp;"!$G:$G")&lt;M202)*(INDIRECT($R$1&amp;"!$H:$H")&gt;=M202),INDIRECT($R$1&amp;"!$K:$K"))))*M202+(_xlfn.SINGLE(_xlfn.XLOOKUP(1,(INDIRECT($R$1&amp;"!$C:$C")=B202)*(INDIRECT($R$1&amp;"!$G:$G")&lt;M202)*(INDIRECT($R$1&amp;"!$H:$H")&gt;=M202),INDIRECT($R$1&amp;"!$L:$L"))))</f>
        <v>78.3</v>
      </c>
      <c r="Q202" s="971" cm="1">
        <f ca="1" t="array" ref="Q202">(_xlfn.SINGLE(_xlfn.XLOOKUP(1,(INDIRECT($R$1&amp;"!$C:$C")=B202)*(INDIRECT($R$1&amp;"!$G:$G")&lt;N202)*(INDIRECT($R$1&amp;"!$H:$H")&gt;=N202),INDIRECT($R$1&amp;"!$K:$K"))))*N202+(_xlfn.SINGLE(_xlfn.XLOOKUP(1,(INDIRECT($R$1&amp;"!$C:$C")=B202)*(INDIRECT($R$1&amp;"!$G:$G")&lt;N202)*(INDIRECT($R$1&amp;"!$H:$H")&gt;=N202),INDIRECT($R$1&amp;"!$L:$L"))))</f>
        <v>107.45</v>
      </c>
      <c r="R202" s="955"/>
    </row>
    <row r="203" ht="17.25" spans="1:18">
      <c r="A203" s="963" t="s">
        <v>420</v>
      </c>
      <c r="B203" s="963" t="s">
        <v>421</v>
      </c>
      <c r="C203" s="964">
        <f ca="1" t="shared" si="201"/>
        <v>9.35119718309859</v>
      </c>
      <c r="D203" s="964">
        <f ca="1" t="shared" si="202"/>
        <v>15.6883098591549</v>
      </c>
      <c r="E203" s="964">
        <f ca="1" t="shared" si="203"/>
        <v>22.0254225352113</v>
      </c>
      <c r="F203" s="965">
        <f ca="1" t="shared" ref="F203:H203" si="211">O203/$P$1</f>
        <v>6.76760563380282</v>
      </c>
      <c r="G203" s="965">
        <f ca="1" t="shared" si="211"/>
        <v>10.7183098591549</v>
      </c>
      <c r="H203" s="965">
        <f ca="1" t="shared" si="211"/>
        <v>14.669014084507</v>
      </c>
      <c r="I203" s="965">
        <f>(VLOOKUP($B$1,'Product Procurement Sheet'!B:I,8,0)*$L$1)/$P$1</f>
        <v>1.97183098591549</v>
      </c>
      <c r="J203" s="965">
        <f>(VLOOKUP($B$1,'Product Procurement Sheet'!B:I,8,0)*$M$1)/$P$1</f>
        <v>3.94366197183099</v>
      </c>
      <c r="K203" s="965">
        <f>(VLOOKUP($B$1,'Product Procurement Sheet'!B:I,8,0)*$N$1)/$P$1</f>
        <v>5.91549295774648</v>
      </c>
      <c r="L203" s="968">
        <f>VLOOKUP($B$1,'Product Procurement Sheet'!B:D,3,FALSE)*$L$1</f>
        <v>0.11</v>
      </c>
      <c r="M203" s="968">
        <f>VLOOKUP($B$1,'Product Procurement Sheet'!B:D,3,FALSE)*$M$1</f>
        <v>0.22</v>
      </c>
      <c r="N203" s="968">
        <f>VLOOKUP($B$1,'Product Procurement Sheet'!B:D,3,FALSE)*$N$1</f>
        <v>0.33</v>
      </c>
      <c r="O203" s="971" cm="1">
        <f ca="1" t="array" ref="O203">(_xlfn.SINGLE(_xlfn.XLOOKUP(1,(INDIRECT($R$1&amp;"!$C:$C")=B203)*(INDIRECT($R$1&amp;"!$G:$G")&lt;L203)*(INDIRECT($R$1&amp;"!$H:$H")&gt;=L203),INDIRECT($R$1&amp;"!$K:$K"))))*L203+(_xlfn.SINGLE(_xlfn.XLOOKUP(1,(INDIRECT($R$1&amp;"!$C:$C")=B203)*(INDIRECT($R$1&amp;"!$G:$G")&lt;L203)*(INDIRECT($R$1&amp;"!$H:$H")&gt;=L203),INDIRECT($R$1&amp;"!$L:$L"))))</f>
        <v>48.05</v>
      </c>
      <c r="P203" s="971" cm="1">
        <f ca="1" t="array" ref="P203">(_xlfn.SINGLE(_xlfn.XLOOKUP(1,(INDIRECT($R$1&amp;"!$C:$C")=B203)*(INDIRECT($R$1&amp;"!$G:$G")&lt;M203)*(INDIRECT($R$1&amp;"!$H:$H")&gt;=M203),INDIRECT($R$1&amp;"!$K:$K"))))*M203+(_xlfn.SINGLE(_xlfn.XLOOKUP(1,(INDIRECT($R$1&amp;"!$C:$C")=B203)*(INDIRECT($R$1&amp;"!$G:$G")&lt;M203)*(INDIRECT($R$1&amp;"!$H:$H")&gt;=M203),INDIRECT($R$1&amp;"!$L:$L"))))</f>
        <v>76.1</v>
      </c>
      <c r="Q203" s="971" cm="1">
        <f ca="1" t="array" ref="Q203">(_xlfn.SINGLE(_xlfn.XLOOKUP(1,(INDIRECT($R$1&amp;"!$C:$C")=B203)*(INDIRECT($R$1&amp;"!$G:$G")&lt;N203)*(INDIRECT($R$1&amp;"!$H:$H")&gt;=N203),INDIRECT($R$1&amp;"!$K:$K"))))*N203+(_xlfn.SINGLE(_xlfn.XLOOKUP(1,(INDIRECT($R$1&amp;"!$C:$C")=B203)*(INDIRECT($R$1&amp;"!$G:$G")&lt;N203)*(INDIRECT($R$1&amp;"!$H:$H")&gt;=N203),INDIRECT($R$1&amp;"!$L:$L"))))</f>
        <v>104.15</v>
      </c>
      <c r="R203" s="955"/>
    </row>
    <row r="204" ht="17.25" spans="1:18">
      <c r="A204" s="963" t="s">
        <v>422</v>
      </c>
      <c r="B204" s="963" t="s">
        <v>423</v>
      </c>
      <c r="C204" s="964">
        <f ca="1" t="shared" si="201"/>
        <v>13.164014084507</v>
      </c>
      <c r="D204" s="964">
        <f ca="1" t="shared" si="202"/>
        <v>23.3139436619718</v>
      </c>
      <c r="E204" s="964">
        <f ca="1" t="shared" si="203"/>
        <v>33.4638732394366</v>
      </c>
      <c r="F204" s="965">
        <f ca="1" t="shared" ref="F204:H204" si="212">O204/$P$1</f>
        <v>10.330985915493</v>
      </c>
      <c r="G204" s="965">
        <f ca="1" t="shared" si="212"/>
        <v>17.8450704225352</v>
      </c>
      <c r="H204" s="965">
        <f ca="1" t="shared" si="212"/>
        <v>25.3591549295775</v>
      </c>
      <c r="I204" s="965">
        <f>(VLOOKUP($B$1,'Product Procurement Sheet'!B:I,8,0)*$L$1)/$P$1</f>
        <v>1.97183098591549</v>
      </c>
      <c r="J204" s="965">
        <f>(VLOOKUP($B$1,'Product Procurement Sheet'!B:I,8,0)*$M$1)/$P$1</f>
        <v>3.94366197183099</v>
      </c>
      <c r="K204" s="965">
        <f>(VLOOKUP($B$1,'Product Procurement Sheet'!B:I,8,0)*$N$1)/$P$1</f>
        <v>5.91549295774648</v>
      </c>
      <c r="L204" s="968">
        <f>VLOOKUP($B$1,'Product Procurement Sheet'!B:D,3,FALSE)*$L$1</f>
        <v>0.11</v>
      </c>
      <c r="M204" s="968">
        <f>VLOOKUP($B$1,'Product Procurement Sheet'!B:D,3,FALSE)*$M$1</f>
        <v>0.22</v>
      </c>
      <c r="N204" s="968">
        <f>VLOOKUP($B$1,'Product Procurement Sheet'!B:D,3,FALSE)*$N$1</f>
        <v>0.33</v>
      </c>
      <c r="O204" s="971" cm="1">
        <f ca="1" t="array" ref="O204">(_xlfn.SINGLE(_xlfn.XLOOKUP(1,(INDIRECT($R$1&amp;"!$C:$C")=B204)*(INDIRECT($R$1&amp;"!$G:$G")&lt;L204)*(INDIRECT($R$1&amp;"!$H:$H")&gt;=L204),INDIRECT($R$1&amp;"!$K:$K"))))*L204+(_xlfn.SINGLE(_xlfn.XLOOKUP(1,(INDIRECT($R$1&amp;"!$C:$C")=B204)*(INDIRECT($R$1&amp;"!$G:$G")&lt;L204)*(INDIRECT($R$1&amp;"!$H:$H")&gt;=L204),INDIRECT($R$1&amp;"!$L:$L"))))</f>
        <v>73.35</v>
      </c>
      <c r="P204" s="971" cm="1">
        <f ca="1" t="array" ref="P204">(_xlfn.SINGLE(_xlfn.XLOOKUP(1,(INDIRECT($R$1&amp;"!$C:$C")=B204)*(INDIRECT($R$1&amp;"!$G:$G")&lt;M204)*(INDIRECT($R$1&amp;"!$H:$H")&gt;=M204),INDIRECT($R$1&amp;"!$K:$K"))))*M204+(_xlfn.SINGLE(_xlfn.XLOOKUP(1,(INDIRECT($R$1&amp;"!$C:$C")=B204)*(INDIRECT($R$1&amp;"!$G:$G")&lt;M204)*(INDIRECT($R$1&amp;"!$H:$H")&gt;=M204),INDIRECT($R$1&amp;"!$L:$L"))))</f>
        <v>126.7</v>
      </c>
      <c r="Q204" s="971" cm="1">
        <f ca="1" t="array" ref="Q204">(_xlfn.SINGLE(_xlfn.XLOOKUP(1,(INDIRECT($R$1&amp;"!$C:$C")=B204)*(INDIRECT($R$1&amp;"!$G:$G")&lt;N204)*(INDIRECT($R$1&amp;"!$H:$H")&gt;=N204),INDIRECT($R$1&amp;"!$K:$K"))))*N204+(_xlfn.SINGLE(_xlfn.XLOOKUP(1,(INDIRECT($R$1&amp;"!$C:$C")=B204)*(INDIRECT($R$1&amp;"!$G:$G")&lt;N204)*(INDIRECT($R$1&amp;"!$H:$H")&gt;=N204),INDIRECT($R$1&amp;"!$L:$L"))))</f>
        <v>180.05</v>
      </c>
      <c r="R204" s="955"/>
    </row>
    <row r="205" ht="17.25" spans="1:18">
      <c r="A205" s="963" t="s">
        <v>424</v>
      </c>
      <c r="B205" s="963" t="s">
        <v>425</v>
      </c>
      <c r="C205" s="964">
        <f ca="1" t="shared" si="201"/>
        <v>9.35119718309859</v>
      </c>
      <c r="D205" s="964">
        <f ca="1" t="shared" si="202"/>
        <v>15.6883098591549</v>
      </c>
      <c r="E205" s="964">
        <f ca="1" t="shared" si="203"/>
        <v>22.0254225352113</v>
      </c>
      <c r="F205" s="965">
        <f ca="1" t="shared" ref="F205:H205" si="213">O205/$P$1</f>
        <v>6.76760563380282</v>
      </c>
      <c r="G205" s="965">
        <f ca="1" t="shared" si="213"/>
        <v>10.7183098591549</v>
      </c>
      <c r="H205" s="965">
        <f ca="1" t="shared" si="213"/>
        <v>14.669014084507</v>
      </c>
      <c r="I205" s="965">
        <f>(VLOOKUP($B$1,'Product Procurement Sheet'!B:I,8,0)*$L$1)/$P$1</f>
        <v>1.97183098591549</v>
      </c>
      <c r="J205" s="965">
        <f>(VLOOKUP($B$1,'Product Procurement Sheet'!B:I,8,0)*$M$1)/$P$1</f>
        <v>3.94366197183099</v>
      </c>
      <c r="K205" s="965">
        <f>(VLOOKUP($B$1,'Product Procurement Sheet'!B:I,8,0)*$N$1)/$P$1</f>
        <v>5.91549295774648</v>
      </c>
      <c r="L205" s="968">
        <f>VLOOKUP($B$1,'Product Procurement Sheet'!B:D,3,FALSE)*$L$1</f>
        <v>0.11</v>
      </c>
      <c r="M205" s="968">
        <f>VLOOKUP($B$1,'Product Procurement Sheet'!B:D,3,FALSE)*$M$1</f>
        <v>0.22</v>
      </c>
      <c r="N205" s="968">
        <f>VLOOKUP($B$1,'Product Procurement Sheet'!B:D,3,FALSE)*$N$1</f>
        <v>0.33</v>
      </c>
      <c r="O205" s="971" cm="1">
        <f ca="1" t="array" ref="O205">(_xlfn.SINGLE(_xlfn.XLOOKUP(1,(INDIRECT($R$1&amp;"!$C:$C")=B205)*(INDIRECT($R$1&amp;"!$G:$G")&lt;L205)*(INDIRECT($R$1&amp;"!$H:$H")&gt;=L205),INDIRECT($R$1&amp;"!$K:$K"))))*L205+(_xlfn.SINGLE(_xlfn.XLOOKUP(1,(INDIRECT($R$1&amp;"!$C:$C")=B205)*(INDIRECT($R$1&amp;"!$G:$G")&lt;L205)*(INDIRECT($R$1&amp;"!$H:$H")&gt;=L205),INDIRECT($R$1&amp;"!$L:$L"))))</f>
        <v>48.05</v>
      </c>
      <c r="P205" s="971" cm="1">
        <f ca="1" t="array" ref="P205">(_xlfn.SINGLE(_xlfn.XLOOKUP(1,(INDIRECT($R$1&amp;"!$C:$C")=B205)*(INDIRECT($R$1&amp;"!$G:$G")&lt;M205)*(INDIRECT($R$1&amp;"!$H:$H")&gt;=M205),INDIRECT($R$1&amp;"!$K:$K"))))*M205+(_xlfn.SINGLE(_xlfn.XLOOKUP(1,(INDIRECT($R$1&amp;"!$C:$C")=B205)*(INDIRECT($R$1&amp;"!$G:$G")&lt;M205)*(INDIRECT($R$1&amp;"!$H:$H")&gt;=M205),INDIRECT($R$1&amp;"!$L:$L"))))</f>
        <v>76.1</v>
      </c>
      <c r="Q205" s="971" cm="1">
        <f ca="1" t="array" ref="Q205">(_xlfn.SINGLE(_xlfn.XLOOKUP(1,(INDIRECT($R$1&amp;"!$C:$C")=B205)*(INDIRECT($R$1&amp;"!$G:$G")&lt;N205)*(INDIRECT($R$1&amp;"!$H:$H")&gt;=N205),INDIRECT($R$1&amp;"!$K:$K"))))*N205+(_xlfn.SINGLE(_xlfn.XLOOKUP(1,(INDIRECT($R$1&amp;"!$C:$C")=B205)*(INDIRECT($R$1&amp;"!$G:$G")&lt;N205)*(INDIRECT($R$1&amp;"!$H:$H")&gt;=N205),INDIRECT($R$1&amp;"!$L:$L"))))</f>
        <v>104.15</v>
      </c>
      <c r="R205" s="955"/>
    </row>
    <row r="206" ht="17.25" spans="1:18">
      <c r="A206" s="963" t="s">
        <v>426</v>
      </c>
      <c r="B206" s="963" t="s">
        <v>427</v>
      </c>
      <c r="C206" s="964">
        <f ca="1" t="shared" si="201"/>
        <v>8.68809859154929</v>
      </c>
      <c r="D206" s="964">
        <f ca="1" t="shared" si="202"/>
        <v>14.3621126760563</v>
      </c>
      <c r="E206" s="964">
        <f ca="1" t="shared" si="203"/>
        <v>20.0361267605634</v>
      </c>
      <c r="F206" s="965">
        <f ca="1" t="shared" ref="F206:H206" si="214">O206/$P$1</f>
        <v>6.14788732394366</v>
      </c>
      <c r="G206" s="965">
        <f ca="1" t="shared" si="214"/>
        <v>9.47887323943662</v>
      </c>
      <c r="H206" s="965">
        <f ca="1" t="shared" si="214"/>
        <v>12.8098591549296</v>
      </c>
      <c r="I206" s="965">
        <f>(VLOOKUP($B$1,'Product Procurement Sheet'!B:I,8,0)*$L$1)/$P$1</f>
        <v>1.97183098591549</v>
      </c>
      <c r="J206" s="965">
        <f>(VLOOKUP($B$1,'Product Procurement Sheet'!B:I,8,0)*$M$1)/$P$1</f>
        <v>3.94366197183099</v>
      </c>
      <c r="K206" s="965">
        <f>(VLOOKUP($B$1,'Product Procurement Sheet'!B:I,8,0)*$N$1)/$P$1</f>
        <v>5.91549295774648</v>
      </c>
      <c r="L206" s="968">
        <f>VLOOKUP($B$1,'Product Procurement Sheet'!B:D,3,FALSE)*$L$1</f>
        <v>0.11</v>
      </c>
      <c r="M206" s="968">
        <f>VLOOKUP($B$1,'Product Procurement Sheet'!B:D,3,FALSE)*$M$1</f>
        <v>0.22</v>
      </c>
      <c r="N206" s="968">
        <f>VLOOKUP($B$1,'Product Procurement Sheet'!B:D,3,FALSE)*$N$1</f>
        <v>0.33</v>
      </c>
      <c r="O206" s="971" cm="1">
        <f ca="1" t="array" ref="O206">(_xlfn.SINGLE(_xlfn.XLOOKUP(1,(INDIRECT($R$1&amp;"!$C:$C")=B206)*(INDIRECT($R$1&amp;"!$G:$G")&lt;L206)*(INDIRECT($R$1&amp;"!$H:$H")&gt;=L206),INDIRECT($R$1&amp;"!$K:$K"))))*L206+(_xlfn.SINGLE(_xlfn.XLOOKUP(1,(INDIRECT($R$1&amp;"!$C:$C")=B206)*(INDIRECT($R$1&amp;"!$G:$G")&lt;L206)*(INDIRECT($R$1&amp;"!$H:$H")&gt;=L206),INDIRECT($R$1&amp;"!$L:$L"))))</f>
        <v>43.65</v>
      </c>
      <c r="P206" s="971" cm="1">
        <f ca="1" t="array" ref="P206">(_xlfn.SINGLE(_xlfn.XLOOKUP(1,(INDIRECT($R$1&amp;"!$C:$C")=B206)*(INDIRECT($R$1&amp;"!$G:$G")&lt;M206)*(INDIRECT($R$1&amp;"!$H:$H")&gt;=M206),INDIRECT($R$1&amp;"!$K:$K"))))*M206+(_xlfn.SINGLE(_xlfn.XLOOKUP(1,(INDIRECT($R$1&amp;"!$C:$C")=B206)*(INDIRECT($R$1&amp;"!$G:$G")&lt;M206)*(INDIRECT($R$1&amp;"!$H:$H")&gt;=M206),INDIRECT($R$1&amp;"!$L:$L"))))</f>
        <v>67.3</v>
      </c>
      <c r="Q206" s="971" cm="1">
        <f ca="1" t="array" ref="Q206">(_xlfn.SINGLE(_xlfn.XLOOKUP(1,(INDIRECT($R$1&amp;"!$C:$C")=B206)*(INDIRECT($R$1&amp;"!$G:$G")&lt;N206)*(INDIRECT($R$1&amp;"!$H:$H")&gt;=N206),INDIRECT($R$1&amp;"!$K:$K"))))*N206+(_xlfn.SINGLE(_xlfn.XLOOKUP(1,(INDIRECT($R$1&amp;"!$C:$C")=B206)*(INDIRECT($R$1&amp;"!$G:$G")&lt;N206)*(INDIRECT($R$1&amp;"!$H:$H")&gt;=N206),INDIRECT($R$1&amp;"!$L:$L"))))</f>
        <v>90.95</v>
      </c>
      <c r="R206" s="955"/>
    </row>
    <row r="207" ht="17.25" spans="1:18">
      <c r="A207" s="963" t="s">
        <v>428</v>
      </c>
      <c r="B207" s="963" t="s">
        <v>429</v>
      </c>
      <c r="C207" s="964" t="e">
        <f ca="1" t="shared" si="201"/>
        <v>#N/A</v>
      </c>
      <c r="D207" s="964" t="e">
        <f ca="1" t="shared" si="202"/>
        <v>#N/A</v>
      </c>
      <c r="E207" s="964" t="e">
        <f ca="1" t="shared" si="203"/>
        <v>#N/A</v>
      </c>
      <c r="F207" s="965" t="e">
        <f ca="1" t="shared" ref="F207:H207" si="215">O207/$P$1</f>
        <v>#N/A</v>
      </c>
      <c r="G207" s="965" t="e">
        <f ca="1" t="shared" si="215"/>
        <v>#N/A</v>
      </c>
      <c r="H207" s="965" t="e">
        <f ca="1" t="shared" si="215"/>
        <v>#N/A</v>
      </c>
      <c r="I207" s="965">
        <f>(VLOOKUP($B$1,'Product Procurement Sheet'!B:I,8,0)*$L$1)/$P$1</f>
        <v>1.97183098591549</v>
      </c>
      <c r="J207" s="965">
        <f>(VLOOKUP($B$1,'Product Procurement Sheet'!B:I,8,0)*$M$1)/$P$1</f>
        <v>3.94366197183099</v>
      </c>
      <c r="K207" s="965">
        <f>(VLOOKUP($B$1,'Product Procurement Sheet'!B:I,8,0)*$N$1)/$P$1</f>
        <v>5.91549295774648</v>
      </c>
      <c r="L207" s="968">
        <f>VLOOKUP($B$1,'Product Procurement Sheet'!B:D,3,FALSE)*$L$1</f>
        <v>0.11</v>
      </c>
      <c r="M207" s="968">
        <f>VLOOKUP($B$1,'Product Procurement Sheet'!B:D,3,FALSE)*$M$1</f>
        <v>0.22</v>
      </c>
      <c r="N207" s="968">
        <f>VLOOKUP($B$1,'Product Procurement Sheet'!B:D,3,FALSE)*$N$1</f>
        <v>0.33</v>
      </c>
      <c r="O207" s="971" t="e" cm="1">
        <f ca="1" t="array" ref="O207">(_xlfn.SINGLE(_xlfn.XLOOKUP(1,(INDIRECT($R$1&amp;"!$C:$C")=B207)*(INDIRECT($R$1&amp;"!$G:$G")&lt;L207)*(INDIRECT($R$1&amp;"!$H:$H")&gt;=L207),INDIRECT($R$1&amp;"!$K:$K"))))*L207+(_xlfn.SINGLE(_xlfn.XLOOKUP(1,(INDIRECT($R$1&amp;"!$C:$C")=B207)*(INDIRECT($R$1&amp;"!$G:$G")&lt;L207)*(INDIRECT($R$1&amp;"!$H:$H")&gt;=L207),INDIRECT($R$1&amp;"!$L:$L"))))</f>
        <v>#N/A</v>
      </c>
      <c r="P207" s="971" t="e" cm="1">
        <f ca="1" t="array" ref="P207">(_xlfn.SINGLE(_xlfn.XLOOKUP(1,(INDIRECT($R$1&amp;"!$C:$C")=B207)*(INDIRECT($R$1&amp;"!$G:$G")&lt;M207)*(INDIRECT($R$1&amp;"!$H:$H")&gt;=M207),INDIRECT($R$1&amp;"!$K:$K"))))*M207+(_xlfn.SINGLE(_xlfn.XLOOKUP(1,(INDIRECT($R$1&amp;"!$C:$C")=B207)*(INDIRECT($R$1&amp;"!$G:$G")&lt;M207)*(INDIRECT($R$1&amp;"!$H:$H")&gt;=M207),INDIRECT($R$1&amp;"!$L:$L"))))</f>
        <v>#N/A</v>
      </c>
      <c r="Q207" s="971" t="e" cm="1">
        <f ca="1" t="array" ref="Q207">(_xlfn.SINGLE(_xlfn.XLOOKUP(1,(INDIRECT($R$1&amp;"!$C:$C")=B207)*(INDIRECT($R$1&amp;"!$G:$G")&lt;N207)*(INDIRECT($R$1&amp;"!$H:$H")&gt;=N207),INDIRECT($R$1&amp;"!$K:$K"))))*N207+(_xlfn.SINGLE(_xlfn.XLOOKUP(1,(INDIRECT($R$1&amp;"!$C:$C")=B207)*(INDIRECT($R$1&amp;"!$G:$G")&lt;N207)*(INDIRECT($R$1&amp;"!$H:$H")&gt;=N207),INDIRECT($R$1&amp;"!$L:$L"))))</f>
        <v>#N/A</v>
      </c>
      <c r="R207" s="955"/>
    </row>
    <row r="208" ht="17.25" spans="1:18">
      <c r="A208" s="963" t="s">
        <v>430</v>
      </c>
      <c r="B208" s="963" t="s">
        <v>431</v>
      </c>
      <c r="C208" s="964">
        <f ca="1" t="shared" si="201"/>
        <v>8.19077464788732</v>
      </c>
      <c r="D208" s="964">
        <f ca="1" t="shared" si="202"/>
        <v>13.3674647887324</v>
      </c>
      <c r="E208" s="964">
        <f ca="1" t="shared" si="203"/>
        <v>18.5441549295775</v>
      </c>
      <c r="F208" s="965">
        <f ca="1" t="shared" ref="F208:H208" si="216">O208/$P$1</f>
        <v>5.6830985915493</v>
      </c>
      <c r="G208" s="965">
        <f ca="1" t="shared" si="216"/>
        <v>8.54929577464789</v>
      </c>
      <c r="H208" s="965">
        <f ca="1" t="shared" si="216"/>
        <v>11.4154929577465</v>
      </c>
      <c r="I208" s="965">
        <f>(VLOOKUP($B$1,'Product Procurement Sheet'!B:I,8,0)*$L$1)/$P$1</f>
        <v>1.97183098591549</v>
      </c>
      <c r="J208" s="965">
        <f>(VLOOKUP($B$1,'Product Procurement Sheet'!B:I,8,0)*$M$1)/$P$1</f>
        <v>3.94366197183099</v>
      </c>
      <c r="K208" s="965">
        <f>(VLOOKUP($B$1,'Product Procurement Sheet'!B:I,8,0)*$N$1)/$P$1</f>
        <v>5.91549295774648</v>
      </c>
      <c r="L208" s="968">
        <f>VLOOKUP($B$1,'Product Procurement Sheet'!B:D,3,FALSE)*$L$1</f>
        <v>0.11</v>
      </c>
      <c r="M208" s="968">
        <f>VLOOKUP($B$1,'Product Procurement Sheet'!B:D,3,FALSE)*$M$1</f>
        <v>0.22</v>
      </c>
      <c r="N208" s="968">
        <f>VLOOKUP($B$1,'Product Procurement Sheet'!B:D,3,FALSE)*$N$1</f>
        <v>0.33</v>
      </c>
      <c r="O208" s="971" cm="1">
        <f ca="1" t="array" ref="O208">(_xlfn.SINGLE(_xlfn.XLOOKUP(1,(INDIRECT($R$1&amp;"!$C:$C")=B208)*(INDIRECT($R$1&amp;"!$G:$G")&lt;L208)*(INDIRECT($R$1&amp;"!$H:$H")&gt;=L208),INDIRECT($R$1&amp;"!$K:$K"))))*L208+(_xlfn.SINGLE(_xlfn.XLOOKUP(1,(INDIRECT($R$1&amp;"!$C:$C")=B208)*(INDIRECT($R$1&amp;"!$G:$G")&lt;L208)*(INDIRECT($R$1&amp;"!$H:$H")&gt;=L208),INDIRECT($R$1&amp;"!$L:$L"))))</f>
        <v>40.35</v>
      </c>
      <c r="P208" s="971" cm="1">
        <f ca="1" t="array" ref="P208">(_xlfn.SINGLE(_xlfn.XLOOKUP(1,(INDIRECT($R$1&amp;"!$C:$C")=B208)*(INDIRECT($R$1&amp;"!$G:$G")&lt;M208)*(INDIRECT($R$1&amp;"!$H:$H")&gt;=M208),INDIRECT($R$1&amp;"!$K:$K"))))*M208+(_xlfn.SINGLE(_xlfn.XLOOKUP(1,(INDIRECT($R$1&amp;"!$C:$C")=B208)*(INDIRECT($R$1&amp;"!$G:$G")&lt;M208)*(INDIRECT($R$1&amp;"!$H:$H")&gt;=M208),INDIRECT($R$1&amp;"!$L:$L"))))</f>
        <v>60.7</v>
      </c>
      <c r="Q208" s="971" cm="1">
        <f ca="1" t="array" ref="Q208">(_xlfn.SINGLE(_xlfn.XLOOKUP(1,(INDIRECT($R$1&amp;"!$C:$C")=B208)*(INDIRECT($R$1&amp;"!$G:$G")&lt;N208)*(INDIRECT($R$1&amp;"!$H:$H")&gt;=N208),INDIRECT($R$1&amp;"!$K:$K"))))*N208+(_xlfn.SINGLE(_xlfn.XLOOKUP(1,(INDIRECT($R$1&amp;"!$C:$C")=B208)*(INDIRECT($R$1&amp;"!$G:$G")&lt;N208)*(INDIRECT($R$1&amp;"!$H:$H")&gt;=N208),INDIRECT($R$1&amp;"!$L:$L"))))</f>
        <v>81.05</v>
      </c>
      <c r="R208" s="955"/>
    </row>
    <row r="209" ht="17.25" spans="1:18">
      <c r="A209" s="963" t="s">
        <v>432</v>
      </c>
      <c r="B209" s="963" t="s">
        <v>433</v>
      </c>
      <c r="C209" s="964">
        <f ca="1" t="shared" si="201"/>
        <v>13.164014084507</v>
      </c>
      <c r="D209" s="964">
        <f ca="1" t="shared" si="202"/>
        <v>23.3139436619718</v>
      </c>
      <c r="E209" s="964">
        <f ca="1" t="shared" si="203"/>
        <v>33.4638732394366</v>
      </c>
      <c r="F209" s="965">
        <f ca="1" t="shared" ref="F209:H209" si="217">O209/$P$1</f>
        <v>10.330985915493</v>
      </c>
      <c r="G209" s="965">
        <f ca="1" t="shared" si="217"/>
        <v>17.8450704225352</v>
      </c>
      <c r="H209" s="965">
        <f ca="1" t="shared" si="217"/>
        <v>25.3591549295775</v>
      </c>
      <c r="I209" s="965">
        <f>(VLOOKUP($B$1,'Product Procurement Sheet'!B:I,8,0)*$L$1)/$P$1</f>
        <v>1.97183098591549</v>
      </c>
      <c r="J209" s="965">
        <f>(VLOOKUP($B$1,'Product Procurement Sheet'!B:I,8,0)*$M$1)/$P$1</f>
        <v>3.94366197183099</v>
      </c>
      <c r="K209" s="965">
        <f>(VLOOKUP($B$1,'Product Procurement Sheet'!B:I,8,0)*$N$1)/$P$1</f>
        <v>5.91549295774648</v>
      </c>
      <c r="L209" s="968">
        <f>VLOOKUP($B$1,'Product Procurement Sheet'!B:D,3,FALSE)*$L$1</f>
        <v>0.11</v>
      </c>
      <c r="M209" s="968">
        <f>VLOOKUP($B$1,'Product Procurement Sheet'!B:D,3,FALSE)*$M$1</f>
        <v>0.22</v>
      </c>
      <c r="N209" s="968">
        <f>VLOOKUP($B$1,'Product Procurement Sheet'!B:D,3,FALSE)*$N$1</f>
        <v>0.33</v>
      </c>
      <c r="O209" s="971" cm="1">
        <f ca="1" t="array" ref="O209">(_xlfn.SINGLE(_xlfn.XLOOKUP(1,(INDIRECT($R$1&amp;"!$C:$C")=B209)*(INDIRECT($R$1&amp;"!$G:$G")&lt;L209)*(INDIRECT($R$1&amp;"!$H:$H")&gt;=L209),INDIRECT($R$1&amp;"!$K:$K"))))*L209+(_xlfn.SINGLE(_xlfn.XLOOKUP(1,(INDIRECT($R$1&amp;"!$C:$C")=B209)*(INDIRECT($R$1&amp;"!$G:$G")&lt;L209)*(INDIRECT($R$1&amp;"!$H:$H")&gt;=L209),INDIRECT($R$1&amp;"!$L:$L"))))</f>
        <v>73.35</v>
      </c>
      <c r="P209" s="971" cm="1">
        <f ca="1" t="array" ref="P209">(_xlfn.SINGLE(_xlfn.XLOOKUP(1,(INDIRECT($R$1&amp;"!$C:$C")=B209)*(INDIRECT($R$1&amp;"!$G:$G")&lt;M209)*(INDIRECT($R$1&amp;"!$H:$H")&gt;=M209),INDIRECT($R$1&amp;"!$K:$K"))))*M209+(_xlfn.SINGLE(_xlfn.XLOOKUP(1,(INDIRECT($R$1&amp;"!$C:$C")=B209)*(INDIRECT($R$1&amp;"!$G:$G")&lt;M209)*(INDIRECT($R$1&amp;"!$H:$H")&gt;=M209),INDIRECT($R$1&amp;"!$L:$L"))))</f>
        <v>126.7</v>
      </c>
      <c r="Q209" s="971" cm="1">
        <f ca="1" t="array" ref="Q209">(_xlfn.SINGLE(_xlfn.XLOOKUP(1,(INDIRECT($R$1&amp;"!$C:$C")=B209)*(INDIRECT($R$1&amp;"!$G:$G")&lt;N209)*(INDIRECT($R$1&amp;"!$H:$H")&gt;=N209),INDIRECT($R$1&amp;"!$K:$K"))))*N209+(_xlfn.SINGLE(_xlfn.XLOOKUP(1,(INDIRECT($R$1&amp;"!$C:$C")=B209)*(INDIRECT($R$1&amp;"!$G:$G")&lt;N209)*(INDIRECT($R$1&amp;"!$H:$H")&gt;=N209),INDIRECT($R$1&amp;"!$L:$L"))))</f>
        <v>180.05</v>
      </c>
      <c r="R209" s="955"/>
    </row>
    <row r="210" ht="17.25" spans="1:18">
      <c r="A210" s="963" t="s">
        <v>434</v>
      </c>
      <c r="B210" s="963" t="s">
        <v>435</v>
      </c>
      <c r="C210" s="964">
        <f ca="1" t="shared" si="201"/>
        <v>13.164014084507</v>
      </c>
      <c r="D210" s="964">
        <f ca="1" t="shared" si="202"/>
        <v>23.3139436619718</v>
      </c>
      <c r="E210" s="964">
        <f ca="1" t="shared" si="203"/>
        <v>33.4638732394366</v>
      </c>
      <c r="F210" s="965">
        <f ca="1" t="shared" ref="F210:H210" si="218">O210/$P$1</f>
        <v>10.330985915493</v>
      </c>
      <c r="G210" s="965">
        <f ca="1" t="shared" si="218"/>
        <v>17.8450704225352</v>
      </c>
      <c r="H210" s="965">
        <f ca="1" t="shared" si="218"/>
        <v>25.3591549295775</v>
      </c>
      <c r="I210" s="965">
        <f>(VLOOKUP($B$1,'Product Procurement Sheet'!B:I,8,0)*$L$1)/$P$1</f>
        <v>1.97183098591549</v>
      </c>
      <c r="J210" s="965">
        <f>(VLOOKUP($B$1,'Product Procurement Sheet'!B:I,8,0)*$M$1)/$P$1</f>
        <v>3.94366197183099</v>
      </c>
      <c r="K210" s="965">
        <f>(VLOOKUP($B$1,'Product Procurement Sheet'!B:I,8,0)*$N$1)/$P$1</f>
        <v>5.91549295774648</v>
      </c>
      <c r="L210" s="968">
        <f>VLOOKUP($B$1,'Product Procurement Sheet'!B:D,3,FALSE)*$L$1</f>
        <v>0.11</v>
      </c>
      <c r="M210" s="968">
        <f>VLOOKUP($B$1,'Product Procurement Sheet'!B:D,3,FALSE)*$M$1</f>
        <v>0.22</v>
      </c>
      <c r="N210" s="968">
        <f>VLOOKUP($B$1,'Product Procurement Sheet'!B:D,3,FALSE)*$N$1</f>
        <v>0.33</v>
      </c>
      <c r="O210" s="971" cm="1">
        <f ca="1" t="array" ref="O210">(_xlfn.SINGLE(_xlfn.XLOOKUP(1,(INDIRECT($R$1&amp;"!$C:$C")=B210)*(INDIRECT($R$1&amp;"!$G:$G")&lt;L210)*(INDIRECT($R$1&amp;"!$H:$H")&gt;=L210),INDIRECT($R$1&amp;"!$K:$K"))))*L210+(_xlfn.SINGLE(_xlfn.XLOOKUP(1,(INDIRECT($R$1&amp;"!$C:$C")=B210)*(INDIRECT($R$1&amp;"!$G:$G")&lt;L210)*(INDIRECT($R$1&amp;"!$H:$H")&gt;=L210),INDIRECT($R$1&amp;"!$L:$L"))))</f>
        <v>73.35</v>
      </c>
      <c r="P210" s="971" cm="1">
        <f ca="1" t="array" ref="P210">(_xlfn.SINGLE(_xlfn.XLOOKUP(1,(INDIRECT($R$1&amp;"!$C:$C")=B210)*(INDIRECT($R$1&amp;"!$G:$G")&lt;M210)*(INDIRECT($R$1&amp;"!$H:$H")&gt;=M210),INDIRECT($R$1&amp;"!$K:$K"))))*M210+(_xlfn.SINGLE(_xlfn.XLOOKUP(1,(INDIRECT($R$1&amp;"!$C:$C")=B210)*(INDIRECT($R$1&amp;"!$G:$G")&lt;M210)*(INDIRECT($R$1&amp;"!$H:$H")&gt;=M210),INDIRECT($R$1&amp;"!$L:$L"))))</f>
        <v>126.7</v>
      </c>
      <c r="Q210" s="971" cm="1">
        <f ca="1" t="array" ref="Q210">(_xlfn.SINGLE(_xlfn.XLOOKUP(1,(INDIRECT($R$1&amp;"!$C:$C")=B210)*(INDIRECT($R$1&amp;"!$G:$G")&lt;N210)*(INDIRECT($R$1&amp;"!$H:$H")&gt;=N210),INDIRECT($R$1&amp;"!$K:$K"))))*N210+(_xlfn.SINGLE(_xlfn.XLOOKUP(1,(INDIRECT($R$1&amp;"!$C:$C")=B210)*(INDIRECT($R$1&amp;"!$G:$G")&lt;N210)*(INDIRECT($R$1&amp;"!$H:$H")&gt;=N210),INDIRECT($R$1&amp;"!$L:$L"))))</f>
        <v>180.05</v>
      </c>
      <c r="R210" s="955"/>
    </row>
    <row r="211" ht="17.25" spans="1:18">
      <c r="A211" s="963" t="s">
        <v>436</v>
      </c>
      <c r="B211" s="963" t="s">
        <v>437</v>
      </c>
      <c r="C211" s="964">
        <f ca="1" t="shared" si="201"/>
        <v>8.85387323943662</v>
      </c>
      <c r="D211" s="964">
        <f ca="1" t="shared" si="202"/>
        <v>14.693661971831</v>
      </c>
      <c r="E211" s="964">
        <f ca="1" t="shared" si="203"/>
        <v>20.5334507042254</v>
      </c>
      <c r="F211" s="965">
        <f ca="1" t="shared" ref="F211:H211" si="219">O211/$P$1</f>
        <v>6.30281690140845</v>
      </c>
      <c r="G211" s="965">
        <f ca="1" t="shared" si="219"/>
        <v>9.7887323943662</v>
      </c>
      <c r="H211" s="965">
        <f ca="1" t="shared" si="219"/>
        <v>13.2746478873239</v>
      </c>
      <c r="I211" s="965">
        <f>(VLOOKUP($B$1,'Product Procurement Sheet'!B:I,8,0)*$L$1)/$P$1</f>
        <v>1.97183098591549</v>
      </c>
      <c r="J211" s="965">
        <f>(VLOOKUP($B$1,'Product Procurement Sheet'!B:I,8,0)*$M$1)/$P$1</f>
        <v>3.94366197183099</v>
      </c>
      <c r="K211" s="965">
        <f>(VLOOKUP($B$1,'Product Procurement Sheet'!B:I,8,0)*$N$1)/$P$1</f>
        <v>5.91549295774648</v>
      </c>
      <c r="L211" s="968">
        <f>VLOOKUP($B$1,'Product Procurement Sheet'!B:D,3,FALSE)*$L$1</f>
        <v>0.11</v>
      </c>
      <c r="M211" s="968">
        <f>VLOOKUP($B$1,'Product Procurement Sheet'!B:D,3,FALSE)*$M$1</f>
        <v>0.22</v>
      </c>
      <c r="N211" s="968">
        <f>VLOOKUP($B$1,'Product Procurement Sheet'!B:D,3,FALSE)*$N$1</f>
        <v>0.33</v>
      </c>
      <c r="O211" s="971" cm="1">
        <f ca="1" t="array" ref="O211">(_xlfn.SINGLE(_xlfn.XLOOKUP(1,(INDIRECT($R$1&amp;"!$C:$C")=B211)*(INDIRECT($R$1&amp;"!$G:$G")&lt;L211)*(INDIRECT($R$1&amp;"!$H:$H")&gt;=L211),INDIRECT($R$1&amp;"!$K:$K"))))*L211+(_xlfn.SINGLE(_xlfn.XLOOKUP(1,(INDIRECT($R$1&amp;"!$C:$C")=B211)*(INDIRECT($R$1&amp;"!$G:$G")&lt;L211)*(INDIRECT($R$1&amp;"!$H:$H")&gt;=L211),INDIRECT($R$1&amp;"!$L:$L"))))</f>
        <v>44.75</v>
      </c>
      <c r="P211" s="971" cm="1">
        <f ca="1" t="array" ref="P211">(_xlfn.SINGLE(_xlfn.XLOOKUP(1,(INDIRECT($R$1&amp;"!$C:$C")=B211)*(INDIRECT($R$1&amp;"!$G:$G")&lt;M211)*(INDIRECT($R$1&amp;"!$H:$H")&gt;=M211),INDIRECT($R$1&amp;"!$K:$K"))))*M211+(_xlfn.SINGLE(_xlfn.XLOOKUP(1,(INDIRECT($R$1&amp;"!$C:$C")=B211)*(INDIRECT($R$1&amp;"!$G:$G")&lt;M211)*(INDIRECT($R$1&amp;"!$H:$H")&gt;=M211),INDIRECT($R$1&amp;"!$L:$L"))))</f>
        <v>69.5</v>
      </c>
      <c r="Q211" s="971" cm="1">
        <f ca="1" t="array" ref="Q211">(_xlfn.SINGLE(_xlfn.XLOOKUP(1,(INDIRECT($R$1&amp;"!$C:$C")=B211)*(INDIRECT($R$1&amp;"!$G:$G")&lt;N211)*(INDIRECT($R$1&amp;"!$H:$H")&gt;=N211),INDIRECT($R$1&amp;"!$K:$K"))))*N211+(_xlfn.SINGLE(_xlfn.XLOOKUP(1,(INDIRECT($R$1&amp;"!$C:$C")=B211)*(INDIRECT($R$1&amp;"!$G:$G")&lt;N211)*(INDIRECT($R$1&amp;"!$H:$H")&gt;=N211),INDIRECT($R$1&amp;"!$L:$L"))))</f>
        <v>94.25</v>
      </c>
      <c r="R211" s="955"/>
    </row>
    <row r="212" ht="17.25" spans="1:18">
      <c r="A212" s="963" t="s">
        <v>438</v>
      </c>
      <c r="B212" s="963" t="s">
        <v>439</v>
      </c>
      <c r="C212" s="964">
        <f ca="1" t="shared" si="201"/>
        <v>8.85387323943662</v>
      </c>
      <c r="D212" s="964">
        <f ca="1" t="shared" si="202"/>
        <v>14.693661971831</v>
      </c>
      <c r="E212" s="964">
        <f ca="1" t="shared" si="203"/>
        <v>20.5334507042254</v>
      </c>
      <c r="F212" s="965">
        <f ca="1" t="shared" ref="F212:H212" si="220">O212/$P$1</f>
        <v>6.30281690140845</v>
      </c>
      <c r="G212" s="965">
        <f ca="1" t="shared" si="220"/>
        <v>9.7887323943662</v>
      </c>
      <c r="H212" s="965">
        <f ca="1" t="shared" si="220"/>
        <v>13.2746478873239</v>
      </c>
      <c r="I212" s="965">
        <f>(VLOOKUP($B$1,'Product Procurement Sheet'!B:I,8,0)*$L$1)/$P$1</f>
        <v>1.97183098591549</v>
      </c>
      <c r="J212" s="965">
        <f>(VLOOKUP($B$1,'Product Procurement Sheet'!B:I,8,0)*$M$1)/$P$1</f>
        <v>3.94366197183099</v>
      </c>
      <c r="K212" s="965">
        <f>(VLOOKUP($B$1,'Product Procurement Sheet'!B:I,8,0)*$N$1)/$P$1</f>
        <v>5.91549295774648</v>
      </c>
      <c r="L212" s="968">
        <f>VLOOKUP($B$1,'Product Procurement Sheet'!B:D,3,FALSE)*$L$1</f>
        <v>0.11</v>
      </c>
      <c r="M212" s="968">
        <f>VLOOKUP($B$1,'Product Procurement Sheet'!B:D,3,FALSE)*$M$1</f>
        <v>0.22</v>
      </c>
      <c r="N212" s="968">
        <f>VLOOKUP($B$1,'Product Procurement Sheet'!B:D,3,FALSE)*$N$1</f>
        <v>0.33</v>
      </c>
      <c r="O212" s="971" cm="1">
        <f ca="1" t="array" ref="O212">(_xlfn.SINGLE(_xlfn.XLOOKUP(1,(INDIRECT($R$1&amp;"!$C:$C")=B212)*(INDIRECT($R$1&amp;"!$G:$G")&lt;L212)*(INDIRECT($R$1&amp;"!$H:$H")&gt;=L212),INDIRECT($R$1&amp;"!$K:$K"))))*L212+(_xlfn.SINGLE(_xlfn.XLOOKUP(1,(INDIRECT($R$1&amp;"!$C:$C")=B212)*(INDIRECT($R$1&amp;"!$G:$G")&lt;L212)*(INDIRECT($R$1&amp;"!$H:$H")&gt;=L212),INDIRECT($R$1&amp;"!$L:$L"))))</f>
        <v>44.75</v>
      </c>
      <c r="P212" s="971" cm="1">
        <f ca="1" t="array" ref="P212">(_xlfn.SINGLE(_xlfn.XLOOKUP(1,(INDIRECT($R$1&amp;"!$C:$C")=B212)*(INDIRECT($R$1&amp;"!$G:$G")&lt;M212)*(INDIRECT($R$1&amp;"!$H:$H")&gt;=M212),INDIRECT($R$1&amp;"!$K:$K"))))*M212+(_xlfn.SINGLE(_xlfn.XLOOKUP(1,(INDIRECT($R$1&amp;"!$C:$C")=B212)*(INDIRECT($R$1&amp;"!$G:$G")&lt;M212)*(INDIRECT($R$1&amp;"!$H:$H")&gt;=M212),INDIRECT($R$1&amp;"!$L:$L"))))</f>
        <v>69.5</v>
      </c>
      <c r="Q212" s="971" cm="1">
        <f ca="1" t="array" ref="Q212">(_xlfn.SINGLE(_xlfn.XLOOKUP(1,(INDIRECT($R$1&amp;"!$C:$C")=B212)*(INDIRECT($R$1&amp;"!$G:$G")&lt;N212)*(INDIRECT($R$1&amp;"!$H:$H")&gt;=N212),INDIRECT($R$1&amp;"!$K:$K"))))*N212+(_xlfn.SINGLE(_xlfn.XLOOKUP(1,(INDIRECT($R$1&amp;"!$C:$C")=B212)*(INDIRECT($R$1&amp;"!$G:$G")&lt;N212)*(INDIRECT($R$1&amp;"!$H:$H")&gt;=N212),INDIRECT($R$1&amp;"!$L:$L"))))</f>
        <v>94.25</v>
      </c>
      <c r="R212" s="955"/>
    </row>
    <row r="213" ht="17.25" spans="1:18">
      <c r="A213" s="963" t="s">
        <v>440</v>
      </c>
      <c r="B213" s="963" t="s">
        <v>441</v>
      </c>
      <c r="C213" s="964">
        <f ca="1" t="shared" si="201"/>
        <v>10.5116197183099</v>
      </c>
      <c r="D213" s="964">
        <f ca="1" t="shared" si="202"/>
        <v>18.0091549295775</v>
      </c>
      <c r="E213" s="964">
        <f ca="1" t="shared" si="203"/>
        <v>25.5066901408451</v>
      </c>
      <c r="F213" s="965">
        <f ca="1" t="shared" ref="F213:H213" si="221">O213/$P$1</f>
        <v>7.85211267605634</v>
      </c>
      <c r="G213" s="965">
        <f ca="1" t="shared" si="221"/>
        <v>12.887323943662</v>
      </c>
      <c r="H213" s="965">
        <f ca="1" t="shared" si="221"/>
        <v>17.9225352112676</v>
      </c>
      <c r="I213" s="965">
        <f>(VLOOKUP($B$1,'Product Procurement Sheet'!B:I,8,0)*$L$1)/$P$1</f>
        <v>1.97183098591549</v>
      </c>
      <c r="J213" s="965">
        <f>(VLOOKUP($B$1,'Product Procurement Sheet'!B:I,8,0)*$M$1)/$P$1</f>
        <v>3.94366197183099</v>
      </c>
      <c r="K213" s="965">
        <f>(VLOOKUP($B$1,'Product Procurement Sheet'!B:I,8,0)*$N$1)/$P$1</f>
        <v>5.91549295774648</v>
      </c>
      <c r="L213" s="968">
        <f>VLOOKUP($B$1,'Product Procurement Sheet'!B:D,3,FALSE)*$L$1</f>
        <v>0.11</v>
      </c>
      <c r="M213" s="968">
        <f>VLOOKUP($B$1,'Product Procurement Sheet'!B:D,3,FALSE)*$M$1</f>
        <v>0.22</v>
      </c>
      <c r="N213" s="968">
        <f>VLOOKUP($B$1,'Product Procurement Sheet'!B:D,3,FALSE)*$N$1</f>
        <v>0.33</v>
      </c>
      <c r="O213" s="971" cm="1">
        <f ca="1" t="array" ref="O213">(_xlfn.SINGLE(_xlfn.XLOOKUP(1,(INDIRECT($R$1&amp;"!$C:$C")=B213)*(INDIRECT($R$1&amp;"!$G:$G")&lt;L213)*(INDIRECT($R$1&amp;"!$H:$H")&gt;=L213),INDIRECT($R$1&amp;"!$K:$K"))))*L213+(_xlfn.SINGLE(_xlfn.XLOOKUP(1,(INDIRECT($R$1&amp;"!$C:$C")=B213)*(INDIRECT($R$1&amp;"!$G:$G")&lt;L213)*(INDIRECT($R$1&amp;"!$H:$H")&gt;=L213),INDIRECT($R$1&amp;"!$L:$L"))))</f>
        <v>55.75</v>
      </c>
      <c r="P213" s="971" cm="1">
        <f ca="1" t="array" ref="P213">(_xlfn.SINGLE(_xlfn.XLOOKUP(1,(INDIRECT($R$1&amp;"!$C:$C")=B213)*(INDIRECT($R$1&amp;"!$G:$G")&lt;M213)*(INDIRECT($R$1&amp;"!$H:$H")&gt;=M213),INDIRECT($R$1&amp;"!$K:$K"))))*M213+(_xlfn.SINGLE(_xlfn.XLOOKUP(1,(INDIRECT($R$1&amp;"!$C:$C")=B213)*(INDIRECT($R$1&amp;"!$G:$G")&lt;M213)*(INDIRECT($R$1&amp;"!$H:$H")&gt;=M213),INDIRECT($R$1&amp;"!$L:$L"))))</f>
        <v>91.5</v>
      </c>
      <c r="Q213" s="971" cm="1">
        <f ca="1" t="array" ref="Q213">(_xlfn.SINGLE(_xlfn.XLOOKUP(1,(INDIRECT($R$1&amp;"!$C:$C")=B213)*(INDIRECT($R$1&amp;"!$G:$G")&lt;N213)*(INDIRECT($R$1&amp;"!$H:$H")&gt;=N213),INDIRECT($R$1&amp;"!$K:$K"))))*N213+(_xlfn.SINGLE(_xlfn.XLOOKUP(1,(INDIRECT($R$1&amp;"!$C:$C")=B213)*(INDIRECT($R$1&amp;"!$G:$G")&lt;N213)*(INDIRECT($R$1&amp;"!$H:$H")&gt;=N213),INDIRECT($R$1&amp;"!$L:$L"))))</f>
        <v>127.25</v>
      </c>
      <c r="R213" s="955"/>
    </row>
    <row r="214" ht="17.25" spans="1:18">
      <c r="A214" s="963" t="s">
        <v>442</v>
      </c>
      <c r="B214" s="963" t="s">
        <v>443</v>
      </c>
      <c r="C214" s="964">
        <f ca="1" t="shared" si="201"/>
        <v>10.1800704225352</v>
      </c>
      <c r="D214" s="964">
        <f ca="1" t="shared" si="202"/>
        <v>17.3460563380282</v>
      </c>
      <c r="E214" s="964">
        <f ca="1" t="shared" si="203"/>
        <v>24.5120422535211</v>
      </c>
      <c r="F214" s="965">
        <f ca="1" t="shared" ref="F214:H214" si="222">O214/$P$1</f>
        <v>7.54225352112676</v>
      </c>
      <c r="G214" s="965">
        <f ca="1" t="shared" si="222"/>
        <v>12.2676056338028</v>
      </c>
      <c r="H214" s="965">
        <f ca="1" t="shared" si="222"/>
        <v>16.9929577464789</v>
      </c>
      <c r="I214" s="965">
        <f>(VLOOKUP($B$1,'Product Procurement Sheet'!B:I,8,0)*$L$1)/$P$1</f>
        <v>1.97183098591549</v>
      </c>
      <c r="J214" s="965">
        <f>(VLOOKUP($B$1,'Product Procurement Sheet'!B:I,8,0)*$M$1)/$P$1</f>
        <v>3.94366197183099</v>
      </c>
      <c r="K214" s="965">
        <f>(VLOOKUP($B$1,'Product Procurement Sheet'!B:I,8,0)*$N$1)/$P$1</f>
        <v>5.91549295774648</v>
      </c>
      <c r="L214" s="968">
        <f>VLOOKUP($B$1,'Product Procurement Sheet'!B:D,3,FALSE)*$L$1</f>
        <v>0.11</v>
      </c>
      <c r="M214" s="968">
        <f>VLOOKUP($B$1,'Product Procurement Sheet'!B:D,3,FALSE)*$M$1</f>
        <v>0.22</v>
      </c>
      <c r="N214" s="968">
        <f>VLOOKUP($B$1,'Product Procurement Sheet'!B:D,3,FALSE)*$N$1</f>
        <v>0.33</v>
      </c>
      <c r="O214" s="971" cm="1">
        <f ca="1" t="array" ref="O214">(_xlfn.SINGLE(_xlfn.XLOOKUP(1,(INDIRECT($R$1&amp;"!$C:$C")=B214)*(INDIRECT($R$1&amp;"!$G:$G")&lt;L214)*(INDIRECT($R$1&amp;"!$H:$H")&gt;=L214),INDIRECT($R$1&amp;"!$K:$K"))))*L214+(_xlfn.SINGLE(_xlfn.XLOOKUP(1,(INDIRECT($R$1&amp;"!$C:$C")=B214)*(INDIRECT($R$1&amp;"!$G:$G")&lt;L214)*(INDIRECT($R$1&amp;"!$H:$H")&gt;=L214),INDIRECT($R$1&amp;"!$L:$L"))))</f>
        <v>53.55</v>
      </c>
      <c r="P214" s="971" cm="1">
        <f ca="1" t="array" ref="P214">(_xlfn.SINGLE(_xlfn.XLOOKUP(1,(INDIRECT($R$1&amp;"!$C:$C")=B214)*(INDIRECT($R$1&amp;"!$G:$G")&lt;M214)*(INDIRECT($R$1&amp;"!$H:$H")&gt;=M214),INDIRECT($R$1&amp;"!$K:$K"))))*M214+(_xlfn.SINGLE(_xlfn.XLOOKUP(1,(INDIRECT($R$1&amp;"!$C:$C")=B214)*(INDIRECT($R$1&amp;"!$G:$G")&lt;M214)*(INDIRECT($R$1&amp;"!$H:$H")&gt;=M214),INDIRECT($R$1&amp;"!$L:$L"))))</f>
        <v>87.1</v>
      </c>
      <c r="Q214" s="971" cm="1">
        <f ca="1" t="array" ref="Q214">(_xlfn.SINGLE(_xlfn.XLOOKUP(1,(INDIRECT($R$1&amp;"!$C:$C")=B214)*(INDIRECT($R$1&amp;"!$G:$G")&lt;N214)*(INDIRECT($R$1&amp;"!$H:$H")&gt;=N214),INDIRECT($R$1&amp;"!$K:$K"))))*N214+(_xlfn.SINGLE(_xlfn.XLOOKUP(1,(INDIRECT($R$1&amp;"!$C:$C")=B214)*(INDIRECT($R$1&amp;"!$G:$G")&lt;N214)*(INDIRECT($R$1&amp;"!$H:$H")&gt;=N214),INDIRECT($R$1&amp;"!$L:$L"))))</f>
        <v>120.65</v>
      </c>
      <c r="R214" s="955"/>
    </row>
    <row r="215" ht="17.25" spans="1:18">
      <c r="A215" s="963" t="s">
        <v>444</v>
      </c>
      <c r="B215" s="963" t="s">
        <v>445</v>
      </c>
      <c r="C215" s="964">
        <f ca="1" t="shared" si="201"/>
        <v>18.4688028169014</v>
      </c>
      <c r="D215" s="964">
        <f ca="1" t="shared" si="202"/>
        <v>33.9235211267606</v>
      </c>
      <c r="E215" s="964">
        <f ca="1" t="shared" si="203"/>
        <v>49.3782394366197</v>
      </c>
      <c r="F215" s="965">
        <f ca="1" t="shared" ref="F215:H215" si="223">O215/$P$1</f>
        <v>15.2887323943662</v>
      </c>
      <c r="G215" s="965">
        <f ca="1" t="shared" si="223"/>
        <v>27.7605633802817</v>
      </c>
      <c r="H215" s="965">
        <f ca="1" t="shared" si="223"/>
        <v>40.2323943661972</v>
      </c>
      <c r="I215" s="965">
        <f>(VLOOKUP($B$1,'Product Procurement Sheet'!B:I,8,0)*$L$1)/$P$1</f>
        <v>1.97183098591549</v>
      </c>
      <c r="J215" s="965">
        <f>(VLOOKUP($B$1,'Product Procurement Sheet'!B:I,8,0)*$M$1)/$P$1</f>
        <v>3.94366197183099</v>
      </c>
      <c r="K215" s="965">
        <f>(VLOOKUP($B$1,'Product Procurement Sheet'!B:I,8,0)*$N$1)/$P$1</f>
        <v>5.91549295774648</v>
      </c>
      <c r="L215" s="968">
        <f>VLOOKUP($B$1,'Product Procurement Sheet'!B:D,3,FALSE)*$L$1</f>
        <v>0.11</v>
      </c>
      <c r="M215" s="968">
        <f>VLOOKUP($B$1,'Product Procurement Sheet'!B:D,3,FALSE)*$M$1</f>
        <v>0.22</v>
      </c>
      <c r="N215" s="968">
        <f>VLOOKUP($B$1,'Product Procurement Sheet'!B:D,3,FALSE)*$N$1</f>
        <v>0.33</v>
      </c>
      <c r="O215" s="971" cm="1">
        <f ca="1" t="array" ref="O215">(_xlfn.SINGLE(_xlfn.XLOOKUP(1,(INDIRECT($R$1&amp;"!$C:$C")=B215)*(INDIRECT($R$1&amp;"!$G:$G")&lt;L215)*(INDIRECT($R$1&amp;"!$H:$H")&gt;=L215),INDIRECT($R$1&amp;"!$K:$K"))))*L215+(_xlfn.SINGLE(_xlfn.XLOOKUP(1,(INDIRECT($R$1&amp;"!$C:$C")=B215)*(INDIRECT($R$1&amp;"!$G:$G")&lt;L215)*(INDIRECT($R$1&amp;"!$H:$H")&gt;=L215),INDIRECT($R$1&amp;"!$L:$L"))))</f>
        <v>108.55</v>
      </c>
      <c r="P215" s="971" cm="1">
        <f ca="1" t="array" ref="P215">(_xlfn.SINGLE(_xlfn.XLOOKUP(1,(INDIRECT($R$1&amp;"!$C:$C")=B215)*(INDIRECT($R$1&amp;"!$G:$G")&lt;M215)*(INDIRECT($R$1&amp;"!$H:$H")&gt;=M215),INDIRECT($R$1&amp;"!$K:$K"))))*M215+(_xlfn.SINGLE(_xlfn.XLOOKUP(1,(INDIRECT($R$1&amp;"!$C:$C")=B215)*(INDIRECT($R$1&amp;"!$G:$G")&lt;M215)*(INDIRECT($R$1&amp;"!$H:$H")&gt;=M215),INDIRECT($R$1&amp;"!$L:$L"))))</f>
        <v>197.1</v>
      </c>
      <c r="Q215" s="971" cm="1">
        <f ca="1" t="array" ref="Q215">(_xlfn.SINGLE(_xlfn.XLOOKUP(1,(INDIRECT($R$1&amp;"!$C:$C")=B215)*(INDIRECT($R$1&amp;"!$G:$G")&lt;N215)*(INDIRECT($R$1&amp;"!$H:$H")&gt;=N215),INDIRECT($R$1&amp;"!$K:$K"))))*N215+(_xlfn.SINGLE(_xlfn.XLOOKUP(1,(INDIRECT($R$1&amp;"!$C:$C")=B215)*(INDIRECT($R$1&amp;"!$G:$G")&lt;N215)*(INDIRECT($R$1&amp;"!$H:$H")&gt;=N215),INDIRECT($R$1&amp;"!$L:$L"))))</f>
        <v>285.65</v>
      </c>
      <c r="R215" s="955"/>
    </row>
    <row r="216" ht="17.25" spans="1:18">
      <c r="A216" s="963" t="s">
        <v>446</v>
      </c>
      <c r="B216" s="963" t="s">
        <v>447</v>
      </c>
      <c r="C216" s="964">
        <f ca="1" t="shared" si="201"/>
        <v>18.4688028169014</v>
      </c>
      <c r="D216" s="964">
        <f ca="1" t="shared" si="202"/>
        <v>33.9235211267606</v>
      </c>
      <c r="E216" s="964">
        <f ca="1" t="shared" si="203"/>
        <v>49.3782394366197</v>
      </c>
      <c r="F216" s="965">
        <f ca="1" t="shared" ref="F216:H216" si="224">O216/$P$1</f>
        <v>15.2887323943662</v>
      </c>
      <c r="G216" s="965">
        <f ca="1" t="shared" si="224"/>
        <v>27.7605633802817</v>
      </c>
      <c r="H216" s="965">
        <f ca="1" t="shared" si="224"/>
        <v>40.2323943661972</v>
      </c>
      <c r="I216" s="965">
        <f>(VLOOKUP($B$1,'Product Procurement Sheet'!B:I,8,0)*$L$1)/$P$1</f>
        <v>1.97183098591549</v>
      </c>
      <c r="J216" s="965">
        <f>(VLOOKUP($B$1,'Product Procurement Sheet'!B:I,8,0)*$M$1)/$P$1</f>
        <v>3.94366197183099</v>
      </c>
      <c r="K216" s="965">
        <f>(VLOOKUP($B$1,'Product Procurement Sheet'!B:I,8,0)*$N$1)/$P$1</f>
        <v>5.91549295774648</v>
      </c>
      <c r="L216" s="968">
        <f>VLOOKUP($B$1,'Product Procurement Sheet'!B:D,3,FALSE)*$L$1</f>
        <v>0.11</v>
      </c>
      <c r="M216" s="968">
        <f>VLOOKUP($B$1,'Product Procurement Sheet'!B:D,3,FALSE)*$M$1</f>
        <v>0.22</v>
      </c>
      <c r="N216" s="968">
        <f>VLOOKUP($B$1,'Product Procurement Sheet'!B:D,3,FALSE)*$N$1</f>
        <v>0.33</v>
      </c>
      <c r="O216" s="971" cm="1">
        <f ca="1" t="array" ref="O216">(_xlfn.SINGLE(_xlfn.XLOOKUP(1,(INDIRECT($R$1&amp;"!$C:$C")=B216)*(INDIRECT($R$1&amp;"!$G:$G")&lt;L216)*(INDIRECT($R$1&amp;"!$H:$H")&gt;=L216),INDIRECT($R$1&amp;"!$K:$K"))))*L216+(_xlfn.SINGLE(_xlfn.XLOOKUP(1,(INDIRECT($R$1&amp;"!$C:$C")=B216)*(INDIRECT($R$1&amp;"!$G:$G")&lt;L216)*(INDIRECT($R$1&amp;"!$H:$H")&gt;=L216),INDIRECT($R$1&amp;"!$L:$L"))))</f>
        <v>108.55</v>
      </c>
      <c r="P216" s="971" cm="1">
        <f ca="1" t="array" ref="P216">(_xlfn.SINGLE(_xlfn.XLOOKUP(1,(INDIRECT($R$1&amp;"!$C:$C")=B216)*(INDIRECT($R$1&amp;"!$G:$G")&lt;M216)*(INDIRECT($R$1&amp;"!$H:$H")&gt;=M216),INDIRECT($R$1&amp;"!$K:$K"))))*M216+(_xlfn.SINGLE(_xlfn.XLOOKUP(1,(INDIRECT($R$1&amp;"!$C:$C")=B216)*(INDIRECT($R$1&amp;"!$G:$G")&lt;M216)*(INDIRECT($R$1&amp;"!$H:$H")&gt;=M216),INDIRECT($R$1&amp;"!$L:$L"))))</f>
        <v>197.1</v>
      </c>
      <c r="Q216" s="971" cm="1">
        <f ca="1" t="array" ref="Q216">(_xlfn.SINGLE(_xlfn.XLOOKUP(1,(INDIRECT($R$1&amp;"!$C:$C")=B216)*(INDIRECT($R$1&amp;"!$G:$G")&lt;N216)*(INDIRECT($R$1&amp;"!$H:$H")&gt;=N216),INDIRECT($R$1&amp;"!$K:$K"))))*N216+(_xlfn.SINGLE(_xlfn.XLOOKUP(1,(INDIRECT($R$1&amp;"!$C:$C")=B216)*(INDIRECT($R$1&amp;"!$G:$G")&lt;N216)*(INDIRECT($R$1&amp;"!$H:$H")&gt;=N216),INDIRECT($R$1&amp;"!$L:$L"))))</f>
        <v>285.65</v>
      </c>
      <c r="R216" s="955"/>
    </row>
    <row r="217" ht="17.25" spans="1:18">
      <c r="A217" s="963" t="s">
        <v>448</v>
      </c>
      <c r="B217" s="963" t="s">
        <v>449</v>
      </c>
      <c r="C217" s="964">
        <f ca="1" t="shared" si="201"/>
        <v>13.164014084507</v>
      </c>
      <c r="D217" s="964">
        <f ca="1" t="shared" si="202"/>
        <v>23.3139436619718</v>
      </c>
      <c r="E217" s="964">
        <f ca="1" t="shared" si="203"/>
        <v>33.4638732394366</v>
      </c>
      <c r="F217" s="965">
        <f ca="1" t="shared" ref="F217:H217" si="225">O217/$P$1</f>
        <v>10.330985915493</v>
      </c>
      <c r="G217" s="965">
        <f ca="1" t="shared" si="225"/>
        <v>17.8450704225352</v>
      </c>
      <c r="H217" s="965">
        <f ca="1" t="shared" si="225"/>
        <v>25.3591549295775</v>
      </c>
      <c r="I217" s="965">
        <f>(VLOOKUP($B$1,'Product Procurement Sheet'!B:I,8,0)*$L$1)/$P$1</f>
        <v>1.97183098591549</v>
      </c>
      <c r="J217" s="965">
        <f>(VLOOKUP($B$1,'Product Procurement Sheet'!B:I,8,0)*$M$1)/$P$1</f>
        <v>3.94366197183099</v>
      </c>
      <c r="K217" s="965">
        <f>(VLOOKUP($B$1,'Product Procurement Sheet'!B:I,8,0)*$N$1)/$P$1</f>
        <v>5.91549295774648</v>
      </c>
      <c r="L217" s="968">
        <f>VLOOKUP($B$1,'Product Procurement Sheet'!B:D,3,FALSE)*$L$1</f>
        <v>0.11</v>
      </c>
      <c r="M217" s="968">
        <f>VLOOKUP($B$1,'Product Procurement Sheet'!B:D,3,FALSE)*$M$1</f>
        <v>0.22</v>
      </c>
      <c r="N217" s="968">
        <f>VLOOKUP($B$1,'Product Procurement Sheet'!B:D,3,FALSE)*$N$1</f>
        <v>0.33</v>
      </c>
      <c r="O217" s="971" cm="1">
        <f ca="1" t="array" ref="O217">(_xlfn.SINGLE(_xlfn.XLOOKUP(1,(INDIRECT($R$1&amp;"!$C:$C")=B217)*(INDIRECT($R$1&amp;"!$G:$G")&lt;L217)*(INDIRECT($R$1&amp;"!$H:$H")&gt;=L217),INDIRECT($R$1&amp;"!$K:$K"))))*L217+(_xlfn.SINGLE(_xlfn.XLOOKUP(1,(INDIRECT($R$1&amp;"!$C:$C")=B217)*(INDIRECT($R$1&amp;"!$G:$G")&lt;L217)*(INDIRECT($R$1&amp;"!$H:$H")&gt;=L217),INDIRECT($R$1&amp;"!$L:$L"))))</f>
        <v>73.35</v>
      </c>
      <c r="P217" s="971" cm="1">
        <f ca="1" t="array" ref="P217">(_xlfn.SINGLE(_xlfn.XLOOKUP(1,(INDIRECT($R$1&amp;"!$C:$C")=B217)*(INDIRECT($R$1&amp;"!$G:$G")&lt;M217)*(INDIRECT($R$1&amp;"!$H:$H")&gt;=M217),INDIRECT($R$1&amp;"!$K:$K"))))*M217+(_xlfn.SINGLE(_xlfn.XLOOKUP(1,(INDIRECT($R$1&amp;"!$C:$C")=B217)*(INDIRECT($R$1&amp;"!$G:$G")&lt;M217)*(INDIRECT($R$1&amp;"!$H:$H")&gt;=M217),INDIRECT($R$1&amp;"!$L:$L"))))</f>
        <v>126.7</v>
      </c>
      <c r="Q217" s="971" cm="1">
        <f ca="1" t="array" ref="Q217">(_xlfn.SINGLE(_xlfn.XLOOKUP(1,(INDIRECT($R$1&amp;"!$C:$C")=B217)*(INDIRECT($R$1&amp;"!$G:$G")&lt;N217)*(INDIRECT($R$1&amp;"!$H:$H")&gt;=N217),INDIRECT($R$1&amp;"!$K:$K"))))*N217+(_xlfn.SINGLE(_xlfn.XLOOKUP(1,(INDIRECT($R$1&amp;"!$C:$C")=B217)*(INDIRECT($R$1&amp;"!$G:$G")&lt;N217)*(INDIRECT($R$1&amp;"!$H:$H")&gt;=N217),INDIRECT($R$1&amp;"!$L:$L"))))</f>
        <v>180.05</v>
      </c>
      <c r="R217" s="955"/>
    </row>
    <row r="218" ht="17.25" spans="1:18">
      <c r="A218" s="963" t="s">
        <v>450</v>
      </c>
      <c r="B218" s="963" t="s">
        <v>451</v>
      </c>
      <c r="C218" s="964">
        <f ca="1" t="shared" si="201"/>
        <v>13.164014084507</v>
      </c>
      <c r="D218" s="964">
        <f ca="1" t="shared" si="202"/>
        <v>23.3139436619718</v>
      </c>
      <c r="E218" s="964">
        <f ca="1" t="shared" si="203"/>
        <v>33.4638732394366</v>
      </c>
      <c r="F218" s="965">
        <f ca="1" t="shared" ref="F218:H218" si="226">O218/$P$1</f>
        <v>10.330985915493</v>
      </c>
      <c r="G218" s="965">
        <f ca="1" t="shared" si="226"/>
        <v>17.8450704225352</v>
      </c>
      <c r="H218" s="965">
        <f ca="1" t="shared" si="226"/>
        <v>25.3591549295775</v>
      </c>
      <c r="I218" s="965">
        <f>(VLOOKUP($B$1,'Product Procurement Sheet'!B:I,8,0)*$L$1)/$P$1</f>
        <v>1.97183098591549</v>
      </c>
      <c r="J218" s="965">
        <f>(VLOOKUP($B$1,'Product Procurement Sheet'!B:I,8,0)*$M$1)/$P$1</f>
        <v>3.94366197183099</v>
      </c>
      <c r="K218" s="965">
        <f>(VLOOKUP($B$1,'Product Procurement Sheet'!B:I,8,0)*$N$1)/$P$1</f>
        <v>5.91549295774648</v>
      </c>
      <c r="L218" s="968">
        <f>VLOOKUP($B$1,'Product Procurement Sheet'!B:D,3,FALSE)*$L$1</f>
        <v>0.11</v>
      </c>
      <c r="M218" s="968">
        <f>VLOOKUP($B$1,'Product Procurement Sheet'!B:D,3,FALSE)*$M$1</f>
        <v>0.22</v>
      </c>
      <c r="N218" s="968">
        <f>VLOOKUP($B$1,'Product Procurement Sheet'!B:D,3,FALSE)*$N$1</f>
        <v>0.33</v>
      </c>
      <c r="O218" s="971" cm="1">
        <f ca="1" t="array" ref="O218">(_xlfn.SINGLE(_xlfn.XLOOKUP(1,(INDIRECT($R$1&amp;"!$C:$C")=B218)*(INDIRECT($R$1&amp;"!$G:$G")&lt;L218)*(INDIRECT($R$1&amp;"!$H:$H")&gt;=L218),INDIRECT($R$1&amp;"!$K:$K"))))*L218+(_xlfn.SINGLE(_xlfn.XLOOKUP(1,(INDIRECT($R$1&amp;"!$C:$C")=B218)*(INDIRECT($R$1&amp;"!$G:$G")&lt;L218)*(INDIRECT($R$1&amp;"!$H:$H")&gt;=L218),INDIRECT($R$1&amp;"!$L:$L"))))</f>
        <v>73.35</v>
      </c>
      <c r="P218" s="971" cm="1">
        <f ca="1" t="array" ref="P218">(_xlfn.SINGLE(_xlfn.XLOOKUP(1,(INDIRECT($R$1&amp;"!$C:$C")=B218)*(INDIRECT($R$1&amp;"!$G:$G")&lt;M218)*(INDIRECT($R$1&amp;"!$H:$H")&gt;=M218),INDIRECT($R$1&amp;"!$K:$K"))))*M218+(_xlfn.SINGLE(_xlfn.XLOOKUP(1,(INDIRECT($R$1&amp;"!$C:$C")=B218)*(INDIRECT($R$1&amp;"!$G:$G")&lt;M218)*(INDIRECT($R$1&amp;"!$H:$H")&gt;=M218),INDIRECT($R$1&amp;"!$L:$L"))))</f>
        <v>126.7</v>
      </c>
      <c r="Q218" s="971" cm="1">
        <f ca="1" t="array" ref="Q218">(_xlfn.SINGLE(_xlfn.XLOOKUP(1,(INDIRECT($R$1&amp;"!$C:$C")=B218)*(INDIRECT($R$1&amp;"!$G:$G")&lt;N218)*(INDIRECT($R$1&amp;"!$H:$H")&gt;=N218),INDIRECT($R$1&amp;"!$K:$K"))))*N218+(_xlfn.SINGLE(_xlfn.XLOOKUP(1,(INDIRECT($R$1&amp;"!$C:$C")=B218)*(INDIRECT($R$1&amp;"!$G:$G")&lt;N218)*(INDIRECT($R$1&amp;"!$H:$H")&gt;=N218),INDIRECT($R$1&amp;"!$L:$L"))))</f>
        <v>180.05</v>
      </c>
      <c r="R218" s="955"/>
    </row>
    <row r="219" ht="17.25" spans="1:18">
      <c r="A219" s="963" t="s">
        <v>452</v>
      </c>
      <c r="B219" s="963" t="s">
        <v>453</v>
      </c>
      <c r="C219" s="964">
        <f ca="1" t="shared" si="201"/>
        <v>18.4688028169014</v>
      </c>
      <c r="D219" s="964">
        <f ca="1" t="shared" si="202"/>
        <v>33.9235211267606</v>
      </c>
      <c r="E219" s="964">
        <f ca="1" t="shared" si="203"/>
        <v>49.3782394366197</v>
      </c>
      <c r="F219" s="965">
        <f ca="1" t="shared" ref="F219:H219" si="227">O219/$P$1</f>
        <v>15.2887323943662</v>
      </c>
      <c r="G219" s="965">
        <f ca="1" t="shared" si="227"/>
        <v>27.7605633802817</v>
      </c>
      <c r="H219" s="965">
        <f ca="1" t="shared" si="227"/>
        <v>40.2323943661972</v>
      </c>
      <c r="I219" s="965">
        <f>(VLOOKUP($B$1,'Product Procurement Sheet'!B:I,8,0)*$L$1)/$P$1</f>
        <v>1.97183098591549</v>
      </c>
      <c r="J219" s="965">
        <f>(VLOOKUP($B$1,'Product Procurement Sheet'!B:I,8,0)*$M$1)/$P$1</f>
        <v>3.94366197183099</v>
      </c>
      <c r="K219" s="965">
        <f>(VLOOKUP($B$1,'Product Procurement Sheet'!B:I,8,0)*$N$1)/$P$1</f>
        <v>5.91549295774648</v>
      </c>
      <c r="L219" s="968">
        <f>VLOOKUP($B$1,'Product Procurement Sheet'!B:D,3,FALSE)*$L$1</f>
        <v>0.11</v>
      </c>
      <c r="M219" s="968">
        <f>VLOOKUP($B$1,'Product Procurement Sheet'!B:D,3,FALSE)*$M$1</f>
        <v>0.22</v>
      </c>
      <c r="N219" s="968">
        <f>VLOOKUP($B$1,'Product Procurement Sheet'!B:D,3,FALSE)*$N$1</f>
        <v>0.33</v>
      </c>
      <c r="O219" s="971" cm="1">
        <f ca="1" t="array" ref="O219">(_xlfn.SINGLE(_xlfn.XLOOKUP(1,(INDIRECT($R$1&amp;"!$C:$C")=B219)*(INDIRECT($R$1&amp;"!$G:$G")&lt;L219)*(INDIRECT($R$1&amp;"!$H:$H")&gt;=L219),INDIRECT($R$1&amp;"!$K:$K"))))*L219+(_xlfn.SINGLE(_xlfn.XLOOKUP(1,(INDIRECT($R$1&amp;"!$C:$C")=B219)*(INDIRECT($R$1&amp;"!$G:$G")&lt;L219)*(INDIRECT($R$1&amp;"!$H:$H")&gt;=L219),INDIRECT($R$1&amp;"!$L:$L"))))</f>
        <v>108.55</v>
      </c>
      <c r="P219" s="971" cm="1">
        <f ca="1" t="array" ref="P219">(_xlfn.SINGLE(_xlfn.XLOOKUP(1,(INDIRECT($R$1&amp;"!$C:$C")=B219)*(INDIRECT($R$1&amp;"!$G:$G")&lt;M219)*(INDIRECT($R$1&amp;"!$H:$H")&gt;=M219),INDIRECT($R$1&amp;"!$K:$K"))))*M219+(_xlfn.SINGLE(_xlfn.XLOOKUP(1,(INDIRECT($R$1&amp;"!$C:$C")=B219)*(INDIRECT($R$1&amp;"!$G:$G")&lt;M219)*(INDIRECT($R$1&amp;"!$H:$H")&gt;=M219),INDIRECT($R$1&amp;"!$L:$L"))))</f>
        <v>197.1</v>
      </c>
      <c r="Q219" s="971" cm="1">
        <f ca="1" t="array" ref="Q219">(_xlfn.SINGLE(_xlfn.XLOOKUP(1,(INDIRECT($R$1&amp;"!$C:$C")=B219)*(INDIRECT($R$1&amp;"!$G:$G")&lt;N219)*(INDIRECT($R$1&amp;"!$H:$H")&gt;=N219),INDIRECT($R$1&amp;"!$K:$K"))))*N219+(_xlfn.SINGLE(_xlfn.XLOOKUP(1,(INDIRECT($R$1&amp;"!$C:$C")=B219)*(INDIRECT($R$1&amp;"!$G:$G")&lt;N219)*(INDIRECT($R$1&amp;"!$H:$H")&gt;=N219),INDIRECT($R$1&amp;"!$L:$L"))))</f>
        <v>285.65</v>
      </c>
      <c r="R219" s="955"/>
    </row>
    <row r="220" ht="17.25" spans="1:18">
      <c r="A220" s="963" t="s">
        <v>454</v>
      </c>
      <c r="B220" s="963" t="s">
        <v>455</v>
      </c>
      <c r="C220" s="964">
        <f ca="1" t="shared" si="201"/>
        <v>11.2048591549296</v>
      </c>
      <c r="D220" s="964">
        <f ca="1" t="shared" si="202"/>
        <v>18.0392957746479</v>
      </c>
      <c r="E220" s="964">
        <f ca="1" t="shared" si="203"/>
        <v>24.8737323943662</v>
      </c>
      <c r="F220" s="965">
        <f ca="1" t="shared" ref="F220:H220" si="228">O220/$P$1</f>
        <v>8.5</v>
      </c>
      <c r="G220" s="965">
        <f ca="1" t="shared" si="228"/>
        <v>12.9154929577465</v>
      </c>
      <c r="H220" s="965">
        <f ca="1" t="shared" si="228"/>
        <v>17.330985915493</v>
      </c>
      <c r="I220" s="965">
        <f>(VLOOKUP($B$1,'Product Procurement Sheet'!B:I,8,0)*$L$1)/$P$1</f>
        <v>1.97183098591549</v>
      </c>
      <c r="J220" s="965">
        <f>(VLOOKUP($B$1,'Product Procurement Sheet'!B:I,8,0)*$M$1)/$P$1</f>
        <v>3.94366197183099</v>
      </c>
      <c r="K220" s="965">
        <f>(VLOOKUP($B$1,'Product Procurement Sheet'!B:I,8,0)*$N$1)/$P$1</f>
        <v>5.91549295774648</v>
      </c>
      <c r="L220" s="968">
        <f>VLOOKUP($B$1,'Product Procurement Sheet'!B:D,3,FALSE)*$L$1</f>
        <v>0.11</v>
      </c>
      <c r="M220" s="968">
        <f>VLOOKUP($B$1,'Product Procurement Sheet'!B:D,3,FALSE)*$M$1</f>
        <v>0.22</v>
      </c>
      <c r="N220" s="968">
        <f>VLOOKUP($B$1,'Product Procurement Sheet'!B:D,3,FALSE)*$N$1</f>
        <v>0.33</v>
      </c>
      <c r="O220" s="971" cm="1">
        <f ca="1" t="array" ref="O220">(_xlfn.SINGLE(_xlfn.XLOOKUP(1,(INDIRECT($R$1&amp;"!$C:$C")=B220)*(INDIRECT($R$1&amp;"!$G:$G")&lt;L220)*(INDIRECT($R$1&amp;"!$H:$H")&gt;=L220),INDIRECT($R$1&amp;"!$K:$K"))))*L220+(_xlfn.SINGLE(_xlfn.XLOOKUP(1,(INDIRECT($R$1&amp;"!$C:$C")=B220)*(INDIRECT($R$1&amp;"!$G:$G")&lt;L220)*(INDIRECT($R$1&amp;"!$H:$H")&gt;=L220),INDIRECT($R$1&amp;"!$L:$L"))))</f>
        <v>60.35</v>
      </c>
      <c r="P220" s="971" cm="1">
        <f ca="1" t="array" ref="P220">(_xlfn.SINGLE(_xlfn.XLOOKUP(1,(INDIRECT($R$1&amp;"!$C:$C")=B220)*(INDIRECT($R$1&amp;"!$G:$G")&lt;M220)*(INDIRECT($R$1&amp;"!$H:$H")&gt;=M220),INDIRECT($R$1&amp;"!$K:$K"))))*M220+(_xlfn.SINGLE(_xlfn.XLOOKUP(1,(INDIRECT($R$1&amp;"!$C:$C")=B220)*(INDIRECT($R$1&amp;"!$G:$G")&lt;M220)*(INDIRECT($R$1&amp;"!$H:$H")&gt;=M220),INDIRECT($R$1&amp;"!$L:$L"))))</f>
        <v>91.7</v>
      </c>
      <c r="Q220" s="971" cm="1">
        <f ca="1" t="array" ref="Q220">(_xlfn.SINGLE(_xlfn.XLOOKUP(1,(INDIRECT($R$1&amp;"!$C:$C")=B220)*(INDIRECT($R$1&amp;"!$G:$G")&lt;N220)*(INDIRECT($R$1&amp;"!$H:$H")&gt;=N220),INDIRECT($R$1&amp;"!$K:$K"))))*N220+(_xlfn.SINGLE(_xlfn.XLOOKUP(1,(INDIRECT($R$1&amp;"!$C:$C")=B220)*(INDIRECT($R$1&amp;"!$G:$G")&lt;N220)*(INDIRECT($R$1&amp;"!$H:$H")&gt;=N220),INDIRECT($R$1&amp;"!$L:$L"))))</f>
        <v>123.05</v>
      </c>
      <c r="R220" s="955"/>
    </row>
    <row r="221" ht="17.25" spans="1:18">
      <c r="A221" s="963" t="s">
        <v>456</v>
      </c>
      <c r="B221" s="963" t="s">
        <v>457</v>
      </c>
      <c r="C221" s="964">
        <f ca="1" t="shared" si="201"/>
        <v>4.34781690140845</v>
      </c>
      <c r="D221" s="964">
        <f ca="1" t="shared" si="202"/>
        <v>7.03788732394367</v>
      </c>
      <c r="E221" s="964">
        <f ca="1" t="shared" si="203"/>
        <v>9.72795774647888</v>
      </c>
      <c r="F221" s="965">
        <f ca="1" t="shared" ref="F221:H221" si="229">O221/$P$1</f>
        <v>2.09154929577465</v>
      </c>
      <c r="G221" s="965">
        <f ca="1" t="shared" si="229"/>
        <v>2.63380281690141</v>
      </c>
      <c r="H221" s="965">
        <f ca="1" t="shared" si="229"/>
        <v>3.17605633802817</v>
      </c>
      <c r="I221" s="965">
        <f>(VLOOKUP($B$1,'Product Procurement Sheet'!B:I,8,0)*$L$1)/$P$1</f>
        <v>1.97183098591549</v>
      </c>
      <c r="J221" s="965">
        <f>(VLOOKUP($B$1,'Product Procurement Sheet'!B:I,8,0)*$M$1)/$P$1</f>
        <v>3.94366197183099</v>
      </c>
      <c r="K221" s="965">
        <f>(VLOOKUP($B$1,'Product Procurement Sheet'!B:I,8,0)*$N$1)/$P$1</f>
        <v>5.91549295774648</v>
      </c>
      <c r="L221" s="968">
        <f>VLOOKUP($B$1,'Product Procurement Sheet'!B:D,3,FALSE)*$L$1</f>
        <v>0.11</v>
      </c>
      <c r="M221" s="968">
        <f>VLOOKUP($B$1,'Product Procurement Sheet'!B:D,3,FALSE)*$M$1</f>
        <v>0.22</v>
      </c>
      <c r="N221" s="968">
        <f>VLOOKUP($B$1,'Product Procurement Sheet'!B:D,3,FALSE)*$N$1</f>
        <v>0.33</v>
      </c>
      <c r="O221" s="971" cm="1">
        <f ca="1" t="array" ref="O221">(_xlfn.SINGLE(_xlfn.XLOOKUP(1,(INDIRECT($R$1&amp;"!$C:$C")=B221)*(INDIRECT($R$1&amp;"!$G:$G")&lt;L221)*(INDIRECT($R$1&amp;"!$H:$H")&gt;=L221),INDIRECT($R$1&amp;"!$K:$K"))))*L221+(_xlfn.SINGLE(_xlfn.XLOOKUP(1,(INDIRECT($R$1&amp;"!$C:$C")=B221)*(INDIRECT($R$1&amp;"!$G:$G")&lt;L221)*(INDIRECT($R$1&amp;"!$H:$H")&gt;=L221),INDIRECT($R$1&amp;"!$L:$L"))))</f>
        <v>14.85</v>
      </c>
      <c r="P221" s="971" cm="1">
        <f ca="1" t="array" ref="P221">(_xlfn.SINGLE(_xlfn.XLOOKUP(1,(INDIRECT($R$1&amp;"!$C:$C")=B221)*(INDIRECT($R$1&amp;"!$G:$G")&lt;M221)*(INDIRECT($R$1&amp;"!$H:$H")&gt;=M221),INDIRECT($R$1&amp;"!$K:$K"))))*M221+(_xlfn.SINGLE(_xlfn.XLOOKUP(1,(INDIRECT($R$1&amp;"!$C:$C")=B221)*(INDIRECT($R$1&amp;"!$G:$G")&lt;M221)*(INDIRECT($R$1&amp;"!$H:$H")&gt;=M221),INDIRECT($R$1&amp;"!$L:$L"))))</f>
        <v>18.7</v>
      </c>
      <c r="Q221" s="971" cm="1">
        <f ca="1" t="array" ref="Q221">(_xlfn.SINGLE(_xlfn.XLOOKUP(1,(INDIRECT($R$1&amp;"!$C:$C")=B221)*(INDIRECT($R$1&amp;"!$G:$G")&lt;N221)*(INDIRECT($R$1&amp;"!$H:$H")&gt;=N221),INDIRECT($R$1&amp;"!$K:$K"))))*N221+(_xlfn.SINGLE(_xlfn.XLOOKUP(1,(INDIRECT($R$1&amp;"!$C:$C")=B221)*(INDIRECT($R$1&amp;"!$G:$G")&lt;N221)*(INDIRECT($R$1&amp;"!$H:$H")&gt;=N221),INDIRECT($R$1&amp;"!$L:$L"))))</f>
        <v>22.55</v>
      </c>
      <c r="R221" s="955"/>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5">
      <c r="B244"/>
      <c r="C244" s="973"/>
      <c r="D244" s="973"/>
      <c r="E244" s="973"/>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ht="14.25" spans="2:2">
      <c r="B265" s="974"/>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8">
      <c r="B283"/>
      <c r="F283" s="975"/>
      <c r="G283" s="975"/>
      <c r="H283" s="975"/>
    </row>
    <row r="284" spans="2:2">
      <c r="B284"/>
    </row>
    <row r="285" spans="2:2">
      <c r="B285"/>
    </row>
    <row r="286" spans="2:2">
      <c r="B286"/>
    </row>
    <row r="287" spans="2:2">
      <c r="B287"/>
    </row>
    <row r="288" spans="2:2">
      <c r="B288"/>
    </row>
    <row r="289" spans="2:5">
      <c r="B289"/>
      <c r="C289" s="976"/>
      <c r="D289" s="976"/>
      <c r="E289" s="976"/>
    </row>
    <row r="290" spans="2:2">
      <c r="B290"/>
    </row>
    <row r="291" spans="2:2">
      <c r="B291"/>
    </row>
    <row r="292" spans="2:2">
      <c r="B292"/>
    </row>
    <row r="293" spans="2:2">
      <c r="B293"/>
    </row>
    <row r="294" spans="2:2">
      <c r="B294"/>
    </row>
    <row r="295" spans="2:2">
      <c r="B295" s="840"/>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ht="14.25" spans="2:2">
      <c r="B309" s="977"/>
    </row>
    <row r="310" spans="2:2">
      <c r="B310"/>
    </row>
    <row r="311" spans="2:2">
      <c r="B311"/>
    </row>
    <row r="312" spans="2:2">
      <c r="B312"/>
    </row>
    <row r="313" spans="2:2">
      <c r="B313"/>
    </row>
    <row r="314" spans="2:2">
      <c r="B314" s="976"/>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s="840"/>
    </row>
    <row r="333" spans="2:2">
      <c r="B333"/>
    </row>
    <row r="334" spans="2:2">
      <c r="B334"/>
    </row>
    <row r="335" spans="2:2">
      <c r="B335"/>
    </row>
    <row r="336" spans="2:2">
      <c r="B336"/>
    </row>
    <row r="337" spans="2:2">
      <c r="B337"/>
    </row>
    <row r="338" spans="2:2">
      <c r="B338"/>
    </row>
    <row r="339" spans="2:2">
      <c r="B339"/>
    </row>
    <row r="340" spans="2:2">
      <c r="B340"/>
    </row>
    <row r="341" spans="2:5">
      <c r="B341"/>
      <c r="C341" s="976"/>
      <c r="D341" s="976"/>
      <c r="E341" s="976"/>
    </row>
    <row r="342" spans="2:2">
      <c r="B342"/>
    </row>
    <row r="343" spans="2:2">
      <c r="B343"/>
    </row>
    <row r="344" spans="2:2">
      <c r="B344"/>
    </row>
    <row r="345" spans="2:2">
      <c r="B345"/>
    </row>
    <row r="346" spans="2:2">
      <c r="B346"/>
    </row>
    <row r="347" spans="2:2">
      <c r="B347"/>
    </row>
    <row r="348" spans="2:2">
      <c r="B348"/>
    </row>
    <row r="349" spans="2:2">
      <c r="B349"/>
    </row>
    <row r="350" spans="2:2">
      <c r="B350" s="24"/>
    </row>
    <row r="351" spans="2:2">
      <c r="B351"/>
    </row>
    <row r="352" spans="2:2">
      <c r="B352"/>
    </row>
    <row r="353" spans="2:2">
      <c r="B353"/>
    </row>
    <row r="354" spans="2:2">
      <c r="B354"/>
    </row>
    <row r="355" spans="2:2">
      <c r="B355"/>
    </row>
    <row r="356" spans="2:2">
      <c r="B356"/>
    </row>
    <row r="357" spans="2:2">
      <c r="B357"/>
    </row>
    <row r="358" spans="2:2">
      <c r="B358"/>
    </row>
    <row r="359" spans="2:5">
      <c r="B359"/>
      <c r="C359" s="976"/>
      <c r="D359" s="976"/>
      <c r="E359" s="976"/>
    </row>
    <row r="360" spans="2:2">
      <c r="B360"/>
    </row>
    <row r="361" spans="2:2">
      <c r="B361"/>
    </row>
    <row r="362" spans="2:2">
      <c r="B362"/>
    </row>
    <row r="363" spans="2:2">
      <c r="B363"/>
    </row>
    <row r="364" spans="2:2">
      <c r="B364"/>
    </row>
    <row r="365" spans="2:2">
      <c r="B365"/>
    </row>
    <row r="366" spans="2:2">
      <c r="B366"/>
    </row>
    <row r="367" spans="2:5">
      <c r="B367"/>
      <c r="C367" s="976"/>
      <c r="D367" s="976"/>
      <c r="E367" s="976"/>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17">
      <c r="B378"/>
      <c r="O378" s="976"/>
      <c r="P378" s="976"/>
      <c r="Q378" s="976"/>
    </row>
    <row r="379" spans="2:17">
      <c r="B379"/>
      <c r="O379" s="976"/>
      <c r="P379" s="976"/>
      <c r="Q379" s="976"/>
    </row>
    <row r="380" spans="2:17">
      <c r="B380"/>
      <c r="O380" s="976"/>
      <c r="P380" s="976"/>
      <c r="Q380" s="976"/>
    </row>
    <row r="381" spans="2:17">
      <c r="B381"/>
      <c r="O381" s="976"/>
      <c r="P381" s="976"/>
      <c r="Q381" s="976"/>
    </row>
    <row r="382" spans="2:17">
      <c r="B382"/>
      <c r="O382" s="976"/>
      <c r="P382" s="976"/>
      <c r="Q382" s="976"/>
    </row>
    <row r="383" spans="2:17">
      <c r="B383"/>
      <c r="O383" s="976"/>
      <c r="P383" s="976"/>
      <c r="Q383" s="976"/>
    </row>
    <row r="384" spans="2:17">
      <c r="B384"/>
      <c r="O384" s="976"/>
      <c r="P384" s="976"/>
      <c r="Q384" s="976"/>
    </row>
    <row r="396" spans="3:8">
      <c r="C396" s="978"/>
      <c r="D396" s="978"/>
      <c r="E396" s="978"/>
      <c r="F396" s="978"/>
      <c r="G396" s="978"/>
      <c r="H396" s="978"/>
    </row>
    <row r="397" spans="3:8">
      <c r="C397" s="978"/>
      <c r="D397" s="978"/>
      <c r="E397" s="978"/>
      <c r="F397" s="978"/>
      <c r="G397" s="978"/>
      <c r="H397" s="978"/>
    </row>
    <row r="398" spans="3:8">
      <c r="C398" s="978"/>
      <c r="D398" s="978"/>
      <c r="E398" s="978"/>
      <c r="F398" s="978"/>
      <c r="G398" s="978"/>
      <c r="H398" s="978"/>
    </row>
    <row r="399" spans="3:8">
      <c r="C399" s="978"/>
      <c r="D399" s="978"/>
      <c r="E399" s="978"/>
      <c r="F399" s="978"/>
      <c r="G399" s="978"/>
      <c r="H399" s="978"/>
    </row>
    <row r="400" spans="3:8">
      <c r="C400" s="978"/>
      <c r="D400" s="978"/>
      <c r="E400" s="978"/>
      <c r="F400" s="978"/>
      <c r="G400" s="978"/>
      <c r="H400" s="978"/>
    </row>
    <row r="401" spans="3:8">
      <c r="C401" s="978"/>
      <c r="D401" s="978"/>
      <c r="E401" s="978"/>
      <c r="F401" s="978"/>
      <c r="G401" s="978"/>
      <c r="H401" s="978"/>
    </row>
    <row r="402" spans="3:8">
      <c r="C402" s="978"/>
      <c r="D402" s="978"/>
      <c r="E402" s="978"/>
      <c r="F402" s="978"/>
      <c r="G402" s="978"/>
      <c r="H402" s="978"/>
    </row>
    <row r="403" spans="3:8">
      <c r="C403" s="978"/>
      <c r="D403" s="978"/>
      <c r="E403" s="978"/>
      <c r="F403" s="978"/>
      <c r="G403" s="978"/>
      <c r="H403" s="978"/>
    </row>
    <row r="404" spans="3:8">
      <c r="C404" s="978"/>
      <c r="D404" s="978"/>
      <c r="E404" s="978"/>
      <c r="F404" s="978"/>
      <c r="G404" s="978"/>
      <c r="H404" s="978"/>
    </row>
    <row r="405" spans="3:8">
      <c r="C405" s="978"/>
      <c r="D405" s="978"/>
      <c r="E405" s="978"/>
      <c r="F405" s="978"/>
      <c r="G405" s="978"/>
      <c r="H405" s="978"/>
    </row>
    <row r="406" spans="3:8">
      <c r="C406" s="978"/>
      <c r="D406" s="978"/>
      <c r="E406" s="978"/>
      <c r="F406" s="978"/>
      <c r="G406" s="978"/>
      <c r="H406" s="978"/>
    </row>
    <row r="407" spans="3:8">
      <c r="C407" s="978"/>
      <c r="D407" s="978"/>
      <c r="E407" s="978"/>
      <c r="F407" s="978"/>
      <c r="G407" s="978"/>
      <c r="H407" s="978"/>
    </row>
    <row r="420" spans="9:11">
      <c r="I420" s="978"/>
      <c r="J420" s="978"/>
      <c r="K420" s="978"/>
    </row>
    <row r="421" spans="9:11">
      <c r="I421" s="978"/>
      <c r="J421" s="978"/>
      <c r="K421" s="978"/>
    </row>
    <row r="422" spans="9:11">
      <c r="I422" s="978"/>
      <c r="J422" s="978"/>
      <c r="K422" s="978"/>
    </row>
    <row r="423" spans="9:11">
      <c r="I423" s="978"/>
      <c r="J423" s="978"/>
      <c r="K423" s="978"/>
    </row>
    <row r="428" spans="2:5">
      <c r="B428" s="978"/>
      <c r="C428" s="979"/>
      <c r="D428" s="979"/>
      <c r="E428" s="979"/>
    </row>
    <row r="429" spans="2:5">
      <c r="B429" s="979"/>
      <c r="C429" s="979"/>
      <c r="D429" s="979"/>
      <c r="E429" s="979"/>
    </row>
    <row r="438" spans="6:14">
      <c r="F438" s="978"/>
      <c r="G438" s="978"/>
      <c r="H438" s="978"/>
      <c r="I438" s="978"/>
      <c r="J438" s="978"/>
      <c r="K438" s="978"/>
      <c r="L438" s="978"/>
      <c r="M438" s="978"/>
      <c r="N438" s="978"/>
    </row>
    <row r="446" spans="6:15">
      <c r="F446" s="978"/>
      <c r="G446" s="978"/>
      <c r="H446" s="978"/>
      <c r="I446" s="978"/>
      <c r="J446" s="978"/>
      <c r="K446" s="978"/>
      <c r="L446" s="978"/>
      <c r="M446" s="978"/>
      <c r="N446" s="978"/>
      <c r="O446" s="978"/>
    </row>
  </sheetData>
  <sheetProtection formatCells="0" formatColumns="0" formatRows="0" insertRows="0" insertColumns="0" insertHyperlinks="0" deleteColumns="0" deleteRows="0" sort="0" autoFilter="0" pivotTables="0"/>
  <autoFilter xmlns:etc="http://www.wps.cn/officeDocument/2017/etCustomData" ref="A3:R446" etc:filterBottomFollowUsedRange="0">
    <extLst/>
  </autoFilter>
  <mergeCells count="2">
    <mergeCell ref="C1:E1"/>
    <mergeCell ref="G1:K1"/>
  </mergeCells>
  <conditionalFormatting sqref="C1">
    <cfRule type="duplicateValues" dxfId="0" priority="4"/>
  </conditionalFormatting>
  <conditionalFormatting sqref="G1">
    <cfRule type="duplicateValues" dxfId="0" priority="3"/>
  </conditionalFormatting>
  <conditionalFormatting sqref="O1">
    <cfRule type="duplicateValues" dxfId="0" priority="2"/>
  </conditionalFormatting>
  <conditionalFormatting sqref="Q1">
    <cfRule type="duplicateValues" dxfId="0" priority="1"/>
  </conditionalFormatting>
  <conditionalFormatting sqref="B3">
    <cfRule type="duplicateValues" dxfId="1" priority="12"/>
  </conditionalFormatting>
  <conditionalFormatting sqref="A4:B4">
    <cfRule type="duplicateValues" dxfId="0" priority="6"/>
  </conditionalFormatting>
  <conditionalFormatting sqref="B5">
    <cfRule type="duplicateValues" dxfId="0" priority="7"/>
  </conditionalFormatting>
  <conditionalFormatting sqref="C446:E446">
    <cfRule type="duplicateValues" dxfId="1" priority="9"/>
    <cfRule type="duplicateValues" dxfId="0" priority="8"/>
  </conditionalFormatting>
  <conditionalFormatting sqref="B6:B221">
    <cfRule type="duplicateValues" dxfId="0" priority="5"/>
  </conditionalFormatting>
  <conditionalFormatting sqref="A1:A3 A5:A1048576">
    <cfRule type="duplicateValues" dxfId="0" priority="11"/>
  </conditionalFormatting>
  <conditionalFormatting sqref="B1:B3 B222:B1048576">
    <cfRule type="duplicateValues" dxfId="0" priority="10"/>
  </conditionalFormatting>
  <dataValidations count="1">
    <dataValidation type="list" allowBlank="1" showInputMessage="1" showErrorMessage="1" errorTitle="错误提示" error="请输入下拉列表中的值" sqref="R1">
      <formula1>"顺邮宝挂号,CNE带电化妆品,CneForClothes,CneForGeneral,4PXForCosmetic,4PXForElectric,4PXForGeneral,4PXForClothes,CNE全球优先,华翰智慧选特惠,顺速宝Plus,华翰食品,蜂鸟普货,华翰甄选,华翰电子烟,蜂鸟敏感,华翰特货,燕文普货,华翰特敏"</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70"/>
  <sheetViews>
    <sheetView zoomScale="80" zoomScaleNormal="80" workbookViewId="0">
      <pane xSplit="1" ySplit="1" topLeftCell="B66" activePane="bottomRight" state="frozen"/>
      <selection/>
      <selection pane="topRight"/>
      <selection pane="bottomLeft"/>
      <selection pane="bottomRight" activeCell="E70" sqref="E70"/>
    </sheetView>
  </sheetViews>
  <sheetFormatPr defaultColWidth="9" defaultRowHeight="13.5"/>
  <cols>
    <col min="1" max="1" width="41.5" style="808" customWidth="1"/>
    <col min="2" max="2" width="20.625" style="809" customWidth="1"/>
    <col min="3" max="3" width="22.25" style="810" customWidth="1"/>
    <col min="4" max="4" width="27.5416666666667" style="811" customWidth="1"/>
    <col min="5" max="5" width="21.275" style="812" customWidth="1"/>
    <col min="6" max="6" width="22.275" style="813" customWidth="1"/>
    <col min="7" max="8" width="16.825" style="812" customWidth="1"/>
    <col min="9" max="9" width="28.2" style="812" customWidth="1"/>
    <col min="10" max="10" width="34.875" style="812" customWidth="1"/>
    <col min="11" max="11" width="26.125" style="812" customWidth="1"/>
    <col min="12" max="12" width="30.4666666666667" style="141" customWidth="1"/>
    <col min="13" max="13" width="25.875" style="814" customWidth="1"/>
    <col min="14" max="14" width="14" style="141" customWidth="1"/>
    <col min="15" max="15" width="9.54166666666667" style="141" customWidth="1"/>
    <col min="16" max="17" width="18.475" style="812" customWidth="1"/>
    <col min="18" max="18" width="16.275" style="141" customWidth="1"/>
    <col min="19" max="16384" width="9" style="815"/>
  </cols>
  <sheetData>
    <row r="1" s="805" customFormat="1" ht="24" customHeight="1" spans="1:19">
      <c r="A1" s="816" t="s">
        <v>458</v>
      </c>
      <c r="B1" s="817" t="s">
        <v>459</v>
      </c>
      <c r="C1" s="818" t="s">
        <v>460</v>
      </c>
      <c r="D1" s="819" t="s">
        <v>461</v>
      </c>
      <c r="E1" s="820" t="s">
        <v>462</v>
      </c>
      <c r="F1" s="821" t="s">
        <v>463</v>
      </c>
      <c r="G1" s="820" t="s">
        <v>464</v>
      </c>
      <c r="H1" s="822" t="s">
        <v>465</v>
      </c>
      <c r="I1" s="820" t="s">
        <v>466</v>
      </c>
      <c r="J1" s="820" t="s">
        <v>467</v>
      </c>
      <c r="K1" s="820" t="s">
        <v>468</v>
      </c>
      <c r="L1" s="820" t="s">
        <v>469</v>
      </c>
      <c r="M1" s="893" t="s">
        <v>470</v>
      </c>
      <c r="N1" s="820" t="s">
        <v>471</v>
      </c>
      <c r="O1" s="820" t="s">
        <v>472</v>
      </c>
      <c r="P1" s="894" t="s">
        <v>473</v>
      </c>
      <c r="Q1" s="923" t="s">
        <v>474</v>
      </c>
      <c r="R1" s="820" t="s">
        <v>475</v>
      </c>
      <c r="S1" s="924"/>
    </row>
    <row r="2" s="806" customFormat="1" ht="60" customHeight="1" spans="1:22">
      <c r="A2" s="823" t="s">
        <v>476</v>
      </c>
      <c r="B2" s="824" t="s">
        <v>477</v>
      </c>
      <c r="C2" s="825" t="str">
        <f>_xlfn.DISPIMG("ID_3364B878065D4633BFDA16464000B2C5",1)</f>
        <v>=DISPIMG("ID_3364B878065D4633BFDA16464000B2C5",1)</v>
      </c>
      <c r="D2" s="826">
        <f>MAX(E2,F2)</f>
        <v>0.49</v>
      </c>
      <c r="E2" s="827">
        <v>0.49</v>
      </c>
      <c r="F2" s="828">
        <f>15*15*12/8000</f>
        <v>0.3375</v>
      </c>
      <c r="G2" s="829" t="s">
        <v>478</v>
      </c>
      <c r="H2" s="829" t="s">
        <v>479</v>
      </c>
      <c r="I2" s="895">
        <f>K2+J2</f>
        <v>55</v>
      </c>
      <c r="J2" s="896">
        <v>55</v>
      </c>
      <c r="K2" s="897">
        <v>0</v>
      </c>
      <c r="L2" s="832"/>
      <c r="M2" s="898" t="s">
        <v>480</v>
      </c>
      <c r="N2" s="899"/>
      <c r="O2" s="899"/>
      <c r="P2" s="900" t="s">
        <v>481</v>
      </c>
      <c r="Q2" s="925"/>
      <c r="R2" s="926" t="str">
        <f>_xlfn.DISPIMG("ID_E506C151F08B445E982424171EA278F5",1)</f>
        <v>=DISPIMG("ID_E506C151F08B445E982424171EA278F5",1)</v>
      </c>
      <c r="S2" s="927" t="str">
        <f>_xlfn.DISPIMG("ID_9060D06700234D73A40A37F2370E2234",1)</f>
        <v>=DISPIMG("ID_9060D06700234D73A40A37F2370E2234",1)</v>
      </c>
      <c r="T2" s="928" t="str">
        <f>_xlfn.DISPIMG("ID_0489DDD773654DA19EF5D2F7E6CFF583",1)</f>
        <v>=DISPIMG("ID_0489DDD773654DA19EF5D2F7E6CFF583",1)</v>
      </c>
      <c r="U2" s="929"/>
      <c r="V2" s="929"/>
    </row>
    <row r="3" s="806" customFormat="1" ht="60" customHeight="1" spans="1:22">
      <c r="A3" s="823"/>
      <c r="B3" s="824" t="s">
        <v>482</v>
      </c>
      <c r="C3" s="825"/>
      <c r="D3" s="826">
        <f>MAX(E3,F3)</f>
        <v>0.49</v>
      </c>
      <c r="E3" s="827">
        <v>0.49</v>
      </c>
      <c r="F3" s="828">
        <f>15*15*12/8000</f>
        <v>0.3375</v>
      </c>
      <c r="G3" s="829" t="s">
        <v>478</v>
      </c>
      <c r="H3" s="829" t="s">
        <v>479</v>
      </c>
      <c r="I3" s="895">
        <f>K3+J3</f>
        <v>52</v>
      </c>
      <c r="J3" s="896">
        <v>52</v>
      </c>
      <c r="K3" s="897">
        <v>0</v>
      </c>
      <c r="L3" s="832"/>
      <c r="M3" s="898"/>
      <c r="N3" s="899"/>
      <c r="O3" s="899"/>
      <c r="P3" s="900"/>
      <c r="Q3" s="925"/>
      <c r="R3" s="930"/>
      <c r="S3" s="931"/>
      <c r="T3" s="932"/>
      <c r="U3" s="929"/>
      <c r="V3" s="929"/>
    </row>
    <row r="4" s="806" customFormat="1" ht="22.5" customHeight="1" spans="1:22">
      <c r="A4" s="830"/>
      <c r="B4" s="824" t="s">
        <v>483</v>
      </c>
      <c r="C4" s="831" t="s">
        <v>484</v>
      </c>
      <c r="D4" s="826">
        <f t="shared" ref="D4:D19" si="0">MAX(E4,F4)</f>
        <v>0.59</v>
      </c>
      <c r="E4" s="827">
        <f>0.1+E2</f>
        <v>0.59</v>
      </c>
      <c r="F4" s="828">
        <f>17*17*11/8000</f>
        <v>0.397375</v>
      </c>
      <c r="G4" s="829" t="s">
        <v>485</v>
      </c>
      <c r="H4" s="832"/>
      <c r="I4" s="895">
        <v>57</v>
      </c>
      <c r="J4" s="896">
        <v>60</v>
      </c>
      <c r="K4" s="897"/>
      <c r="L4" s="832"/>
      <c r="M4" s="901"/>
      <c r="N4" s="899"/>
      <c r="O4" s="899"/>
      <c r="P4" s="900"/>
      <c r="Q4" s="925"/>
      <c r="R4" s="825"/>
      <c r="S4" s="931"/>
      <c r="T4" s="932"/>
      <c r="U4" s="929"/>
      <c r="V4" s="929"/>
    </row>
    <row r="5" s="806" customFormat="1" ht="22.5" customHeight="1" spans="1:22">
      <c r="A5" s="830"/>
      <c r="B5" s="824" t="s">
        <v>486</v>
      </c>
      <c r="C5" s="831" t="s">
        <v>487</v>
      </c>
      <c r="D5" s="826">
        <f t="shared" si="0"/>
        <v>0.59</v>
      </c>
      <c r="E5" s="827">
        <f>0.1+E3</f>
        <v>0.59</v>
      </c>
      <c r="F5" s="828">
        <f>17*17*11/8000</f>
        <v>0.397375</v>
      </c>
      <c r="G5" s="829"/>
      <c r="H5" s="832"/>
      <c r="I5" s="895">
        <v>60</v>
      </c>
      <c r="J5" s="896">
        <v>57</v>
      </c>
      <c r="K5" s="897"/>
      <c r="L5" s="832"/>
      <c r="M5" s="901"/>
      <c r="N5" s="899"/>
      <c r="O5" s="899"/>
      <c r="P5" s="900"/>
      <c r="Q5" s="925"/>
      <c r="R5" s="825"/>
      <c r="S5" s="931"/>
      <c r="T5" s="932"/>
      <c r="U5" s="929"/>
      <c r="V5" s="929"/>
    </row>
    <row r="6" s="807" customFormat="1" ht="18.75" customHeight="1" spans="1:22">
      <c r="A6" s="833"/>
      <c r="B6" s="824" t="s">
        <v>488</v>
      </c>
      <c r="C6" s="834" t="s">
        <v>489</v>
      </c>
      <c r="D6" s="826">
        <f t="shared" si="0"/>
        <v>1.404</v>
      </c>
      <c r="E6" s="827">
        <f>0.65</f>
        <v>0.65</v>
      </c>
      <c r="F6" s="835">
        <f>26*18*15/5000</f>
        <v>1.404</v>
      </c>
      <c r="G6" s="836" t="s">
        <v>490</v>
      </c>
      <c r="H6" s="837"/>
      <c r="I6" s="902">
        <v>65</v>
      </c>
      <c r="J6" s="903"/>
      <c r="K6" s="904"/>
      <c r="L6" s="837"/>
      <c r="M6" s="836"/>
      <c r="N6" s="905"/>
      <c r="O6" s="905"/>
      <c r="P6" s="906"/>
      <c r="Q6" s="933"/>
      <c r="R6" s="934"/>
      <c r="S6" s="935"/>
      <c r="T6" s="936"/>
      <c r="U6" s="905"/>
      <c r="V6" s="905"/>
    </row>
    <row r="7" s="807" customFormat="1" ht="18.75" customHeight="1" spans="1:22">
      <c r="A7" s="833"/>
      <c r="B7" s="824" t="s">
        <v>491</v>
      </c>
      <c r="C7" s="838"/>
      <c r="D7" s="826">
        <f t="shared" si="0"/>
        <v>1.404</v>
      </c>
      <c r="E7" s="827">
        <f>0.65</f>
        <v>0.65</v>
      </c>
      <c r="F7" s="835">
        <f>26*18*15/5000</f>
        <v>1.404</v>
      </c>
      <c r="G7" s="836"/>
      <c r="H7" s="837"/>
      <c r="I7" s="902">
        <v>72</v>
      </c>
      <c r="J7" s="903"/>
      <c r="K7" s="904"/>
      <c r="L7" s="837"/>
      <c r="M7" s="836"/>
      <c r="N7" s="905"/>
      <c r="O7" s="905"/>
      <c r="P7" s="906"/>
      <c r="Q7" s="933"/>
      <c r="R7" s="934"/>
      <c r="S7" s="935"/>
      <c r="T7" s="936"/>
      <c r="U7" s="905"/>
      <c r="V7" s="905"/>
    </row>
    <row r="8" s="807" customFormat="1" ht="18.75" customHeight="1" spans="1:22">
      <c r="A8" s="833"/>
      <c r="B8" s="824" t="s">
        <v>492</v>
      </c>
      <c r="C8" s="838"/>
      <c r="D8" s="826">
        <f t="shared" si="0"/>
        <v>0</v>
      </c>
      <c r="E8" s="839"/>
      <c r="F8" s="835"/>
      <c r="G8" s="836"/>
      <c r="H8" s="837"/>
      <c r="I8" s="902">
        <v>73</v>
      </c>
      <c r="J8" s="896">
        <v>68</v>
      </c>
      <c r="K8" s="904"/>
      <c r="L8" s="837"/>
      <c r="M8" s="836"/>
      <c r="N8" s="905"/>
      <c r="O8" s="905"/>
      <c r="P8" s="906"/>
      <c r="Q8" s="933"/>
      <c r="R8" s="934"/>
      <c r="S8" s="935"/>
      <c r="T8" s="936"/>
      <c r="U8" s="905"/>
      <c r="V8" s="905"/>
    </row>
    <row r="9" s="807" customFormat="1" ht="18.75" customHeight="1" spans="1:22">
      <c r="A9" s="833"/>
      <c r="B9" s="824" t="s">
        <v>493</v>
      </c>
      <c r="C9" s="838"/>
      <c r="D9" s="826">
        <f t="shared" si="0"/>
        <v>0</v>
      </c>
      <c r="E9" s="839"/>
      <c r="F9" s="835"/>
      <c r="G9" s="836"/>
      <c r="H9" s="837"/>
      <c r="I9" s="902">
        <v>80</v>
      </c>
      <c r="J9" s="896">
        <v>65</v>
      </c>
      <c r="K9" s="904"/>
      <c r="L9" s="837"/>
      <c r="M9" s="836"/>
      <c r="N9" s="905"/>
      <c r="O9" s="905"/>
      <c r="P9" s="906"/>
      <c r="Q9" s="933"/>
      <c r="R9" s="934"/>
      <c r="S9" s="935"/>
      <c r="T9" s="936"/>
      <c r="U9" s="905"/>
      <c r="V9" s="905"/>
    </row>
    <row r="10" ht="16.5" spans="4:4">
      <c r="D10" s="826">
        <f t="shared" si="0"/>
        <v>0</v>
      </c>
    </row>
    <row r="11" ht="16.5" spans="4:4">
      <c r="D11" s="826">
        <f t="shared" si="0"/>
        <v>0</v>
      </c>
    </row>
    <row r="12" ht="16.5" spans="4:4">
      <c r="D12" s="826">
        <f t="shared" si="0"/>
        <v>0</v>
      </c>
    </row>
    <row r="13" ht="16.5" spans="4:4">
      <c r="D13" s="826">
        <f t="shared" si="0"/>
        <v>0</v>
      </c>
    </row>
    <row r="14" ht="16.5" spans="2:9">
      <c r="B14" s="840" t="s">
        <v>494</v>
      </c>
      <c r="C14" s="841" t="s">
        <v>495</v>
      </c>
      <c r="D14" s="826">
        <f t="shared" si="0"/>
        <v>1.4976</v>
      </c>
      <c r="E14" s="812">
        <v>0.58</v>
      </c>
      <c r="F14" s="813">
        <f t="shared" ref="F14:F17" si="1">16*26*18/5000</f>
        <v>1.4976</v>
      </c>
      <c r="G14" s="842" t="s">
        <v>496</v>
      </c>
      <c r="I14" s="895">
        <v>60</v>
      </c>
    </row>
    <row r="15" ht="16.5" spans="2:9">
      <c r="B15" s="840" t="s">
        <v>497</v>
      </c>
      <c r="C15" s="841" t="s">
        <v>498</v>
      </c>
      <c r="D15" s="826">
        <f t="shared" ref="D15:D30" si="2">MAX(E15,F15)</f>
        <v>1.4976</v>
      </c>
      <c r="E15" s="812">
        <v>0.58</v>
      </c>
      <c r="F15" s="813">
        <f t="shared" si="1"/>
        <v>1.4976</v>
      </c>
      <c r="G15" s="842" t="s">
        <v>496</v>
      </c>
      <c r="I15" s="895">
        <v>57</v>
      </c>
    </row>
    <row r="16" ht="16.5" spans="2:9">
      <c r="B16" s="840" t="s">
        <v>499</v>
      </c>
      <c r="C16" s="841" t="s">
        <v>500</v>
      </c>
      <c r="D16" s="826">
        <f t="shared" si="2"/>
        <v>1.4976</v>
      </c>
      <c r="E16" s="812">
        <v>0.65</v>
      </c>
      <c r="F16" s="813">
        <f t="shared" si="1"/>
        <v>1.4976</v>
      </c>
      <c r="I16" s="895">
        <v>65</v>
      </c>
    </row>
    <row r="17" ht="16.5" spans="2:9">
      <c r="B17" s="840" t="s">
        <v>501</v>
      </c>
      <c r="C17" s="841" t="s">
        <v>498</v>
      </c>
      <c r="D17" s="826">
        <f t="shared" si="2"/>
        <v>1.4976</v>
      </c>
      <c r="E17" s="812">
        <v>0.65</v>
      </c>
      <c r="F17" s="813">
        <f t="shared" si="1"/>
        <v>1.4976</v>
      </c>
      <c r="I17" s="895">
        <v>62</v>
      </c>
    </row>
    <row r="18" ht="16.5" spans="2:9">
      <c r="B18" s="840" t="s">
        <v>502</v>
      </c>
      <c r="C18" s="841" t="s">
        <v>503</v>
      </c>
      <c r="D18" s="826">
        <f t="shared" si="2"/>
        <v>0.8228</v>
      </c>
      <c r="E18" s="812">
        <v>0.55</v>
      </c>
      <c r="F18" s="813">
        <f t="shared" ref="F18:F21" si="3">22*11*17/5000</f>
        <v>0.8228</v>
      </c>
      <c r="I18" s="895">
        <v>60</v>
      </c>
    </row>
    <row r="19" ht="16.5" spans="1:9">
      <c r="A19" s="840" t="s">
        <v>504</v>
      </c>
      <c r="B19" s="840" t="s">
        <v>504</v>
      </c>
      <c r="C19" s="841" t="s">
        <v>498</v>
      </c>
      <c r="D19" s="826">
        <f t="shared" si="2"/>
        <v>0.8228</v>
      </c>
      <c r="E19" s="812">
        <v>0.55</v>
      </c>
      <c r="F19" s="813">
        <f t="shared" si="3"/>
        <v>0.8228</v>
      </c>
      <c r="I19" s="895">
        <v>57</v>
      </c>
    </row>
    <row r="20" ht="16.5" spans="1:9">
      <c r="A20" s="840" t="s">
        <v>505</v>
      </c>
      <c r="B20" s="840" t="s">
        <v>506</v>
      </c>
      <c r="C20" s="841" t="s">
        <v>507</v>
      </c>
      <c r="D20" s="826">
        <f t="shared" si="2"/>
        <v>0.8228</v>
      </c>
      <c r="E20" s="812">
        <v>0.6</v>
      </c>
      <c r="F20" s="813">
        <f t="shared" si="3"/>
        <v>0.8228</v>
      </c>
      <c r="I20" s="895">
        <v>65</v>
      </c>
    </row>
    <row r="21" ht="16.5" spans="1:9">
      <c r="A21" s="840" t="s">
        <v>508</v>
      </c>
      <c r="B21" s="840" t="s">
        <v>505</v>
      </c>
      <c r="C21" s="841" t="s">
        <v>498</v>
      </c>
      <c r="D21" s="826">
        <f t="shared" si="2"/>
        <v>0.8228</v>
      </c>
      <c r="E21" s="812">
        <v>0.6</v>
      </c>
      <c r="F21" s="813">
        <f t="shared" si="3"/>
        <v>0.8228</v>
      </c>
      <c r="I21" s="895">
        <v>62</v>
      </c>
    </row>
    <row r="22" ht="16.5" spans="1:9">
      <c r="A22" s="840" t="s">
        <v>509</v>
      </c>
      <c r="B22" s="840" t="s">
        <v>510</v>
      </c>
      <c r="C22" s="841" t="s">
        <v>511</v>
      </c>
      <c r="D22" s="826">
        <f t="shared" si="2"/>
        <v>0.9936</v>
      </c>
      <c r="E22" s="812">
        <v>0.57</v>
      </c>
      <c r="F22" s="813">
        <f t="shared" ref="F22:F25" si="4">23*12*18/5000</f>
        <v>0.9936</v>
      </c>
      <c r="I22" s="895">
        <v>60</v>
      </c>
    </row>
    <row r="23" ht="16.5" spans="2:9">
      <c r="B23" s="840" t="s">
        <v>508</v>
      </c>
      <c r="C23" s="841" t="s">
        <v>498</v>
      </c>
      <c r="D23" s="826">
        <f t="shared" si="2"/>
        <v>0.9936</v>
      </c>
      <c r="E23" s="812">
        <v>0.57</v>
      </c>
      <c r="F23" s="813">
        <f t="shared" si="4"/>
        <v>0.9936</v>
      </c>
      <c r="I23" s="895">
        <v>57</v>
      </c>
    </row>
    <row r="24" ht="16.5" spans="2:9">
      <c r="B24" s="840" t="s">
        <v>512</v>
      </c>
      <c r="C24" s="841" t="s">
        <v>513</v>
      </c>
      <c r="D24" s="826">
        <f t="shared" si="2"/>
        <v>0.9936</v>
      </c>
      <c r="E24" s="812">
        <v>0.64</v>
      </c>
      <c r="F24" s="813">
        <f t="shared" si="4"/>
        <v>0.9936</v>
      </c>
      <c r="I24" s="895">
        <v>65</v>
      </c>
    </row>
    <row r="25" ht="16.5" spans="2:9">
      <c r="B25" s="840" t="s">
        <v>509</v>
      </c>
      <c r="C25" s="841" t="s">
        <v>498</v>
      </c>
      <c r="D25" s="826">
        <f t="shared" si="2"/>
        <v>0.9936</v>
      </c>
      <c r="E25" s="812">
        <v>0.64</v>
      </c>
      <c r="F25" s="813">
        <f t="shared" si="4"/>
        <v>0.9936</v>
      </c>
      <c r="I25" s="895">
        <v>62</v>
      </c>
    </row>
    <row r="26" s="806" customFormat="1" ht="125" customHeight="1" spans="1:20">
      <c r="A26" s="141" t="s">
        <v>514</v>
      </c>
      <c r="B26" s="843" t="s">
        <v>515</v>
      </c>
      <c r="C26" s="810" t="str">
        <f>_xlfn.DISPIMG("ID_4CEC0291335C40FEA5F4AE73D1DA7B81",1)</f>
        <v>=DISPIMG("ID_4CEC0291335C40FEA5F4AE73D1DA7B81",1)</v>
      </c>
      <c r="D26" s="844">
        <f t="shared" si="2"/>
        <v>0.11</v>
      </c>
      <c r="E26" s="845">
        <v>0.11</v>
      </c>
      <c r="F26" s="846"/>
      <c r="G26" s="847" t="s">
        <v>516</v>
      </c>
      <c r="H26" s="848"/>
      <c r="I26" s="850">
        <f>K26+J26</f>
        <v>46</v>
      </c>
      <c r="J26" s="813">
        <v>38</v>
      </c>
      <c r="K26" s="813">
        <v>8</v>
      </c>
      <c r="L26" s="848"/>
      <c r="M26" s="907" t="s">
        <v>517</v>
      </c>
      <c r="N26" s="812"/>
      <c r="O26" s="812"/>
      <c r="P26" s="908" t="s">
        <v>518</v>
      </c>
      <c r="Q26" s="937"/>
      <c r="R26" s="938" t="str">
        <f>_xlfn.DISPIMG("ID_C09B1D0D3170446FA4B66A36A8211A98",1)</f>
        <v>=DISPIMG("ID_C09B1D0D3170446FA4B66A36A8211A98",1)</v>
      </c>
      <c r="T26" s="939" t="s">
        <v>519</v>
      </c>
    </row>
    <row r="27" s="806" customFormat="1" ht="111.25" customHeight="1" spans="1:20">
      <c r="A27" s="849" t="s">
        <v>520</v>
      </c>
      <c r="B27" s="843" t="s">
        <v>521</v>
      </c>
      <c r="C27" s="810" t="str">
        <f>_xlfn.DISPIMG("ID_D346022E158E415E8753332547B85756",1)</f>
        <v>=DISPIMG("ID_D346022E158E415E8753332547B85756",1)</v>
      </c>
      <c r="D27" s="850">
        <f t="shared" si="2"/>
        <v>0.3</v>
      </c>
      <c r="E27" s="845">
        <v>0.3</v>
      </c>
      <c r="F27" s="846">
        <v>0.032</v>
      </c>
      <c r="G27" s="847" t="s">
        <v>522</v>
      </c>
      <c r="H27" s="848" t="str">
        <f>_xlfn.DISPIMG("ID_43E8A72E216946CD9CCF379A4D4FD3B1",1)</f>
        <v>=DISPIMG("ID_43E8A72E216946CD9CCF379A4D4FD3B1",1)</v>
      </c>
      <c r="I27" s="850">
        <f>K27+J27</f>
        <v>14.8</v>
      </c>
      <c r="J27" s="813">
        <v>11.8</v>
      </c>
      <c r="K27" s="813">
        <v>3</v>
      </c>
      <c r="L27" s="848"/>
      <c r="M27" s="909" t="s">
        <v>523</v>
      </c>
      <c r="N27" s="812"/>
      <c r="O27" s="812"/>
      <c r="P27" s="910" t="s">
        <v>524</v>
      </c>
      <c r="Q27" s="937"/>
      <c r="R27" s="812" t="str">
        <f>_xlfn.DISPIMG("ID_BB0EFDFF97E64B3FB5389E91B896FF87",1)</f>
        <v>=DISPIMG("ID_BB0EFDFF97E64B3FB5389E91B896FF87",1)</v>
      </c>
      <c r="T27" s="940"/>
    </row>
    <row r="28" s="806" customFormat="1" ht="125" customHeight="1" spans="1:20">
      <c r="A28" s="851" t="s">
        <v>525</v>
      </c>
      <c r="B28" s="843" t="s">
        <v>526</v>
      </c>
      <c r="C28" s="810"/>
      <c r="D28" s="850">
        <f t="shared" si="2"/>
        <v>0.6</v>
      </c>
      <c r="E28" s="845">
        <v>0.6</v>
      </c>
      <c r="F28" s="846">
        <f>22*15*8/5000</f>
        <v>0.528</v>
      </c>
      <c r="G28" s="852" t="s">
        <v>527</v>
      </c>
      <c r="H28" s="848"/>
      <c r="I28" s="850">
        <f>K28+J28</f>
        <v>0</v>
      </c>
      <c r="J28" s="813">
        <v>0</v>
      </c>
      <c r="K28" s="813"/>
      <c r="L28" s="848"/>
      <c r="M28" s="911"/>
      <c r="N28" s="812"/>
      <c r="O28" s="812"/>
      <c r="P28" s="848"/>
      <c r="Q28" s="937"/>
      <c r="R28" s="812"/>
      <c r="S28" s="806"/>
      <c r="T28" s="940"/>
    </row>
    <row r="29" s="806" customFormat="1" ht="125" customHeight="1" spans="1:20">
      <c r="A29" s="853" t="s">
        <v>528</v>
      </c>
      <c r="B29" s="843" t="s">
        <v>529</v>
      </c>
      <c r="C29" s="810"/>
      <c r="D29" s="850">
        <f t="shared" si="2"/>
        <v>0.4</v>
      </c>
      <c r="E29" s="845">
        <v>0.4</v>
      </c>
      <c r="F29" s="846">
        <f>19*12*6/5000</f>
        <v>0.2736</v>
      </c>
      <c r="G29" s="852" t="s">
        <v>530</v>
      </c>
      <c r="H29" s="848"/>
      <c r="I29" s="850">
        <f>K29+J29</f>
        <v>0</v>
      </c>
      <c r="J29" s="813">
        <v>0</v>
      </c>
      <c r="K29" s="813"/>
      <c r="L29" s="848"/>
      <c r="M29" s="911"/>
      <c r="N29" s="812"/>
      <c r="O29" s="812"/>
      <c r="P29" s="848"/>
      <c r="Q29" s="937"/>
      <c r="R29" s="812"/>
      <c r="S29" s="806"/>
      <c r="T29" s="940"/>
    </row>
    <row r="30" customFormat="1" ht="37" customHeight="1" spans="1:20">
      <c r="A30" s="854" t="s">
        <v>531</v>
      </c>
      <c r="B30" s="855" t="s">
        <v>532</v>
      </c>
      <c r="C30" s="810" t="str">
        <f>_xlfn.DISPIMG("ID_1C9B3D3D817644D4B78D65D02A3FCDC7",1)</f>
        <v>=DISPIMG("ID_1C9B3D3D817644D4B78D65D02A3FCDC7",1)</v>
      </c>
      <c r="D30" s="855">
        <f t="shared" si="2"/>
        <v>1.40625</v>
      </c>
      <c r="E30" s="855">
        <v>1</v>
      </c>
      <c r="F30" s="855">
        <f>30*25*15/8000</f>
        <v>1.40625</v>
      </c>
      <c r="G30" s="856" t="s">
        <v>533</v>
      </c>
      <c r="H30" s="855"/>
      <c r="I30" s="855">
        <v>89</v>
      </c>
      <c r="J30" s="855"/>
      <c r="K30" s="855"/>
      <c r="L30" s="141"/>
      <c r="M30" s="812"/>
      <c r="N30" s="141"/>
      <c r="O30" s="141"/>
      <c r="P30" s="812"/>
      <c r="Q30" s="141"/>
      <c r="R30" s="141"/>
      <c r="S30" s="141"/>
      <c r="T30" s="141"/>
    </row>
    <row r="31" customFormat="1" ht="37" customHeight="1" spans="1:20">
      <c r="A31" s="857"/>
      <c r="B31" s="855"/>
      <c r="C31" s="810" t="str">
        <f>_xlfn.DISPIMG("ID_1AAD8B113C5F40939CCB0D9A51D1A44E",1)</f>
        <v>=DISPIMG("ID_1AAD8B113C5F40939CCB0D9A51D1A44E",1)</v>
      </c>
      <c r="D31" s="855"/>
      <c r="E31" s="855"/>
      <c r="F31" s="855"/>
      <c r="G31" s="855"/>
      <c r="H31" s="855"/>
      <c r="I31" s="855"/>
      <c r="J31" s="855"/>
      <c r="K31" s="855"/>
      <c r="L31" s="141"/>
      <c r="M31" s="812"/>
      <c r="N31" s="141"/>
      <c r="O31" s="141"/>
      <c r="P31" s="812"/>
      <c r="Q31" s="141"/>
      <c r="R31" s="141"/>
      <c r="S31" s="141"/>
      <c r="T31" s="141"/>
    </row>
    <row r="32" customFormat="1" ht="37" customHeight="1" spans="1:20">
      <c r="A32" s="858"/>
      <c r="B32" s="855"/>
      <c r="C32" s="810" t="str">
        <f>_xlfn.DISPIMG("ID_CA728C4165EF4B59886C0000AA4B8871",1)</f>
        <v>=DISPIMG("ID_CA728C4165EF4B59886C0000AA4B8871",1)</v>
      </c>
      <c r="D32" s="855"/>
      <c r="E32" s="855"/>
      <c r="F32" s="855"/>
      <c r="G32" s="855"/>
      <c r="H32" s="855"/>
      <c r="I32" s="855"/>
      <c r="J32" s="855"/>
      <c r="K32" s="855"/>
      <c r="L32" s="141"/>
      <c r="M32" s="812"/>
      <c r="N32" s="141"/>
      <c r="O32" s="141"/>
      <c r="P32" s="812"/>
      <c r="Q32" s="141"/>
      <c r="R32" s="141"/>
      <c r="S32" s="141"/>
      <c r="T32" s="141"/>
    </row>
    <row r="33" ht="16.5" spans="2:9">
      <c r="B33" s="840" t="s">
        <v>534</v>
      </c>
      <c r="C33" s="841" t="s">
        <v>495</v>
      </c>
      <c r="D33" s="826">
        <f t="shared" ref="D33:D38" si="5">MAX(E33,F33)</f>
        <v>1.4976</v>
      </c>
      <c r="E33" s="812">
        <v>0.58</v>
      </c>
      <c r="F33" s="813">
        <f>16*26*18/5000</f>
        <v>1.4976</v>
      </c>
      <c r="G33" s="842" t="s">
        <v>496</v>
      </c>
      <c r="I33" s="895">
        <v>0</v>
      </c>
    </row>
    <row r="34" ht="16.5" spans="2:9">
      <c r="B34" s="840" t="s">
        <v>535</v>
      </c>
      <c r="C34" s="841" t="s">
        <v>511</v>
      </c>
      <c r="D34" s="826">
        <f t="shared" si="5"/>
        <v>0.8228</v>
      </c>
      <c r="E34" s="812">
        <v>0.55</v>
      </c>
      <c r="F34" s="813">
        <f>22*11*17/5000</f>
        <v>0.8228</v>
      </c>
      <c r="I34" s="895">
        <v>0</v>
      </c>
    </row>
    <row r="35" ht="16.5" spans="2:9">
      <c r="B35" s="840" t="s">
        <v>536</v>
      </c>
      <c r="C35" s="841" t="s">
        <v>503</v>
      </c>
      <c r="D35" s="826">
        <f t="shared" si="5"/>
        <v>0.9936</v>
      </c>
      <c r="E35" s="812">
        <v>0.57</v>
      </c>
      <c r="F35" s="813">
        <f>23*12*18/5000</f>
        <v>0.9936</v>
      </c>
      <c r="I35" s="895">
        <v>0</v>
      </c>
    </row>
    <row r="36" s="806" customFormat="1" ht="125" customHeight="1" spans="1:20">
      <c r="A36" s="859" t="s">
        <v>537</v>
      </c>
      <c r="B36" s="843" t="s">
        <v>538</v>
      </c>
      <c r="C36" s="810" t="str">
        <f>_xlfn.DISPIMG("ID_76C88E4864A1475AAEDF103B5BDFD722",1)</f>
        <v>=DISPIMG("ID_76C88E4864A1475AAEDF103B5BDFD722",1)</v>
      </c>
      <c r="D36" s="860">
        <f t="shared" si="5"/>
        <v>0.2</v>
      </c>
      <c r="E36" s="845">
        <v>0.2</v>
      </c>
      <c r="F36" s="846">
        <f>4*4*13/8000</f>
        <v>0.026</v>
      </c>
      <c r="G36" s="852" t="s">
        <v>539</v>
      </c>
      <c r="H36" s="848"/>
      <c r="I36" s="912">
        <f>K36+J36</f>
        <v>26</v>
      </c>
      <c r="J36" s="813">
        <v>18</v>
      </c>
      <c r="K36" s="813">
        <v>8</v>
      </c>
      <c r="L36" s="848"/>
      <c r="M36" s="913" t="s">
        <v>540</v>
      </c>
      <c r="N36" s="812"/>
      <c r="O36" s="812"/>
      <c r="P36" s="910" t="s">
        <v>541</v>
      </c>
      <c r="Q36" s="937"/>
      <c r="R36" s="812" t="str">
        <f>_xlfn.DISPIMG("ID_E00E39BEDCA14554BDB0F00C36D2FA85",1)</f>
        <v>=DISPIMG("ID_E00E39BEDCA14554BDB0F00C36D2FA85",1)</v>
      </c>
      <c r="S36" s="806" t="str">
        <f>_xlfn.DISPIMG("ID_54B898D5F6A64BE89EAF26AC2C7026BF",1)</f>
        <v>=DISPIMG("ID_54B898D5F6A64BE89EAF26AC2C7026BF",1)</v>
      </c>
      <c r="T36" s="940" t="str">
        <f>_xlfn.DISPIMG("ID_2598C4EDDE854AAEAAB7E65068067D87",1)</f>
        <v>=DISPIMG("ID_2598C4EDDE854AAEAAB7E65068067D87",1)</v>
      </c>
    </row>
    <row r="37" s="806" customFormat="1" ht="125" customHeight="1" spans="1:20">
      <c r="A37" s="861" t="s">
        <v>542</v>
      </c>
      <c r="B37" s="843" t="s">
        <v>543</v>
      </c>
      <c r="C37" t="str">
        <f>_xlfn.DISPIMG("ID_21427AE04695476D86E80F4D9BA814FA",1)</f>
        <v>=DISPIMG("ID_21427AE04695476D86E80F4D9BA814FA",1)</v>
      </c>
      <c r="D37" s="860">
        <f t="shared" si="5"/>
        <v>0.03</v>
      </c>
      <c r="E37" s="845">
        <v>0.03</v>
      </c>
      <c r="F37" s="846"/>
      <c r="G37" s="852"/>
      <c r="H37" s="848"/>
      <c r="I37" s="850">
        <f>K37+J37</f>
        <v>3.7</v>
      </c>
      <c r="J37" s="813">
        <v>0.5</v>
      </c>
      <c r="K37" s="813">
        <v>3.2</v>
      </c>
      <c r="L37" s="848"/>
      <c r="M37" s="914" t="s">
        <v>544</v>
      </c>
      <c r="N37" s="812"/>
      <c r="O37" s="812"/>
      <c r="P37" s="915" t="s">
        <v>545</v>
      </c>
      <c r="Q37" s="937"/>
      <c r="R37" s="812" t="str">
        <f>_xlfn.DISPIMG("ID_A9FB0D7102DA4F0A8B4AB78C8A981922",1)</f>
        <v>=DISPIMG("ID_A9FB0D7102DA4F0A8B4AB78C8A981922",1)</v>
      </c>
      <c r="S37" s="806" t="str">
        <f>_xlfn.DISPIMG("ID_04BAE11DCE934B8FA61B08075A755D2A",1)</f>
        <v>=DISPIMG("ID_04BAE11DCE934B8FA61B08075A755D2A",1)</v>
      </c>
      <c r="T37" s="940"/>
    </row>
    <row r="38" s="806" customFormat="1" ht="125" customHeight="1" spans="1:20">
      <c r="A38" s="862" t="s">
        <v>546</v>
      </c>
      <c r="B38" s="843" t="s">
        <v>547</v>
      </c>
      <c r="C38" t="str">
        <f>_xlfn.DISPIMG("ID_75473907AF9F4913A71673C19029E4A6",1)</f>
        <v>=DISPIMG("ID_75473907AF9F4913A71673C19029E4A6",1)</v>
      </c>
      <c r="D38" s="850">
        <f t="shared" si="5"/>
        <v>1.125</v>
      </c>
      <c r="E38" s="845">
        <v>0.8</v>
      </c>
      <c r="F38" s="846">
        <f>24*25*15/8000</f>
        <v>1.125</v>
      </c>
      <c r="G38" s="852" t="s">
        <v>548</v>
      </c>
      <c r="H38" s="848"/>
      <c r="I38" s="850">
        <f>K38+J38</f>
        <v>133.7</v>
      </c>
      <c r="J38" s="813">
        <v>130.5</v>
      </c>
      <c r="K38" s="813">
        <v>3.2</v>
      </c>
      <c r="L38" s="848"/>
      <c r="M38" s="914" t="s">
        <v>544</v>
      </c>
      <c r="N38" s="812"/>
      <c r="O38" s="812"/>
      <c r="P38" s="915" t="s">
        <v>545</v>
      </c>
      <c r="Q38" s="937"/>
      <c r="R38" s="812" t="str">
        <f>_xlfn.DISPIMG("ID_A9FB0D7102DA4F0A8B4AB78C8A981922",1)</f>
        <v>=DISPIMG("ID_A9FB0D7102DA4F0A8B4AB78C8A981922",1)</v>
      </c>
      <c r="S38" s="806" t="str">
        <f>_xlfn.DISPIMG("ID_04BAE11DCE934B8FA61B08075A755D2A",1)</f>
        <v>=DISPIMG("ID_04BAE11DCE934B8FA61B08075A755D2A",1)</v>
      </c>
      <c r="T38" s="940"/>
    </row>
    <row r="39" s="806" customFormat="1" ht="125" customHeight="1" spans="1:20">
      <c r="A39" s="862"/>
      <c r="B39" s="843"/>
      <c r="C39" t="str">
        <f>_xlfn.DISPIMG("ID_CE8BDEC5B531425692465B8395A482C6",1)</f>
        <v>=DISPIMG("ID_CE8BDEC5B531425692465B8395A482C6",1)</v>
      </c>
      <c r="D39" s="850"/>
      <c r="E39" s="845"/>
      <c r="F39" s="846"/>
      <c r="G39" s="852"/>
      <c r="H39" s="848"/>
      <c r="I39" s="850">
        <f>K39+J39</f>
        <v>0</v>
      </c>
      <c r="J39" s="813"/>
      <c r="K39" s="813"/>
      <c r="L39" s="848"/>
      <c r="M39" s="914"/>
      <c r="N39" s="812"/>
      <c r="O39" s="812"/>
      <c r="P39" s="915"/>
      <c r="Q39" s="937"/>
      <c r="R39" s="812"/>
      <c r="T39" s="940"/>
    </row>
    <row r="40" s="806" customFormat="1" ht="125" customHeight="1" spans="1:20">
      <c r="A40" s="863" t="s">
        <v>549</v>
      </c>
      <c r="B40" s="843" t="s">
        <v>550</v>
      </c>
      <c r="C40" t="str">
        <f>_xlfn.DISPIMG("ID_95B666FFAE3449AFA339E29AA544F9C8",1)</f>
        <v>=DISPIMG("ID_95B666FFAE3449AFA339E29AA544F9C8",1)</v>
      </c>
      <c r="D40" s="850">
        <f t="shared" ref="D40:D46" si="6">MAX(E40,F40)</f>
        <v>0.2</v>
      </c>
      <c r="E40" s="845">
        <v>0.2</v>
      </c>
      <c r="F40" s="846">
        <f>15*5*5/5000</f>
        <v>0.075</v>
      </c>
      <c r="G40" s="852" t="s">
        <v>551</v>
      </c>
      <c r="H40" s="848"/>
      <c r="I40" s="850">
        <f>K40+J40</f>
        <v>19</v>
      </c>
      <c r="J40" s="813">
        <v>15</v>
      </c>
      <c r="K40" s="813">
        <v>4</v>
      </c>
      <c r="L40" s="848"/>
      <c r="M40" s="914" t="s">
        <v>552</v>
      </c>
      <c r="N40" s="812"/>
      <c r="O40" s="812"/>
      <c r="P40" s="915" t="s">
        <v>553</v>
      </c>
      <c r="Q40" s="937"/>
      <c r="R40" s="812"/>
      <c r="S40" s="806"/>
      <c r="T40" s="940"/>
    </row>
    <row r="41" s="806" customFormat="1" ht="37" customHeight="1" spans="1:21">
      <c r="A41" s="864" t="s">
        <v>554</v>
      </c>
      <c r="B41" s="843" t="s">
        <v>555</v>
      </c>
      <c r="C41" s="865" t="str">
        <f>_xlfn.DISPIMG("ID_14BF4798DFA84B5785D7BC65DF159EFB",1)</f>
        <v>=DISPIMG("ID_14BF4798DFA84B5785D7BC65DF159EFB",1)</v>
      </c>
      <c r="D41" s="860">
        <f t="shared" si="6"/>
        <v>0.35</v>
      </c>
      <c r="E41" s="845">
        <v>0.35</v>
      </c>
      <c r="F41" s="846"/>
      <c r="G41" s="847"/>
      <c r="H41" s="848"/>
      <c r="I41" s="912">
        <f t="shared" ref="I40:I59" si="7">K41+J41</f>
        <v>50</v>
      </c>
      <c r="J41" s="813">
        <v>42</v>
      </c>
      <c r="K41" s="813">
        <v>8</v>
      </c>
      <c r="L41" s="848"/>
      <c r="M41" s="916" t="s">
        <v>556</v>
      </c>
      <c r="N41" s="812"/>
      <c r="O41" s="812"/>
      <c r="P41" s="917" t="s">
        <v>557</v>
      </c>
      <c r="Q41" s="937"/>
      <c r="R41" s="812" t="str">
        <f>_xlfn.DISPIMG("ID_572AA8229B8947EEA4DC327D48824A52",1)</f>
        <v>=DISPIMG("ID_572AA8229B8947EEA4DC327D48824A52",1)</v>
      </c>
      <c r="S41" s="806" t="str">
        <f>_xlfn.DISPIMG("ID_FD0C7A6F1AE848D5A76DC77FFDDCB939",1)</f>
        <v>=DISPIMG("ID_FD0C7A6F1AE848D5A76DC77FFDDCB939",1)</v>
      </c>
      <c r="T41" s="940" t="str">
        <f>_xlfn.DISPIMG("ID_7356946B3CE94C59A46BC715F7EBDA5A",1)</f>
        <v>=DISPIMG("ID_7356946B3CE94C59A46BC715F7EBDA5A",1)</v>
      </c>
      <c r="U41" s="941" t="s">
        <v>558</v>
      </c>
    </row>
    <row r="42" s="806" customFormat="1" ht="125" customHeight="1" spans="1:20">
      <c r="A42" s="866" t="s">
        <v>559</v>
      </c>
      <c r="B42" s="843" t="s">
        <v>560</v>
      </c>
      <c r="C42" s="847" t="str">
        <f>_xlfn.DISPIMG("ID_AAD7A73DDA1D423F825C1855D92CC428",1)</f>
        <v>=DISPIMG("ID_AAD7A73DDA1D423F825C1855D92CC428",1)</v>
      </c>
      <c r="D42" s="844">
        <f t="shared" si="6"/>
        <v>0.16</v>
      </c>
      <c r="E42" s="845">
        <v>0.16</v>
      </c>
      <c r="F42" s="846">
        <v>0.04</v>
      </c>
      <c r="G42" s="867" t="s">
        <v>561</v>
      </c>
      <c r="H42" s="848"/>
      <c r="I42" s="850">
        <f t="shared" si="7"/>
        <v>23.1</v>
      </c>
      <c r="J42" s="813">
        <v>17.1</v>
      </c>
      <c r="K42" s="813">
        <v>6</v>
      </c>
      <c r="L42" s="848"/>
      <c r="M42" s="914" t="s">
        <v>562</v>
      </c>
      <c r="N42" s="812"/>
      <c r="O42" s="812"/>
      <c r="P42" s="915" t="s">
        <v>563</v>
      </c>
      <c r="Q42" s="937"/>
      <c r="R42" s="812" t="str">
        <f>_xlfn.DISPIMG("ID_2EC640006AC249F28395191C91F577C5",1)</f>
        <v>=DISPIMG("ID_2EC640006AC249F28395191C91F577C5",1)</v>
      </c>
      <c r="S42" s="806" t="str">
        <f>_xlfn.DISPIMG("ID_0AF784A6CAF3413B822300EF04A04A47",1)</f>
        <v>=DISPIMG("ID_0AF784A6CAF3413B822300EF04A04A47",1)</v>
      </c>
      <c r="T42" s="940" t="str">
        <f>_xlfn.DISPIMG("ID_60F1B1166DC54D779765B4C1751E1719",1)</f>
        <v>=DISPIMG("ID_60F1B1166DC54D779765B4C1751E1719",1)</v>
      </c>
    </row>
    <row r="43" s="806" customFormat="1" ht="125" customHeight="1" spans="1:20">
      <c r="A43" s="868" t="s">
        <v>564</v>
      </c>
      <c r="B43" s="843" t="s">
        <v>565</v>
      </c>
      <c r="C43" s="810" t="str">
        <f>_xlfn.DISPIMG("ID_C4A42FC3D53B4BA3AB401C08AE428EC3",1)</f>
        <v>=DISPIMG("ID_C4A42FC3D53B4BA3AB401C08AE428EC3",1)</v>
      </c>
      <c r="D43" s="844">
        <f t="shared" si="6"/>
        <v>0.183168</v>
      </c>
      <c r="E43" s="845">
        <f>0.081*2</f>
        <v>0.162</v>
      </c>
      <c r="F43" s="846">
        <f>10.8*10.6*8/5000</f>
        <v>0.183168</v>
      </c>
      <c r="G43" s="869" t="s">
        <v>566</v>
      </c>
      <c r="H43" s="848"/>
      <c r="I43" s="850">
        <f t="shared" si="7"/>
        <v>15.5</v>
      </c>
      <c r="J43" s="813">
        <v>12</v>
      </c>
      <c r="K43" s="813">
        <v>3.5</v>
      </c>
      <c r="L43" s="848"/>
      <c r="M43" s="914" t="s">
        <v>567</v>
      </c>
      <c r="N43" s="812"/>
      <c r="O43" s="812"/>
      <c r="P43" s="910" t="s">
        <v>568</v>
      </c>
      <c r="Q43" s="937"/>
      <c r="R43" s="812" t="str">
        <f>_xlfn.DISPIMG("ID_39945D1A5A6545A3ABD202123D81E155",1)</f>
        <v>=DISPIMG("ID_39945D1A5A6545A3ABD202123D81E155",1)</v>
      </c>
      <c r="T43" s="940"/>
    </row>
    <row r="44" s="806" customFormat="1" ht="125" customHeight="1" spans="1:20">
      <c r="A44" s="870" t="s">
        <v>569</v>
      </c>
      <c r="B44" s="843" t="s">
        <v>570</v>
      </c>
      <c r="C44" s="810" t="str">
        <f>_xlfn.DISPIMG("ID_BE6697E8A4CB47F28626B1E77AF26C3A",1)</f>
        <v>=DISPIMG("ID_BE6697E8A4CB47F28626B1E77AF26C3A",1)</v>
      </c>
      <c r="D44" s="871">
        <f t="shared" si="6"/>
        <v>0.5</v>
      </c>
      <c r="E44" s="845">
        <v>0.5</v>
      </c>
      <c r="F44" s="846">
        <f>15*12*6/8000</f>
        <v>0.135</v>
      </c>
      <c r="G44" s="872" t="s">
        <v>571</v>
      </c>
      <c r="H44" s="848"/>
      <c r="I44" s="850">
        <f t="shared" si="7"/>
        <v>77</v>
      </c>
      <c r="J44" s="813">
        <v>70</v>
      </c>
      <c r="K44" s="813">
        <v>7</v>
      </c>
      <c r="L44" s="848"/>
      <c r="M44" s="913" t="s">
        <v>572</v>
      </c>
      <c r="N44" s="812"/>
      <c r="O44" s="812"/>
      <c r="P44" s="910" t="s">
        <v>573</v>
      </c>
      <c r="Q44" s="942" t="s">
        <v>574</v>
      </c>
      <c r="R44" s="812" t="str">
        <f>_xlfn.DISPIMG("ID_7175BCD418C2414AACA0056E28950A44",1)</f>
        <v>=DISPIMG("ID_7175BCD418C2414AACA0056E28950A44",1)</v>
      </c>
      <c r="S44" s="806" t="str">
        <f>_xlfn.DISPIMG("ID_4DA28032E1BD46689A030CF0A57D145E",1)</f>
        <v>=DISPIMG("ID_4DA28032E1BD46689A030CF0A57D145E",1)</v>
      </c>
      <c r="T44" s="940"/>
    </row>
    <row r="45" s="806" customFormat="1" ht="125" customHeight="1" spans="1:20">
      <c r="A45" s="873" t="s">
        <v>575</v>
      </c>
      <c r="B45" s="843" t="s">
        <v>576</v>
      </c>
      <c r="C45" s="810" t="str">
        <f>_xlfn.DISPIMG("ID_D902EE39A49543B9AA53DFA515BE5DB7",1)</f>
        <v>=DISPIMG("ID_D902EE39A49543B9AA53DFA515BE5DB7",1)</v>
      </c>
      <c r="D45" s="871">
        <f t="shared" si="6"/>
        <v>0.15</v>
      </c>
      <c r="E45" s="842">
        <v>0.15</v>
      </c>
      <c r="F45" s="874">
        <f>10*4*13/8000</f>
        <v>0.065</v>
      </c>
      <c r="G45" s="852" t="s">
        <v>577</v>
      </c>
      <c r="H45" s="848"/>
      <c r="I45" s="850">
        <f t="shared" si="7"/>
        <v>10.5</v>
      </c>
      <c r="J45" s="813">
        <v>4.5</v>
      </c>
      <c r="K45" s="813">
        <v>6</v>
      </c>
      <c r="L45" s="848"/>
      <c r="M45" s="918" t="s">
        <v>578</v>
      </c>
      <c r="N45" s="812"/>
      <c r="O45" s="812"/>
      <c r="P45" s="915" t="s">
        <v>579</v>
      </c>
      <c r="Q45" s="937"/>
      <c r="R45" s="812"/>
      <c r="S45" s="806"/>
      <c r="T45" s="940"/>
    </row>
    <row r="46" customFormat="1" ht="37" customHeight="1" spans="1:30">
      <c r="A46" s="875" t="s">
        <v>542</v>
      </c>
      <c r="B46" s="843" t="s">
        <v>580</v>
      </c>
      <c r="C46" s="141" t="str">
        <f>_xlfn.DISPIMG("ID_C4077B97B263427BBA186A35B843B500",1)</f>
        <v>=DISPIMG("ID_C4077B97B263427BBA186A35B843B500",1)</v>
      </c>
      <c r="D46" s="871">
        <f t="shared" si="6"/>
        <v>0.06</v>
      </c>
      <c r="E46" s="141">
        <v>0.06</v>
      </c>
      <c r="F46" s="141">
        <f>11*14*2/8000</f>
        <v>0.0385</v>
      </c>
      <c r="G46" s="147" t="s">
        <v>581</v>
      </c>
      <c r="H46" s="141"/>
      <c r="I46" s="850">
        <f t="shared" si="7"/>
        <v>4.5</v>
      </c>
      <c r="J46" s="141">
        <v>0.5</v>
      </c>
      <c r="K46" s="141">
        <v>4</v>
      </c>
      <c r="L46" s="141"/>
      <c r="M46" s="919" t="s">
        <v>544</v>
      </c>
      <c r="N46" s="141"/>
      <c r="O46" s="141"/>
      <c r="P46" s="920" t="s">
        <v>582</v>
      </c>
      <c r="Q46" s="141"/>
      <c r="R46" s="141"/>
      <c r="S46" s="141"/>
      <c r="T46" s="141"/>
      <c r="U46" s="141"/>
      <c r="V46" s="141"/>
      <c r="W46" s="141"/>
      <c r="X46" s="141"/>
      <c r="Y46" s="141"/>
      <c r="Z46" s="141"/>
      <c r="AA46" s="141"/>
      <c r="AB46" s="141"/>
      <c r="AC46" s="141"/>
      <c r="AD46" s="141"/>
    </row>
    <row r="47" customFormat="1" ht="37" customHeight="1" spans="1:30">
      <c r="A47" s="876" t="s">
        <v>583</v>
      </c>
      <c r="B47" s="877" t="s">
        <v>584</v>
      </c>
      <c r="C47" s="878" t="str">
        <f>_xlfn.DISPIMG("ID_C4077B97B263427BBA186A35B843B500",1)</f>
        <v>=DISPIMG("ID_C4077B97B263427BBA186A35B843B500",1)</v>
      </c>
      <c r="D47" s="879">
        <f t="shared" ref="D46:D59" si="8">MAX(E47,F47)</f>
        <v>0.05</v>
      </c>
      <c r="E47" s="141">
        <v>0.05</v>
      </c>
      <c r="F47" s="141">
        <f>11*14*2/8000</f>
        <v>0.0385</v>
      </c>
      <c r="G47" s="147" t="s">
        <v>581</v>
      </c>
      <c r="H47" s="880"/>
      <c r="I47" s="850">
        <f t="shared" si="7"/>
        <v>0</v>
      </c>
      <c r="J47" s="880"/>
      <c r="K47" s="880"/>
      <c r="L47" s="880"/>
      <c r="M47" s="921" t="s">
        <v>544</v>
      </c>
      <c r="N47" s="880"/>
      <c r="O47" s="880"/>
      <c r="P47" s="922" t="s">
        <v>582</v>
      </c>
      <c r="Q47" s="880"/>
      <c r="R47" s="880"/>
      <c r="S47" s="880"/>
      <c r="T47" s="880"/>
      <c r="U47" s="880"/>
      <c r="V47" s="880"/>
      <c r="W47" s="880"/>
      <c r="X47" s="880"/>
      <c r="Y47" s="880"/>
      <c r="Z47" s="880"/>
      <c r="AA47" s="880"/>
      <c r="AB47" s="880"/>
      <c r="AC47" s="880"/>
      <c r="AD47" s="880"/>
    </row>
    <row r="48" s="141" customFormat="1" ht="37" customHeight="1" spans="1:16">
      <c r="A48" s="881"/>
      <c r="B48" s="882"/>
      <c r="C48" s="810" t="str">
        <f>_xlfn.DISPIMG("ID_C5BBE678C8854EC89E00FAE9B8048231",1)</f>
        <v>=DISPIMG("ID_C5BBE678C8854EC89E00FAE9B8048231",1)</v>
      </c>
      <c r="D48" s="879">
        <f t="shared" si="8"/>
        <v>1.1088</v>
      </c>
      <c r="E48" s="845">
        <v>0.7</v>
      </c>
      <c r="F48" s="846">
        <f>22*21*12/5000</f>
        <v>1.1088</v>
      </c>
      <c r="G48" s="847" t="s">
        <v>585</v>
      </c>
      <c r="I48" s="850">
        <f t="shared" si="7"/>
        <v>0</v>
      </c>
      <c r="M48" s="812"/>
      <c r="P48" s="812"/>
    </row>
    <row r="49" ht="14.25" spans="2:9">
      <c r="B49" s="840" t="s">
        <v>586</v>
      </c>
      <c r="D49" s="879">
        <f t="shared" si="8"/>
        <v>1.1088</v>
      </c>
      <c r="F49" s="846">
        <f>22*21*12/5000</f>
        <v>1.1088</v>
      </c>
      <c r="G49" s="847"/>
      <c r="I49" s="850">
        <f t="shared" si="7"/>
        <v>0</v>
      </c>
    </row>
    <row r="50" s="806" customFormat="1" ht="125" customHeight="1" spans="1:20">
      <c r="A50" s="883"/>
      <c r="B50" s="843" t="s">
        <v>587</v>
      </c>
      <c r="C50" s="810" t="str">
        <f>_xlfn.DISPIMG("ID_6975375882594AF3AE9ED6E8409E1269",1)</f>
        <v>=DISPIMG("ID_6975375882594AF3AE9ED6E8409E1269",1)</v>
      </c>
      <c r="D50" s="884">
        <f t="shared" si="8"/>
        <v>0.45</v>
      </c>
      <c r="E50" s="845">
        <v>0.45</v>
      </c>
      <c r="F50" s="846">
        <v>0.07</v>
      </c>
      <c r="G50" s="852" t="s">
        <v>588</v>
      </c>
      <c r="H50" s="848"/>
      <c r="I50" s="850">
        <f t="shared" si="7"/>
        <v>29</v>
      </c>
      <c r="J50" s="813">
        <v>24</v>
      </c>
      <c r="K50" s="813">
        <v>5</v>
      </c>
      <c r="L50" s="848"/>
      <c r="M50" s="914" t="s">
        <v>589</v>
      </c>
      <c r="N50" s="812"/>
      <c r="O50" s="812"/>
      <c r="P50" s="915" t="s">
        <v>590</v>
      </c>
      <c r="Q50" s="937"/>
      <c r="R50" s="812" t="str">
        <f>_xlfn.DISPIMG("ID_F380C3ECF3B84B579FE1A6465074CDD4",1)</f>
        <v>=DISPIMG("ID_F380C3ECF3B84B579FE1A6465074CDD4",1)</v>
      </c>
      <c r="T50" s="939" t="s">
        <v>591</v>
      </c>
    </row>
    <row r="51" s="806" customFormat="1" ht="125" customHeight="1" spans="1:20">
      <c r="A51" s="883"/>
      <c r="B51" s="843" t="s">
        <v>592</v>
      </c>
      <c r="C51" s="810" t="str">
        <f>_xlfn.DISPIMG("ID_420C09C623E64483A5D121CFC5CD72A7",1)</f>
        <v>=DISPIMG("ID_420C09C623E64483A5D121CFC5CD72A7",1)</v>
      </c>
      <c r="D51" s="884">
        <f t="shared" si="8"/>
        <v>0.39</v>
      </c>
      <c r="E51" s="845">
        <v>0.3</v>
      </c>
      <c r="F51" s="846">
        <v>0.39</v>
      </c>
      <c r="G51" s="852" t="s">
        <v>593</v>
      </c>
      <c r="H51" s="848"/>
      <c r="I51" s="850">
        <f t="shared" si="7"/>
        <v>40</v>
      </c>
      <c r="J51" s="813">
        <v>35</v>
      </c>
      <c r="K51" s="813">
        <v>5</v>
      </c>
      <c r="L51" s="848"/>
      <c r="M51" s="914" t="s">
        <v>594</v>
      </c>
      <c r="N51" s="812"/>
      <c r="O51" s="812"/>
      <c r="P51" s="910" t="s">
        <v>595</v>
      </c>
      <c r="Q51" s="937"/>
      <c r="R51" s="869" t="str">
        <f>_xlfn.DISPIMG("ID_A8ABD764D79F4B21A2F144C31495781B",1)</f>
        <v>=DISPIMG("ID_A8ABD764D79F4B21A2F144C31495781B",1)</v>
      </c>
      <c r="T51" s="939" t="s">
        <v>591</v>
      </c>
    </row>
    <row r="52" s="806" customFormat="1" ht="125" customHeight="1" spans="1:20">
      <c r="A52" s="883"/>
      <c r="B52" s="843" t="s">
        <v>596</v>
      </c>
      <c r="C52" s="810" t="str">
        <f>_xlfn.DISPIMG("ID_9337B89E9C2F4635B8340D139D8CE280",1)</f>
        <v>=DISPIMG("ID_9337B89E9C2F4635B8340D139D8CE280",1)</v>
      </c>
      <c r="D52" s="884">
        <f t="shared" si="8"/>
        <v>0.25</v>
      </c>
      <c r="E52" s="845">
        <v>0.25</v>
      </c>
      <c r="F52" s="846">
        <v>0.03</v>
      </c>
      <c r="G52" s="852" t="s">
        <v>597</v>
      </c>
      <c r="H52" s="848"/>
      <c r="I52" s="850">
        <f t="shared" si="7"/>
        <v>25.2</v>
      </c>
      <c r="J52" s="813">
        <v>15.2</v>
      </c>
      <c r="K52" s="813">
        <v>10</v>
      </c>
      <c r="L52" s="848"/>
      <c r="M52" s="914" t="s">
        <v>598</v>
      </c>
      <c r="N52" s="812"/>
      <c r="O52" s="812"/>
      <c r="P52" s="910" t="s">
        <v>599</v>
      </c>
      <c r="Q52" s="937"/>
      <c r="R52" s="812" t="str">
        <f>_xlfn.DISPIMG("ID_C475F6D6817C48CE9CABA2AB02ED92B7",1)</f>
        <v>=DISPIMG("ID_C475F6D6817C48CE9CABA2AB02ED92B7",1)</v>
      </c>
      <c r="S52" s="806" t="str">
        <f>_xlfn.DISPIMG("ID_D18AA79784214D3E99E917705F48C21B",1)</f>
        <v>=DISPIMG("ID_D18AA79784214D3E99E917705F48C21B",1)</v>
      </c>
      <c r="T52" s="939" t="s">
        <v>600</v>
      </c>
    </row>
    <row r="53" s="806" customFormat="1" ht="125" customHeight="1" spans="1:20">
      <c r="A53" s="885" t="s">
        <v>601</v>
      </c>
      <c r="B53" s="843" t="s">
        <v>602</v>
      </c>
      <c r="C53" s="810" t="str">
        <f>_xlfn.DISPIMG("ID_76C88E4864A1475AAEDF103B5BDFD722",1)</f>
        <v>=DISPIMG("ID_76C88E4864A1475AAEDF103B5BDFD722",1)</v>
      </c>
      <c r="D53" s="871">
        <f t="shared" si="8"/>
        <v>0.1</v>
      </c>
      <c r="E53" s="845">
        <v>0.1</v>
      </c>
      <c r="F53" s="846"/>
      <c r="G53" s="852" t="s">
        <v>539</v>
      </c>
      <c r="H53" s="848"/>
      <c r="I53" s="850">
        <f t="shared" si="7"/>
        <v>16</v>
      </c>
      <c r="J53" s="813">
        <v>9</v>
      </c>
      <c r="K53" s="813">
        <v>7</v>
      </c>
      <c r="L53" s="848"/>
      <c r="M53" s="913" t="s">
        <v>540</v>
      </c>
      <c r="N53" s="812"/>
      <c r="O53" s="812"/>
      <c r="P53" s="910" t="s">
        <v>541</v>
      </c>
      <c r="Q53" s="937"/>
      <c r="R53" s="812" t="str">
        <f>_xlfn.DISPIMG("ID_E00E39BEDCA14554BDB0F00C36D2FA85",1)</f>
        <v>=DISPIMG("ID_E00E39BEDCA14554BDB0F00C36D2FA85",1)</v>
      </c>
      <c r="S53" s="806" t="str">
        <f>_xlfn.DISPIMG("ID_54B898D5F6A64BE89EAF26AC2C7026BF",1)</f>
        <v>=DISPIMG("ID_54B898D5F6A64BE89EAF26AC2C7026BF",1)</v>
      </c>
      <c r="T53" s="940" t="str">
        <f>_xlfn.DISPIMG("ID_2598C4EDDE854AAEAAB7E65068067D87",1)</f>
        <v>=DISPIMG("ID_2598C4EDDE854AAEAAB7E65068067D87",1)</v>
      </c>
    </row>
    <row r="54" s="806" customFormat="1" ht="125" customHeight="1" spans="1:20">
      <c r="A54" s="886" t="s">
        <v>603</v>
      </c>
      <c r="B54" s="843" t="s">
        <v>604</v>
      </c>
      <c r="C54" s="810" t="str">
        <f t="shared" ref="C54:C56" si="9">_xlfn.DISPIMG("ID_E5259E0B57EA459997EA04E98B4C6C0F",1)</f>
        <v>=DISPIMG("ID_E5259E0B57EA459997EA04E98B4C6C0F",1)</v>
      </c>
      <c r="D54" s="871">
        <f t="shared" si="8"/>
        <v>0.07</v>
      </c>
      <c r="E54" s="845">
        <v>0.07</v>
      </c>
      <c r="F54" s="846">
        <f>8*8*4/8000</f>
        <v>0.032</v>
      </c>
      <c r="G54" s="852" t="s">
        <v>605</v>
      </c>
      <c r="H54" s="848"/>
      <c r="I54" s="850">
        <f t="shared" si="7"/>
        <v>27</v>
      </c>
      <c r="J54" s="813">
        <v>23</v>
      </c>
      <c r="K54" s="813">
        <v>4</v>
      </c>
      <c r="L54" s="848"/>
      <c r="M54" s="914" t="s">
        <v>606</v>
      </c>
      <c r="N54" s="812"/>
      <c r="O54" s="812"/>
      <c r="P54" s="917" t="s">
        <v>607</v>
      </c>
      <c r="Q54" s="937" t="str">
        <f>_xlfn.DISPIMG("ID_5C99D4E210ED4C77BDA4CE5DA9BA36FF",1)</f>
        <v>=DISPIMG("ID_5C99D4E210ED4C77BDA4CE5DA9BA36FF",1)</v>
      </c>
      <c r="R54" s="812" t="str">
        <f>_xlfn.DISPIMG("ID_D5975EF83C634A479E3C892C2E934141",1)</f>
        <v>=DISPIMG("ID_D5975EF83C634A479E3C892C2E934141",1)</v>
      </c>
      <c r="S54" s="806" t="str">
        <f>_xlfn.DISPIMG("ID_5F33ADF5F8EC45C983F85F84A55EBF7A",1)</f>
        <v>=DISPIMG("ID_5F33ADF5F8EC45C983F85F84A55EBF7A",1)</v>
      </c>
      <c r="T54" s="940"/>
    </row>
    <row r="55" s="806" customFormat="1" ht="125" customHeight="1" spans="1:20">
      <c r="A55" s="886" t="s">
        <v>603</v>
      </c>
      <c r="B55" s="843" t="s">
        <v>608</v>
      </c>
      <c r="C55" s="810" t="str">
        <f t="shared" si="9"/>
        <v>=DISPIMG("ID_E5259E0B57EA459997EA04E98B4C6C0F",1)</v>
      </c>
      <c r="D55" s="871">
        <f t="shared" si="8"/>
        <v>0.11</v>
      </c>
      <c r="E55" s="845">
        <v>0.11</v>
      </c>
      <c r="F55" s="846">
        <f>8.5*8.5*3/5000</f>
        <v>0.04335</v>
      </c>
      <c r="G55" s="852" t="s">
        <v>609</v>
      </c>
      <c r="H55" s="848"/>
      <c r="I55" s="850">
        <f t="shared" si="7"/>
        <v>12.5</v>
      </c>
      <c r="J55" s="813">
        <v>6.5</v>
      </c>
      <c r="K55" s="813">
        <v>6</v>
      </c>
      <c r="L55" s="848"/>
      <c r="M55" s="914" t="s">
        <v>606</v>
      </c>
      <c r="N55" s="812"/>
      <c r="O55" s="812"/>
      <c r="P55" s="917" t="s">
        <v>610</v>
      </c>
      <c r="Q55" s="937"/>
      <c r="R55" s="812" t="str">
        <f>_xlfn.DISPIMG("ID_B7BC898FA2054130A42677CEB5B42E91",1)</f>
        <v>=DISPIMG("ID_B7BC898FA2054130A42677CEB5B42E91",1)</v>
      </c>
      <c r="S55" s="806" t="str">
        <f>_xlfn.DISPIMG("ID_B500202392044D0A97FAF18CB428C8D2",1)</f>
        <v>=DISPIMG("ID_B500202392044D0A97FAF18CB428C8D2",1)</v>
      </c>
      <c r="T55" s="940"/>
    </row>
    <row r="56" s="806" customFormat="1" ht="125" customHeight="1" spans="1:20">
      <c r="A56" s="886" t="s">
        <v>611</v>
      </c>
      <c r="B56" s="843" t="s">
        <v>612</v>
      </c>
      <c r="C56" s="810" t="str">
        <f t="shared" si="9"/>
        <v>=DISPIMG("ID_E5259E0B57EA459997EA04E98B4C6C0F",1)</v>
      </c>
      <c r="D56" s="871">
        <f t="shared" si="8"/>
        <v>0.2</v>
      </c>
      <c r="E56" s="842">
        <v>0.08</v>
      </c>
      <c r="F56" s="874">
        <f>10*10*5/5000*2</f>
        <v>0.2</v>
      </c>
      <c r="G56" s="852" t="s">
        <v>613</v>
      </c>
      <c r="H56" s="848"/>
      <c r="I56" s="850">
        <f t="shared" si="7"/>
        <v>24</v>
      </c>
      <c r="J56" s="813">
        <v>22</v>
      </c>
      <c r="K56" s="813">
        <v>2</v>
      </c>
      <c r="L56" s="848"/>
      <c r="M56" s="913"/>
      <c r="N56" s="812"/>
      <c r="O56" s="812"/>
      <c r="P56" s="910" t="s">
        <v>614</v>
      </c>
      <c r="Q56" s="937"/>
      <c r="R56" s="812"/>
      <c r="T56" s="940"/>
    </row>
    <row r="57" s="806" customFormat="1" ht="125" customHeight="1" spans="1:20">
      <c r="A57" s="885" t="s">
        <v>601</v>
      </c>
      <c r="B57" s="843" t="s">
        <v>615</v>
      </c>
      <c r="C57" s="810" t="str">
        <f>_xlfn.DISPIMG("ID_76C88E4864A1475AAEDF103B5BDFD722",1)</f>
        <v>=DISPIMG("ID_76C88E4864A1475AAEDF103B5BDFD722",1)</v>
      </c>
      <c r="D57" s="871">
        <f t="shared" si="8"/>
        <v>0.15</v>
      </c>
      <c r="E57" s="845">
        <v>0.15</v>
      </c>
      <c r="F57" s="846">
        <f>13*10*9/8000</f>
        <v>0.14625</v>
      </c>
      <c r="G57" s="852" t="s">
        <v>539</v>
      </c>
      <c r="H57" s="848"/>
      <c r="I57" s="850">
        <f t="shared" si="7"/>
        <v>30</v>
      </c>
      <c r="J57" s="813">
        <v>22</v>
      </c>
      <c r="K57" s="813">
        <v>8</v>
      </c>
      <c r="L57" s="848"/>
      <c r="M57" s="913" t="s">
        <v>540</v>
      </c>
      <c r="N57" s="812"/>
      <c r="O57" s="812"/>
      <c r="P57" s="910" t="s">
        <v>541</v>
      </c>
      <c r="Q57" s="937"/>
      <c r="R57" s="812" t="str">
        <f>_xlfn.DISPIMG("ID_E00E39BEDCA14554BDB0F00C36D2FA85",1)</f>
        <v>=DISPIMG("ID_E00E39BEDCA14554BDB0F00C36D2FA85",1)</v>
      </c>
      <c r="S57" s="806" t="str">
        <f>_xlfn.DISPIMG("ID_54B898D5F6A64BE89EAF26AC2C7026BF",1)</f>
        <v>=DISPIMG("ID_54B898D5F6A64BE89EAF26AC2C7026BF",1)</v>
      </c>
      <c r="T57" s="940" t="str">
        <f>_xlfn.DISPIMG("ID_2598C4EDDE854AAEAAB7E65068067D87",1)</f>
        <v>=DISPIMG("ID_2598C4EDDE854AAEAAB7E65068067D87",1)</v>
      </c>
    </row>
    <row r="58" s="806" customFormat="1" ht="125" customHeight="1" spans="1:20">
      <c r="A58" s="885" t="s">
        <v>601</v>
      </c>
      <c r="B58" s="843" t="s">
        <v>616</v>
      </c>
      <c r="C58" s="810" t="str">
        <f>_xlfn.DISPIMG("ID_76C88E4864A1475AAEDF103B5BDFD722",1)</f>
        <v>=DISPIMG("ID_76C88E4864A1475AAEDF103B5BDFD722",1)</v>
      </c>
      <c r="D58" s="871">
        <f t="shared" si="8"/>
        <v>0.178</v>
      </c>
      <c r="E58" s="845">
        <v>0.178</v>
      </c>
      <c r="F58" s="846">
        <f>20*13*5/8000</f>
        <v>0.1625</v>
      </c>
      <c r="G58" s="852" t="s">
        <v>539</v>
      </c>
      <c r="H58" s="848"/>
      <c r="I58" s="850">
        <f t="shared" si="7"/>
        <v>23</v>
      </c>
      <c r="J58" s="813">
        <v>16</v>
      </c>
      <c r="K58" s="813">
        <v>7</v>
      </c>
      <c r="L58" s="848"/>
      <c r="M58" s="913" t="s">
        <v>540</v>
      </c>
      <c r="N58" s="812"/>
      <c r="O58" s="812"/>
      <c r="P58" s="910" t="s">
        <v>541</v>
      </c>
      <c r="Q58" s="937"/>
      <c r="R58" s="812" t="str">
        <f>_xlfn.DISPIMG("ID_E00E39BEDCA14554BDB0F00C36D2FA85",1)</f>
        <v>=DISPIMG("ID_E00E39BEDCA14554BDB0F00C36D2FA85",1)</v>
      </c>
      <c r="S58" s="806" t="str">
        <f>_xlfn.DISPIMG("ID_54B898D5F6A64BE89EAF26AC2C7026BF",1)</f>
        <v>=DISPIMG("ID_54B898D5F6A64BE89EAF26AC2C7026BF",1)</v>
      </c>
      <c r="T58" s="940" t="str">
        <f>_xlfn.DISPIMG("ID_2598C4EDDE854AAEAAB7E65068067D87",1)</f>
        <v>=DISPIMG("ID_2598C4EDDE854AAEAAB7E65068067D87",1)</v>
      </c>
    </row>
    <row r="59" customFormat="1" ht="125" customHeight="1" spans="1:20">
      <c r="A59" s="887"/>
      <c r="B59" s="843" t="s">
        <v>617</v>
      </c>
      <c r="C59" s="810" t="str">
        <f>_xlfn.DISPIMG("ID_D06E46378C2140E7B1179D985A5F8967",1)</f>
        <v>=DISPIMG("ID_D06E46378C2140E7B1179D985A5F8967",1)</v>
      </c>
      <c r="D59" s="871">
        <f t="shared" si="8"/>
        <v>0.1</v>
      </c>
      <c r="E59" s="845">
        <v>0.1</v>
      </c>
      <c r="F59" s="846">
        <f>6*6*10/5000</f>
        <v>0.072</v>
      </c>
      <c r="G59" s="852" t="s">
        <v>618</v>
      </c>
      <c r="H59" s="848"/>
      <c r="I59" s="850">
        <f t="shared" si="7"/>
        <v>17</v>
      </c>
      <c r="J59" s="813">
        <v>11</v>
      </c>
      <c r="K59" s="813">
        <v>6</v>
      </c>
      <c r="L59" s="848"/>
      <c r="M59" s="914"/>
      <c r="N59" s="812"/>
      <c r="O59" s="812"/>
      <c r="P59" s="910" t="s">
        <v>619</v>
      </c>
      <c r="Q59" s="937"/>
      <c r="R59" s="812" t="str">
        <f>_xlfn.DISPIMG("ID_15FB24CF06BD4BFD8CE795C58A23A234",1)</f>
        <v>=DISPIMG("ID_15FB24CF06BD4BFD8CE795C58A23A234",1)</v>
      </c>
      <c r="S59" s="812"/>
      <c r="T59" s="940"/>
    </row>
    <row r="60" s="806" customFormat="1" ht="125" customHeight="1" spans="1:20">
      <c r="A60" s="141" t="s">
        <v>620</v>
      </c>
      <c r="B60" s="843" t="s">
        <v>621</v>
      </c>
      <c r="C60" s="810" t="str">
        <f>_xlfn.DISPIMG("ID_E2EA151EF37844BA96C057C701B207FA",1)</f>
        <v>=DISPIMG("ID_E2EA151EF37844BA96C057C701B207FA",1)</v>
      </c>
      <c r="D60" s="871">
        <f t="shared" ref="D60:D71" si="10">MAX(E60,F60)</f>
        <v>0.0936</v>
      </c>
      <c r="E60" s="845">
        <v>0.025</v>
      </c>
      <c r="F60" s="846">
        <f>18*13*2/5000</f>
        <v>0.0936</v>
      </c>
      <c r="G60" s="852" t="s">
        <v>622</v>
      </c>
      <c r="H60" s="848"/>
      <c r="I60" s="850">
        <f t="shared" ref="I60:I71" si="11">K60+J60</f>
        <v>0</v>
      </c>
      <c r="J60" s="813"/>
      <c r="K60" s="813"/>
      <c r="L60" s="848"/>
      <c r="M60" s="911"/>
      <c r="N60" s="812"/>
      <c r="O60" s="812"/>
      <c r="P60" s="848"/>
      <c r="Q60" s="937"/>
      <c r="R60" s="812"/>
      <c r="S60" s="806"/>
      <c r="T60" s="940"/>
    </row>
    <row r="61" s="806" customFormat="1" ht="125" customHeight="1" spans="1:20">
      <c r="A61" s="888" t="s">
        <v>623</v>
      </c>
      <c r="B61" s="843" t="s">
        <v>624</v>
      </c>
      <c r="C61" s="810" t="str">
        <f>_xlfn.DISPIMG("ID_72FDABDE3529434D9BFF70A8F4A319E8",1)</f>
        <v>=DISPIMG("ID_72FDABDE3529434D9BFF70A8F4A319E8",1)</v>
      </c>
      <c r="D61" s="871">
        <f t="shared" si="10"/>
        <v>0.0936</v>
      </c>
      <c r="E61" s="845">
        <v>0.08</v>
      </c>
      <c r="F61" s="846">
        <f>18*13*2/5000</f>
        <v>0.0936</v>
      </c>
      <c r="G61" s="852" t="s">
        <v>622</v>
      </c>
      <c r="H61" s="848"/>
      <c r="I61" s="850">
        <f t="shared" si="11"/>
        <v>0</v>
      </c>
      <c r="J61" s="813"/>
      <c r="K61" s="813"/>
      <c r="L61" s="848"/>
      <c r="M61" s="911"/>
      <c r="N61" s="812"/>
      <c r="O61" s="812"/>
      <c r="P61" s="848"/>
      <c r="Q61" s="937"/>
      <c r="R61" s="812"/>
      <c r="S61" s="806"/>
      <c r="T61" s="940"/>
    </row>
    <row r="62" s="806" customFormat="1" ht="125" customHeight="1" spans="1:20">
      <c r="A62" s="889" t="s">
        <v>625</v>
      </c>
      <c r="B62" s="843" t="s">
        <v>526</v>
      </c>
      <c r="C62" t="str">
        <f>_xlfn.DISPIMG("ID_772591A67D0E4438AB37EE468B7E1DC4",1)</f>
        <v>=DISPIMG("ID_772591A67D0E4438AB37EE468B7E1DC4",1)</v>
      </c>
      <c r="D62" s="871">
        <f t="shared" si="10"/>
        <v>0.7776</v>
      </c>
      <c r="E62" s="845">
        <v>0.65</v>
      </c>
      <c r="F62" s="846">
        <f>27*16*9/5000</f>
        <v>0.7776</v>
      </c>
      <c r="G62" s="852" t="s">
        <v>626</v>
      </c>
      <c r="H62" s="848"/>
      <c r="I62" s="850">
        <f t="shared" si="11"/>
        <v>0</v>
      </c>
      <c r="J62" s="813">
        <v>0</v>
      </c>
      <c r="K62" s="813"/>
      <c r="L62" s="848"/>
      <c r="M62" s="911"/>
      <c r="N62" s="812"/>
      <c r="O62" s="812"/>
      <c r="P62" s="848"/>
      <c r="Q62" s="937"/>
      <c r="R62" s="812"/>
      <c r="S62" s="806"/>
      <c r="T62" s="940"/>
    </row>
    <row r="63" s="806" customFormat="1" ht="125" customHeight="1" spans="1:20">
      <c r="A63" s="890" t="s">
        <v>528</v>
      </c>
      <c r="B63" s="843" t="s">
        <v>529</v>
      </c>
      <c r="C63" t="str">
        <f>_xlfn.DISPIMG("ID_B817E1AB811244D8B82BC7B728D11702",1)</f>
        <v>=DISPIMG("ID_B817E1AB811244D8B82BC7B728D11702",1)</v>
      </c>
      <c r="D63" s="871">
        <f t="shared" si="10"/>
        <v>0.6468</v>
      </c>
      <c r="E63" s="845">
        <v>0.4</v>
      </c>
      <c r="F63" s="846">
        <f>21*11*14/5000</f>
        <v>0.6468</v>
      </c>
      <c r="G63" s="852" t="s">
        <v>627</v>
      </c>
      <c r="H63" s="848"/>
      <c r="I63" s="850">
        <f t="shared" si="11"/>
        <v>0</v>
      </c>
      <c r="J63" s="813">
        <v>0</v>
      </c>
      <c r="K63" s="813"/>
      <c r="L63" s="848"/>
      <c r="M63" s="911"/>
      <c r="N63" s="812"/>
      <c r="O63" s="812"/>
      <c r="P63" s="848"/>
      <c r="Q63" s="937"/>
      <c r="R63" s="812"/>
      <c r="S63" s="806"/>
      <c r="T63" s="940"/>
    </row>
    <row r="64" s="806" customFormat="1" ht="125" customHeight="1" spans="1:20">
      <c r="A64" s="891" t="s">
        <v>628</v>
      </c>
      <c r="B64" s="892" t="s">
        <v>629</v>
      </c>
      <c r="C64" s="810"/>
      <c r="D64" s="871">
        <f t="shared" si="10"/>
        <v>0.144</v>
      </c>
      <c r="E64" s="845">
        <v>0.1</v>
      </c>
      <c r="F64" s="852">
        <f>9*8*10/5000</f>
        <v>0.144</v>
      </c>
      <c r="G64" s="852">
        <f>9*8*10/5000</f>
        <v>0.144</v>
      </c>
      <c r="H64" s="848"/>
      <c r="I64" s="850">
        <f t="shared" si="11"/>
        <v>41</v>
      </c>
      <c r="J64" s="813">
        <v>36</v>
      </c>
      <c r="K64" s="813">
        <v>5</v>
      </c>
      <c r="L64" s="848"/>
      <c r="M64" s="911"/>
      <c r="N64" s="812"/>
      <c r="O64" s="812"/>
      <c r="P64" s="848"/>
      <c r="Q64" s="942" t="s">
        <v>630</v>
      </c>
      <c r="R64" s="812"/>
      <c r="S64" s="806"/>
      <c r="T64" s="940"/>
    </row>
    <row r="65" s="806" customFormat="1" ht="125" customHeight="1" spans="1:20">
      <c r="A65" s="891" t="s">
        <v>631</v>
      </c>
      <c r="B65" s="843" t="s">
        <v>632</v>
      </c>
      <c r="C65" s="810" t="str">
        <f>_xlfn.DISPIMG("ID_DDFB55C539E0485C9EAF7A75E2C0651F",1)</f>
        <v>=DISPIMG("ID_DDFB55C539E0485C9EAF7A75E2C0651F",1)</v>
      </c>
      <c r="D65" s="871">
        <f t="shared" si="10"/>
        <v>0.1</v>
      </c>
      <c r="E65" s="845">
        <v>0.1</v>
      </c>
      <c r="F65" s="846">
        <f>7*10*5/5000</f>
        <v>0.07</v>
      </c>
      <c r="G65" s="852" t="s">
        <v>633</v>
      </c>
      <c r="H65" s="848"/>
      <c r="I65" s="850">
        <f t="shared" si="11"/>
        <v>23</v>
      </c>
      <c r="J65" s="813">
        <v>15</v>
      </c>
      <c r="K65" s="813">
        <v>8</v>
      </c>
      <c r="L65" s="848"/>
      <c r="M65" s="949" t="s">
        <v>634</v>
      </c>
      <c r="N65" s="812"/>
      <c r="O65" s="812"/>
      <c r="P65" s="910" t="s">
        <v>635</v>
      </c>
      <c r="Q65" s="937"/>
      <c r="R65" s="812" t="str">
        <f>_xlfn.DISPIMG("ID_0E376FB57C9049DB9A9583B996B7D37C",1)</f>
        <v>=DISPIMG("ID_0E376FB57C9049DB9A9583B996B7D37C",1)</v>
      </c>
      <c r="T65" s="940"/>
    </row>
    <row r="66" s="806" customFormat="1" ht="37" customHeight="1" spans="1:21">
      <c r="A66" s="843" t="s">
        <v>636</v>
      </c>
      <c r="B66" s="843" t="s">
        <v>637</v>
      </c>
      <c r="C66" s="943" t="str">
        <f>_xlfn.DISPIMG("ID_EE91F2562288438993EA519ADA118D74",1)</f>
        <v>=DISPIMG("ID_EE91F2562288438993EA519ADA118D74",1)</v>
      </c>
      <c r="D66" s="871">
        <f t="shared" si="10"/>
        <v>0.6</v>
      </c>
      <c r="E66" s="845">
        <v>0.6</v>
      </c>
      <c r="F66" s="846">
        <f>30*7*12/8000</f>
        <v>0.315</v>
      </c>
      <c r="G66" s="852" t="s">
        <v>638</v>
      </c>
      <c r="H66" s="848"/>
      <c r="I66" s="850">
        <f t="shared" si="11"/>
        <v>51</v>
      </c>
      <c r="J66" s="813">
        <v>48</v>
      </c>
      <c r="K66" s="813">
        <v>3</v>
      </c>
      <c r="L66" s="848"/>
      <c r="M66" s="914" t="s">
        <v>639</v>
      </c>
      <c r="N66" s="812"/>
      <c r="O66" s="812"/>
      <c r="P66" s="915" t="s">
        <v>640</v>
      </c>
      <c r="Q66" s="937"/>
      <c r="R66" s="812" t="str">
        <f>_xlfn.DISPIMG("ID_40A367C16CEA4AFCAAF7DC948B949A8B",1)</f>
        <v>=DISPIMG("ID_40A367C16CEA4AFCAAF7DC948B949A8B",1)</v>
      </c>
      <c r="S66" s="806" t="str">
        <f>_xlfn.DISPIMG("ID_D4612AEE91E145179DB430514C337B1A",1)</f>
        <v>=DISPIMG("ID_D4612AEE91E145179DB430514C337B1A",1)</v>
      </c>
      <c r="T66" s="940" t="str">
        <f>_xlfn.DISPIMG("ID_6BB762CFB1944ADA8C7DA14E8BB60B18",1)</f>
        <v>=DISPIMG("ID_6BB762CFB1944ADA8C7DA14E8BB60B18",1)</v>
      </c>
      <c r="U66" s="806" t="str">
        <f>_xlfn.DISPIMG("ID_E99860DBF94249AEAC78C28C8C5A120C",1)</f>
        <v>=DISPIMG("ID_E99860DBF94249AEAC78C28C8C5A120C",1)</v>
      </c>
    </row>
    <row r="67" s="806" customFormat="1" ht="125" customHeight="1" spans="1:20">
      <c r="A67" s="944" t="s">
        <v>641</v>
      </c>
      <c r="B67" s="843" t="s">
        <v>642</v>
      </c>
      <c r="C67" s="810" t="str">
        <f>_xlfn.DISPIMG("ID_95CF092AF6354F5B90A3B85D2900A0BB",1)</f>
        <v>=DISPIMG("ID_95CF092AF6354F5B90A3B85D2900A0BB",1)</v>
      </c>
      <c r="D67" s="871">
        <f t="shared" si="10"/>
        <v>0.4</v>
      </c>
      <c r="E67" s="845">
        <v>0.4</v>
      </c>
      <c r="F67" s="846">
        <f>6*6*10/5000*2</f>
        <v>0.144</v>
      </c>
      <c r="G67" s="847"/>
      <c r="H67" s="848"/>
      <c r="I67" s="850">
        <f t="shared" si="11"/>
        <v>13</v>
      </c>
      <c r="J67" s="813">
        <v>10</v>
      </c>
      <c r="K67" s="813">
        <v>3</v>
      </c>
      <c r="L67" s="848"/>
      <c r="M67" s="911"/>
      <c r="N67" s="812"/>
      <c r="O67" s="812"/>
      <c r="P67" s="915" t="s">
        <v>643</v>
      </c>
      <c r="Q67" s="937"/>
      <c r="R67" s="812"/>
      <c r="S67" s="806"/>
      <c r="T67" s="940"/>
    </row>
    <row r="68" s="806" customFormat="1" ht="125" customHeight="1" spans="1:20">
      <c r="A68" s="945" t="s">
        <v>644</v>
      </c>
      <c r="B68" s="843" t="s">
        <v>645</v>
      </c>
      <c r="C68" s="946" t="str">
        <f>_xlfn.DISPIMG("ID_DD794363D77F483ABDFADBBFAA669195",1)</f>
        <v>=DISPIMG("ID_DD794363D77F483ABDFADBBFAA669195",1)</v>
      </c>
      <c r="D68" s="871">
        <f t="shared" si="10"/>
        <v>0.75</v>
      </c>
      <c r="E68" s="845">
        <v>0.6</v>
      </c>
      <c r="F68" s="846">
        <v>0.75</v>
      </c>
      <c r="G68" s="852" t="s">
        <v>646</v>
      </c>
      <c r="H68" s="848"/>
      <c r="I68" s="850">
        <f t="shared" si="11"/>
        <v>98</v>
      </c>
      <c r="J68" s="813">
        <v>90</v>
      </c>
      <c r="K68" s="813">
        <v>8</v>
      </c>
      <c r="L68" s="848"/>
      <c r="M68" s="950" t="s">
        <v>647</v>
      </c>
      <c r="N68" s="812"/>
      <c r="O68" s="812"/>
      <c r="P68" s="917" t="s">
        <v>648</v>
      </c>
      <c r="Q68" s="937" t="str">
        <f>_xlfn.DISPIMG("ID_E0DB5B8A9AEC4C40AF33D88443253694",1)</f>
        <v>=DISPIMG("ID_E0DB5B8A9AEC4C40AF33D88443253694",1)</v>
      </c>
      <c r="R68" s="812" t="str">
        <f>_xlfn.DISPIMG("ID_50660AAA265A41749499C9B382D5A617",1)</f>
        <v>=DISPIMG("ID_50660AAA265A41749499C9B382D5A617",1)</v>
      </c>
      <c r="S68" s="806" t="str">
        <f>_xlfn.DISPIMG("ID_8BBDADBCF9B04E6FA8DAD22FB8E935BD",1)</f>
        <v>=DISPIMG("ID_8BBDADBCF9B04E6FA8DAD22FB8E935BD",1)</v>
      </c>
      <c r="T68" s="940"/>
    </row>
    <row r="69" s="806" customFormat="1" ht="131.15" spans="1:20">
      <c r="A69" s="947" t="s">
        <v>649</v>
      </c>
      <c r="B69" s="843" t="s">
        <v>650</v>
      </c>
      <c r="C69" s="873" t="str">
        <f>_xlfn.DISPIMG("ID_538AAC7817464E6AA436B94D24DB2E26",1)</f>
        <v>=DISPIMG("ID_538AAC7817464E6AA436B94D24DB2E26",1)</v>
      </c>
      <c r="D69" s="884">
        <f t="shared" si="10"/>
        <v>0.1408</v>
      </c>
      <c r="E69" s="845">
        <v>0.1</v>
      </c>
      <c r="F69" s="846">
        <f>16*11*4/5000</f>
        <v>0.1408</v>
      </c>
      <c r="G69" s="852" t="s">
        <v>651</v>
      </c>
      <c r="H69" s="848"/>
      <c r="I69" s="850">
        <f t="shared" si="11"/>
        <v>48</v>
      </c>
      <c r="J69" s="813">
        <v>45</v>
      </c>
      <c r="K69" s="813">
        <v>3</v>
      </c>
      <c r="L69" s="848"/>
      <c r="M69" s="951"/>
      <c r="N69" s="812"/>
      <c r="O69" s="812"/>
      <c r="P69" s="915" t="s">
        <v>652</v>
      </c>
      <c r="Q69" s="937"/>
      <c r="R69" s="812"/>
      <c r="S69" s="806"/>
      <c r="T69" s="940"/>
    </row>
    <row r="70" s="806" customFormat="1" ht="125" customHeight="1" spans="1:20">
      <c r="A70" s="948" t="s">
        <v>653</v>
      </c>
      <c r="B70" s="843" t="s">
        <v>1</v>
      </c>
      <c r="C70" s="810" t="str">
        <f>_xlfn.DISPIMG("ID_BDFF7536221F487BB1CBE2CCDC29ABE7",1)</f>
        <v>=DISPIMG("ID_BDFF7536221F487BB1CBE2CCDC29ABE7",1)</v>
      </c>
      <c r="D70" s="871">
        <f t="shared" si="10"/>
        <v>0.11</v>
      </c>
      <c r="E70" s="845">
        <v>0.06</v>
      </c>
      <c r="F70" s="846">
        <v>0.11</v>
      </c>
      <c r="G70" s="852" t="s">
        <v>654</v>
      </c>
      <c r="H70" s="852" t="s">
        <v>655</v>
      </c>
      <c r="I70" s="850">
        <f t="shared" si="11"/>
        <v>14</v>
      </c>
      <c r="J70" s="813">
        <v>8</v>
      </c>
      <c r="K70" s="813">
        <v>6</v>
      </c>
      <c r="L70" s="848"/>
      <c r="M70" s="914" t="s">
        <v>656</v>
      </c>
      <c r="N70" s="812"/>
      <c r="O70" s="812"/>
      <c r="P70" s="917" t="s">
        <v>657</v>
      </c>
      <c r="Q70" s="937"/>
      <c r="R70" s="812"/>
      <c r="T70" s="940"/>
    </row>
  </sheetData>
  <sheetProtection formatCells="0" formatColumns="0" formatRows="0" insertRows="0" insertColumns="0" insertHyperlinks="0" deleteColumns="0" deleteRows="0" sort="0" autoFilter="0" pivotTables="0"/>
  <autoFilter xmlns:etc="http://www.wps.cn/officeDocument/2017/etCustomData" ref="B1:B70" etc:filterBottomFollowUsedRange="1">
    <extLst/>
  </autoFilter>
  <mergeCells count="20">
    <mergeCell ref="A2:A3"/>
    <mergeCell ref="A30:A32"/>
    <mergeCell ref="A38:A39"/>
    <mergeCell ref="A47:A48"/>
    <mergeCell ref="B30:B32"/>
    <mergeCell ref="B47:B48"/>
    <mergeCell ref="C2:C3"/>
    <mergeCell ref="D30:D32"/>
    <mergeCell ref="E30:E32"/>
    <mergeCell ref="F30:F32"/>
    <mergeCell ref="G30:G32"/>
    <mergeCell ref="H30:H32"/>
    <mergeCell ref="I30:I32"/>
    <mergeCell ref="J30:J32"/>
    <mergeCell ref="K30:K32"/>
    <mergeCell ref="M2:M3"/>
    <mergeCell ref="P2:P3"/>
    <mergeCell ref="R2:R3"/>
    <mergeCell ref="S2:S3"/>
    <mergeCell ref="T2:T3"/>
  </mergeCells>
  <dataValidations count="1">
    <dataValidation type="list" allowBlank="1" showErrorMessage="1" errorTitle="错误提示" error="请输入下拉列表中的值" id="{f7943692-e9f4-4841-90d7-a345dd31dbda}" sqref="Q2:Q9 Q26:Q29 Q36:Q45 Q47:Q48 Q50:Q70">
      <formula1>"Thea Li,Louis Li,George Wong"</formula1>
    </dataValidation>
  </dataValidations>
  <hyperlinks>
    <hyperlink ref="P2" r:id="rId3" display="https://detail.1688.com/offer/667310265863.html?spm=a26352.b28411319.offerlist.16.1e291e62ZadNuJ"/>
    <hyperlink ref="M26" r:id="rId4" display="https://resilia.shop/collections/best-sellers/products/resilia%E2%84%A2-oil-of-oregano-softgels" tooltip="https://resilia.shop/collections/best-sellers/products/resilia%E2%84%A2-oil-of-oregano-softgels"/>
    <hyperlink ref="P26" r:id="rId5" display="https://detail.1688.com/offer/910982119982.html?spm=a26352.b28411319.offerlist.1.6b2d1e62zrDVua"/>
    <hyperlink ref="M27" r:id="rId6" display="https://cendura.de/products/safemag-auto-telefonhalterung-letzter-tag-rabatt?_pos=1&amp;_sid=8f51d7273&amp;_ss=r%3Fvariant%3D55375716974970&amp;variant=55375716974970"/>
    <hyperlink ref="P27" r:id="rId7" display="https://detail.1688.com/offer/879429116969.html?spm=a26352.b28411319.offerlist.214.6ac71e627r4aTM"/>
    <hyperlink ref="M36" r:id="rId8" display="https://lettucepets.com/products/pet-skin-treatment-spray-for-fungal-bacterial-infections?fbclid=IwY2xjawLPJKZleHRuA2FlbQIxMABicmlkETFJSU9yaTNBWEpjMkJpOXYxAR4shII-NJrs6eU9LWfVqSfPIsAB3IHewhA5WNMVKYeYQhsg0Q3816RR9wV9bw_aem_Nu3h6lEgB8GK2w8WlMLxrQ&amp;variant=51233243562268" tooltip="https://lettucepets.com/products/pet-skin-treatment-spray-for-fungal-bacterial-infections?fbclid=IwY2xjawLPJKZleHRuA2FlbQIxMABicmlkETFJSU9yaTNBWEpjMkJpOXYxAR4shII-NJrs6eU9LWfVqSfPIsAB3IHewhA5WNMVKYeYQhsg0Q3816RR9wV9bw_aem_Nu3h6lEgB8GK2w8WlMLxrQ&amp;variant=51"/>
    <hyperlink ref="P36" r:id="rId9" display="https://detail.1688.com/offer/940558935118.html?spm=a26352.b28411319.offerlist.1.6a001e620BDgLt"/>
    <hyperlink ref="M37" r:id="rId10" display="https://www.amazon.com/iShanCare-Neck-Pain-Relief-Patch/dp/B0BKL4NRMQ/ref=sims_dp_d_dex_ai_rank_model_feedback_d_v1_d_sccl_1_2/136-0509895-9428936?pd_rd_w=A2qmS&amp;content-id=amzn1.sym.5daa61ea-dedc-4cc4-b84a-9865d4f36e97&amp;pf_rd_p=5daa61ea-dedc-4cc4-b84a-9865d4f36e97&amp;pf_rd_r=CB9PPYGYQ1H0HQRB9ZJR&amp;pd_rd_wg=m4Buk&amp;pd_rd_r=ceb79ee7-5477-49d7-85aa-c32ec9c0073e&amp;pd_rd_i=B0BKL4NRMQ&amp;th=1" tooltip="https://www.amazon.com/iShanCare-Neck-Pain-Relief-Patch/dp/B0BKL4NRMQ/ref=sims_dp_d_dex_ai_rank_model_feedback_d_v1_d_sccl_1_2/136-0509895-9428936?pd_rd_w=A2qmS&amp;content-id=amzn1.sym.5daa61ea-dedc-4cc4-b84a-9865d4f36e97&amp;pf_rd_p=5daa61ea-dedc-4cc4-b84a-9865"/>
    <hyperlink ref="P37" r:id="rId11" display="https://detail.1688.com/offer/937927916764.html?spm=a26352.b28411319.offerlist.1.3da51e62IS8wCp" tooltip="https://detail.1688.com/offer/937927916764.html?spm=a26352.b28411319.offerlist.1.3da51e62IS8wCp"/>
    <hyperlink ref="M38" r:id="rId10" display="https://www.amazon.com/iShanCare-Neck-Pain-Relief-Patch/dp/B0BKL4NRMQ/ref=sims_dp_d_dex_ai_rank_model_feedback_d_v1_d_sccl_1_2/136-0509895-9428936?pd_rd_w=A2qmS&amp;content-id=amzn1.sym.5daa61ea-dedc-4cc4-b84a-9865d4f36e97&amp;pf_rd_p=5daa61ea-dedc-4cc4-b84a-9865d4f36e97&amp;pf_rd_r=CB9PPYGYQ1H0HQRB9ZJR&amp;pd_rd_wg=m4Buk&amp;pd_rd_r=ceb79ee7-5477-49d7-85aa-c32ec9c0073e&amp;pd_rd_i=B0BKL4NRMQ&amp;th=1" tooltip="https://www.amazon.com/iShanCare-Neck-Pain-Relief-Patch/dp/B0BKL4NRMQ/ref=sims_dp_d_dex_ai_rank_model_feedback_d_v1_d_sccl_1_2/136-0509895-9428936?pd_rd_w=A2qmS&amp;content-id=amzn1.sym.5daa61ea-dedc-4cc4-b84a-9865d4f36e97&amp;pf_rd_p=5daa61ea-dedc-4cc4-b84a-9865"/>
    <hyperlink ref="P38" r:id="rId11" display="https://detail.1688.com/offer/937927916764.html?spm=a26352.b28411319.offerlist.1.3da51e62IS8wCp" tooltip="https://detail.1688.com/offer/937927916764.html?spm=a26352.b28411319.offerlist.1.3da51e62IS8wCp"/>
    <hyperlink ref="M40" r:id="rId12" display="https://navanisupps.com/products/droplets" tooltip="https://navanisupps.com/products/droplets"/>
    <hyperlink ref="P40" r:id="rId13" display="https://detail.1688.com/offer/901924596865.html?spm=a26352.b28411319.offerlist.57.4ccb1e625tdpoO" tooltip="https://detail.1688.com/offer/901924596865.html?spm=a26352.b28411319.offerlist.57.4ccb1e625tdpoO"/>
    <hyperlink ref="M41" r:id="rId14" display="https://sofiakobenhavn.dk/products/sofia-midi-kjole?variant=51790068646155" tooltip="https://sofiakobenhavn.dk/products/sofia-midi-kjole?variant=51790068646155"/>
    <hyperlink ref="P41" r:id="rId15" display="https://detail.1688.com/offer/773653551668.html?spm=a26352.b28411319.offerlist.7.2e401e62WHncqZ" tooltip="https://detail.1688.com/offer/773653551668.html?spm=a26352.b28411319.offerlist.7.2e401e62WHncqZ"/>
    <hyperlink ref="M42" r:id="rId16" display="https://buylarine.com/products/larineco%E2%84%A2%EF%B8%8F-remineralizing-gum-copy" tooltip="https://buylarine.com/products/larineco%E2%84%A2%EF%B8%8F-remineralizing-gum-copy"/>
    <hyperlink ref="P42" r:id="rId17" display="https://detail.1688.com/offer/836079571684.html?spm=a262eq.8274978.im_chat_detail.pc_zdfw_v1" tooltip="https://detail.1688.com/offer/836079571684.html?spm=a262eq.8274978.im_chat_detail.pc_zdfw_v1"/>
    <hyperlink ref="M43" r:id="rId18" display="https://luminoteeth.com/products/bundle" tooltip="https://luminoteeth.com/products/bundle"/>
    <hyperlink ref="P43" r:id="rId19" display="https://detail.1688.com/offer/937488344684.html?spm=a26352.b28411319.offerlist.1.6def1e62XODgUF"/>
    <hyperlink ref="M44" r:id="rId20" display="https://shopellox.com/products/portable-nebulizer?variant=46313676800166" tooltip="https://shopellox.com/products/portable-nebulizer?variant=46313676800166"/>
    <hyperlink ref="P44" r:id="rId21" display="https://detail.1688.com/offer/735561815074.html?spm=a26352.b28411319.offerlist.11.37ab1e62MooZsH" tooltip="https://detail.1688.com/offer/735561815074.html?spm=a26352.b28411319.offerlist.11.37ab1e62MooZsH"/>
    <hyperlink ref="Q44" r:id="rId22" display="https://detail.1688.com/offer/714870842310.html?spm=a26352.b28411319.offerlist.59.37ab1e62MooZsH" tooltip="https://detail.1688.com/offer/714870842310.html?spm=a26352.b28411319.offerlist.59.37ab1e62MooZsH"/>
    <hyperlink ref="P45" r:id="rId23" display="https://detail.1688.com/offer/889124523217.html?spm=a26352.b28411319.offerlist.6.31bb1e62PK4Os4" tooltip="https://detail.1688.com/offer/889124523217.html?spm=a26352.b28411319.offerlist.6.31bb1e62PK4Os4"/>
    <hyperlink ref="M46" r:id="rId10" display="https://www.amazon.com/iShanCare-Neck-Pain-Relief-Patch/dp/B0BKL4NRMQ/ref=sims_dp_d_dex_ai_rank_model_feedback_d_v1_d_sccl_1_2/136-0509895-9428936?pd_rd_w=A2qmS&amp;content-id=amzn1.sym.5daa61ea-dedc-4cc4-b84a-9865d4f36e97&amp;pf_rd_p=5daa61ea-dedc-4cc4-b84a-9865d4f36e97&amp;pf_rd_r=CB9PPYGYQ1H0HQRB9ZJR&amp;pd_rd_wg=m4Buk&amp;pd_rd_r=ceb79ee7-5477-49d7-85aa-c32ec9c0073e&amp;pd_rd_i=B0BKL4NRMQ&amp;th=1" tooltip="https://www.amazon.com/iShanCare-Neck-Pain-Relief-Patch/dp/B0BKL4NRMQ/ref=sims_dp_d_dex_ai_rank_model_feedback_d_v1_d_sccl_1_2/136-0509895-9428936?pd_rd_w=A2qmS&amp;content-id=amzn1.sym.5daa61ea-dedc-4cc4-b84a-9865d4f36e97&amp;pf_rd_p=5daa61ea-dedc-4cc4-b84a-9865"/>
    <hyperlink ref="P46" r:id="rId24" display="https://detail.1688.com/offer/784675028700.html?spm=a26352.28064800.offerlist.2.3c751e62aifkyc&amp;cosite=baidujj_pz&amp;tracelog=p4p&amp;_p_isad=1&amp;clickid=5221096e5ce7436486ae3c7d08a7e351&amp;sessionid=0553a9ede33dd86d6bca5c03b60c2bac"/>
    <hyperlink ref="M47" r:id="rId10" display="https://www.amazon.com/iShanCare-Neck-Pain-Relief-Patch/dp/B0BKL4NRMQ/ref=sims_dp_d_dex_ai_rank_model_feedback_d_v1_d_sccl_1_2/136-0509895-9428936?pd_rd_w=A2qmS&amp;content-id=amzn1.sym.5daa61ea-dedc-4cc4-b84a-9865d4f36e97&amp;pf_rd_p=5daa61ea-dedc-4cc4-b84a-9865d4f36e97&amp;pf_rd_r=CB9PPYGYQ1H0HQRB9ZJR&amp;pd_rd_wg=m4Buk&amp;pd_rd_r=ceb79ee7-5477-49d7-85aa-c32ec9c0073e&amp;pd_rd_i=B0BKL4NRMQ&amp;th=1" tooltip="https://www.amazon.com/iShanCare-Neck-Pain-Relief-Patch/dp/B0BKL4NRMQ/ref=sims_dp_d_dex_ai_rank_model_feedback_d_v1_d_sccl_1_2/136-0509895-9428936?pd_rd_w=A2qmS&amp;content-id=amzn1.sym.5daa61ea-dedc-4cc4-b84a-9865d4f36e97&amp;pf_rd_p=5daa61ea-dedc-4cc4-b84a-9865"/>
    <hyperlink ref="P47" r:id="rId24" display="https://detail.1688.com/offer/784675028700.html?spm=a26352.28064800.offerlist.2.3c751e62aifkyc&amp;cosite=baidujj_pz&amp;tracelog=p4p&amp;_p_isad=1&amp;clickid=5221096e5ce7436486ae3c7d08a7e351&amp;sessionid=0553a9ede33dd86d6bca5c03b60c2bac"/>
    <hyperlink ref="M50" r:id="rId25" display="https://www.alibaba.com/product-detail/Kangmao-OEM-Private-Label-Vegan-Supplements_1601149654630.html?spm=a2700.galleryofferlist.normal_offer.d_image.468413a0BaKGVe" tooltip="https://www.alibaba.com/product-detail/Kangmao-OEM-Private-Label-Vegan-Supplements_1601149654630.html?spm=a2700.galleryofferlist.normal_offer.d_image.468413a0BaKGVe"/>
    <hyperlink ref="M51" r:id="rId26" display="https://www.alibaba.com/product-detail/Sea-Moss-Black-Seed-Oil-Ashwagandha_1601338096781.html?spm=a2700.galleryofferlist.normal_offer.d_image.2f2513a0BNBPUc" tooltip="https://www.alibaba.com/product-detail/Sea-Moss-Black-Seed-Oil-Ashwagandha_1601338096781.html?spm=a2700.galleryofferlist.normal_offer.d_image.2f2513a0BNBPUc"/>
    <hyperlink ref="M52" r:id="rId27" display="https://www.alibaba.com/product-detail/Manufacturer-OEM-apple-Cider-Vinegar-Slimming_1601242189552.html?spm=a2700.galleryofferlist.normal_offer.d_image.177f13a01ylBFX" tooltip="https://www.alibaba.com/product-detail/Manufacturer-OEM-apple-Cider-Vinegar-Slimming_1601242189552.html?spm=a2700.galleryofferlist.normal_offer.d_image.177f13a01ylBFX"/>
    <hyperlink ref="P51" r:id="rId28" display="https://detail.1688.com/offer/927985422229.html?spm=a26352.b28411319.offerlist.7.423b1e627oNdbV"/>
    <hyperlink ref="P50" r:id="rId29" display="https://detail.1688.com/offer/913290493193.html?spm=a26352.b28411319.offerlist.5.7e6c1e62jRJITo" tooltip="https://detail.1688.com/offer/913290493193.html?spm=a26352.b28411319.offerlist.5.7e6c1e62jRJITo"/>
    <hyperlink ref="P52" r:id="rId30" display="https://detail.1688.com/offer/675776595713.html?spm=a262eq.8274978.im_chat_detail.pc_zdfw_v1" tooltip="https://detail.1688.com/offer/675776595713.html?spm=a262eq.8274978.im_chat_detail.pc_zdfw_v1"/>
    <hyperlink ref="M53" r:id="rId8" display="https://lettucepets.com/products/pet-skin-treatment-spray-for-fungal-bacterial-infections?fbclid=IwY2xjawLPJKZleHRuA2FlbQIxMABicmlkETFJSU9yaTNBWEpjMkJpOXYxAR4shII-NJrs6eU9LWfVqSfPIsAB3IHewhA5WNMVKYeYQhsg0Q3816RR9wV9bw_aem_Nu3h6lEgB8GK2w8WlMLxrQ&amp;variant=51233243562268" tooltip="https://lettucepets.com/products/pet-skin-treatment-spray-for-fungal-bacterial-infections?fbclid=IwY2xjawLPJKZleHRuA2FlbQIxMABicmlkETFJSU9yaTNBWEpjMkJpOXYxAR4shII-NJrs6eU9LWfVqSfPIsAB3IHewhA5WNMVKYeYQhsg0Q3816RR9wV9bw_aem_Nu3h6lEgB8GK2w8WlMLxrQ&amp;variant=51"/>
    <hyperlink ref="P53" r:id="rId9" display="https://detail.1688.com/offer/940558935118.html?spm=a26352.b28411319.offerlist.1.6a001e620BDgLt"/>
    <hyperlink ref="P54" r:id="rId31" display="https://detail.1688.com/offer/918240739048.html?spm=a26352.b28411319.offerlist.1.aa0e1e62scZKa7" tooltip="https://detail.1688.com/offer/918240739048.html?spm=a26352.b28411319.offerlist.1.aa0e1e62scZKa7"/>
    <hyperlink ref="M54" r:id="rId32" display="https://lettucepets.com/products/waterproof-chemical-free-tick-repellent-tag?variant=52225679393052" tooltip="https://lettucepets.com/products/waterproof-chemical-free-tick-repellent-tag?variant=52225679393052"/>
    <hyperlink ref="M55" r:id="rId32" display="https://lettucepets.com/products/waterproof-chemical-free-tick-repellent-tag?variant=52225679393052" tooltip="https://lettucepets.com/products/waterproof-chemical-free-tick-repellent-tag?variant=52225679393052"/>
    <hyperlink ref="P55" r:id="rId33" display="https://detail.1688.com/offer/932694172151.html?spm=a26352.b28411319.offerlist.11.9e781e62pZe3it" tooltip="https://detail.1688.com/offer/932694172151.html?spm=a26352.b28411319.offerlist.11.9e781e62pZe3it"/>
    <hyperlink ref="M57" r:id="rId8" display="https://lettucepets.com/products/pet-skin-treatment-spray-for-fungal-bacterial-infections?fbclid=IwY2xjawLPJKZleHRuA2FlbQIxMABicmlkETFJSU9yaTNBWEpjMkJpOXYxAR4shII-NJrs6eU9LWfVqSfPIsAB3IHewhA5WNMVKYeYQhsg0Q3816RR9wV9bw_aem_Nu3h6lEgB8GK2w8WlMLxrQ&amp;variant=51233243562268" tooltip="https://lettucepets.com/products/pet-skin-treatment-spray-for-fungal-bacterial-infections?fbclid=IwY2xjawLPJKZleHRuA2FlbQIxMABicmlkETFJSU9yaTNBWEpjMkJpOXYxAR4shII-NJrs6eU9LWfVqSfPIsAB3IHewhA5WNMVKYeYQhsg0Q3816RR9wV9bw_aem_Nu3h6lEgB8GK2w8WlMLxrQ&amp;variant=51"/>
    <hyperlink ref="P57" r:id="rId9" display="https://detail.1688.com/offer/940558935118.html?spm=a26352.b28411319.offerlist.1.6a001e620BDgLt"/>
    <hyperlink ref="M58" r:id="rId8" display="https://lettucepets.com/products/pet-skin-treatment-spray-for-fungal-bacterial-infections?fbclid=IwY2xjawLPJKZleHRuA2FlbQIxMABicmlkETFJSU9yaTNBWEpjMkJpOXYxAR4shII-NJrs6eU9LWfVqSfPIsAB3IHewhA5WNMVKYeYQhsg0Q3816RR9wV9bw_aem_Nu3h6lEgB8GK2w8WlMLxrQ&amp;variant=51233243562268" tooltip="https://lettucepets.com/products/pet-skin-treatment-spray-for-fungal-bacterial-infections?fbclid=IwY2xjawLPJKZleHRuA2FlbQIxMABicmlkETFJSU9yaTNBWEpjMkJpOXYxAR4shII-NJrs6eU9LWfVqSfPIsAB3IHewhA5WNMVKYeYQhsg0Q3816RR9wV9bw_aem_Nu3h6lEgB8GK2w8WlMLxrQ&amp;variant=51"/>
    <hyperlink ref="P58" r:id="rId9" display="https://detail.1688.com/offer/940558935118.html?spm=a26352.b28411319.offerlist.1.6a001e620BDgLt"/>
    <hyperlink ref="P56" r:id="rId34" display="https://detail.1688.com/offer/931244039185.html" tooltip="https://detail.1688.com/offer/931244039185.html"/>
    <hyperlink ref="P59" r:id="rId35" display="https://detail.1688.com/offer/899875437113.html?spm=a26352.b28411319.offerlist.1.3c861e622Pyivy"/>
    <hyperlink ref="Q64" r:id="rId36" display="https://detail.1688.com/offer/843271744153.html?spm=a26352.b28411319.offerlist.6.47681e623mtfjC" tooltip="https://detail.1688.com/offer/843271744153.html?spm=a26352.b28411319.offerlist.6.47681e623mtfjC"/>
    <hyperlink ref="P65" r:id="rId37" display="https://detail.1688.com/offer/943414252843.html"/>
    <hyperlink ref="M66" r:id="rId38" display="https://try-nova.de/products/velostep?variant=52100624089421" tooltip="https://try-nova.de/products/velostep?variant=52100624089421"/>
    <hyperlink ref="P66" r:id="rId39" display="https://detail.1688.com/offer/820489605443.html?spm=a26352.b28411319.offerlist.1.3be81e62ZNlZwd" tooltip="https://detail.1688.com/offer/820489605443.html?spm=a26352.b28411319.offerlist.1.3be81e62ZNlZwd"/>
    <hyperlink ref="P67" r:id="rId40" display="https://detail.1688.com/offer/899842547767.html?spm=a26352.b28411319.offerlist.12.68791e62irjsFT" tooltip="https://detail.1688.com/offer/899842547767.html?spm=a26352.b28411319.offerlist.12.68791e62irjsFT"/>
    <hyperlink ref="P69" r:id="rId41" display="https://detail.1688.com/offer/925284637144.html?spm=a26352.b28411319.offerlist.120.753b1e62tTEt5h" tooltip="https://detail.1688.com/offer/925284637144.html?spm=a26352.b28411319.offerlist.120.753b1e62tTEt5h"/>
    <hyperlink ref="M68" r:id="rId42" display="https://lorano-firenze.com/collections/sandali-eleganti/products/sophie-sandali-eleganti" tooltip="https://lorano-firenze.com/collections/sandali-eleganti/products/sophie-sandali-eleganti"/>
    <hyperlink ref="P68" r:id="rId43" display="https://detail.1688.com/offer/772677466543.html?spm=a26352.b28411319.offerlist.7.63db1e62fpP9aQ" tooltip="https://detail.1688.com/offer/772677466543.html?spm=a26352.b28411319.offerlist.7.63db1e62fpP9aQ"/>
    <hyperlink ref="M70" r:id="rId44" display="https://cendura.de/products/gleam1?variant=55362353299834" tooltip="https://cendura.de/products/gleam1?variant=55362353299834"/>
    <hyperlink ref="P70" r:id="rId45" display="https://detail.1688.com/offer/891013940553.html?spm=a26352.b28411319.offerlist.6.34a71e62suWeyE" tooltip="https://detail.1688.com/offer/891013940553.html?spm=a26352.b28411319.offerlist.6.34a71e62suWeyE"/>
  </hyperlink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92"/>
  <sheetViews>
    <sheetView workbookViewId="0">
      <selection activeCell="G3" sqref="G3:H92"/>
    </sheetView>
  </sheetViews>
  <sheetFormatPr defaultColWidth="9" defaultRowHeight="13.5"/>
  <sheetData>
    <row r="1" ht="73.5" customHeight="1" spans="2:15">
      <c r="B1" s="5"/>
      <c r="C1" s="5"/>
      <c r="D1" s="5"/>
      <c r="E1" s="5"/>
      <c r="F1" s="6" t="s">
        <v>658</v>
      </c>
      <c r="G1" s="6"/>
      <c r="H1" s="6"/>
      <c r="I1" s="6"/>
      <c r="J1" s="6"/>
      <c r="K1" s="6"/>
      <c r="L1" s="6"/>
      <c r="M1" s="6"/>
      <c r="N1" s="28" t="s">
        <v>659</v>
      </c>
      <c r="O1" s="13" t="s">
        <v>660</v>
      </c>
    </row>
    <row r="2" ht="16.5" spans="2:15">
      <c r="B2" s="803" t="s">
        <v>661</v>
      </c>
      <c r="C2" s="8"/>
      <c r="D2" s="8"/>
      <c r="E2" s="8"/>
      <c r="F2" s="9" t="s">
        <v>662</v>
      </c>
      <c r="G2" s="9"/>
      <c r="H2" s="9"/>
      <c r="I2" s="9"/>
      <c r="J2" s="9"/>
      <c r="K2" s="14" t="s">
        <v>663</v>
      </c>
      <c r="L2" s="15" t="s">
        <v>664</v>
      </c>
      <c r="M2" s="14" t="s">
        <v>665</v>
      </c>
      <c r="N2" s="17" t="s">
        <v>666</v>
      </c>
      <c r="O2" s="18"/>
    </row>
    <row r="3" ht="49.5" customHeight="1" spans="2:15">
      <c r="B3" s="10" t="s">
        <v>78</v>
      </c>
      <c r="C3" s="10" t="s">
        <v>79</v>
      </c>
      <c r="D3" s="10"/>
      <c r="E3" s="10"/>
      <c r="F3" s="10" t="s">
        <v>667</v>
      </c>
      <c r="G3" s="11">
        <v>0.05</v>
      </c>
      <c r="H3" s="11">
        <v>0.3</v>
      </c>
      <c r="I3" s="10"/>
      <c r="J3" s="10"/>
      <c r="K3" s="10">
        <v>113</v>
      </c>
      <c r="L3" s="10">
        <v>29</v>
      </c>
      <c r="M3" s="23" t="s">
        <v>668</v>
      </c>
      <c r="N3" s="21" t="s">
        <v>669</v>
      </c>
      <c r="O3" s="22"/>
    </row>
    <row r="4" ht="16.5" spans="2:15">
      <c r="B4" s="10" t="s">
        <v>78</v>
      </c>
      <c r="C4" s="10" t="s">
        <v>79</v>
      </c>
      <c r="D4" s="10"/>
      <c r="E4" s="10"/>
      <c r="F4" s="10" t="s">
        <v>670</v>
      </c>
      <c r="G4" s="11">
        <v>0.3</v>
      </c>
      <c r="H4" s="11">
        <v>0.75</v>
      </c>
      <c r="I4" s="10"/>
      <c r="J4" s="10"/>
      <c r="K4" s="10">
        <v>113</v>
      </c>
      <c r="L4" s="10">
        <v>29</v>
      </c>
      <c r="M4" s="23"/>
      <c r="N4" s="21"/>
      <c r="O4" s="22"/>
    </row>
    <row r="5" ht="16.5" spans="2:15">
      <c r="B5" s="10" t="s">
        <v>78</v>
      </c>
      <c r="C5" s="10" t="s">
        <v>79</v>
      </c>
      <c r="D5" s="10"/>
      <c r="E5" s="10"/>
      <c r="F5" s="10" t="s">
        <v>671</v>
      </c>
      <c r="G5" s="11">
        <v>0.75</v>
      </c>
      <c r="H5" s="11">
        <v>1</v>
      </c>
      <c r="I5" s="10"/>
      <c r="J5" s="10"/>
      <c r="K5" s="10">
        <v>113</v>
      </c>
      <c r="L5" s="10">
        <v>29</v>
      </c>
      <c r="M5" s="23"/>
      <c r="N5" s="21"/>
      <c r="O5" s="22"/>
    </row>
    <row r="6" ht="16.5" spans="2:15">
      <c r="B6" s="10" t="s">
        <v>78</v>
      </c>
      <c r="C6" s="10" t="s">
        <v>79</v>
      </c>
      <c r="D6" s="10"/>
      <c r="E6" s="10"/>
      <c r="F6" s="10" t="s">
        <v>672</v>
      </c>
      <c r="G6" s="11">
        <v>1</v>
      </c>
      <c r="H6" s="11">
        <v>1.5</v>
      </c>
      <c r="I6" s="10"/>
      <c r="J6" s="10"/>
      <c r="K6" s="10">
        <v>113</v>
      </c>
      <c r="L6" s="10">
        <v>29</v>
      </c>
      <c r="M6" s="23"/>
      <c r="N6" s="21"/>
      <c r="O6" s="22"/>
    </row>
    <row r="7" ht="16.5" spans="2:15">
      <c r="B7" s="10" t="s">
        <v>78</v>
      </c>
      <c r="C7" s="10" t="s">
        <v>79</v>
      </c>
      <c r="D7" s="10"/>
      <c r="E7" s="10"/>
      <c r="F7" s="10" t="s">
        <v>673</v>
      </c>
      <c r="G7" s="11">
        <v>1.5</v>
      </c>
      <c r="H7" s="11">
        <v>2</v>
      </c>
      <c r="I7" s="10"/>
      <c r="J7" s="10"/>
      <c r="K7" s="10">
        <v>109</v>
      </c>
      <c r="L7" s="10">
        <v>29</v>
      </c>
      <c r="M7" s="23"/>
      <c r="N7" s="21"/>
      <c r="O7" s="22"/>
    </row>
    <row r="8" ht="16.5" spans="2:15">
      <c r="B8" s="10" t="s">
        <v>78</v>
      </c>
      <c r="C8" s="10" t="s">
        <v>79</v>
      </c>
      <c r="D8" s="10"/>
      <c r="E8" s="10"/>
      <c r="F8" s="10" t="s">
        <v>674</v>
      </c>
      <c r="G8" s="11">
        <v>2</v>
      </c>
      <c r="H8" s="11">
        <v>15</v>
      </c>
      <c r="I8" s="10"/>
      <c r="J8" s="10"/>
      <c r="K8" s="10">
        <v>109</v>
      </c>
      <c r="L8" s="10">
        <v>29</v>
      </c>
      <c r="M8" s="23"/>
      <c r="N8" s="21"/>
      <c r="O8" s="22"/>
    </row>
    <row r="9" ht="82.5" customHeight="1" spans="2:15">
      <c r="B9" s="10" t="s">
        <v>26</v>
      </c>
      <c r="C9" s="10" t="s">
        <v>27</v>
      </c>
      <c r="D9" s="10"/>
      <c r="E9" s="10"/>
      <c r="F9" s="10" t="s">
        <v>675</v>
      </c>
      <c r="G9" s="11">
        <v>0.01</v>
      </c>
      <c r="H9" s="11">
        <v>1</v>
      </c>
      <c r="I9" s="10"/>
      <c r="J9" s="10"/>
      <c r="K9" s="10">
        <v>112</v>
      </c>
      <c r="L9" s="10">
        <v>17</v>
      </c>
      <c r="M9" s="23" t="s">
        <v>676</v>
      </c>
      <c r="N9" s="21" t="s">
        <v>677</v>
      </c>
      <c r="O9" s="22"/>
    </row>
    <row r="10" ht="16.5" spans="2:15">
      <c r="B10" s="10" t="s">
        <v>26</v>
      </c>
      <c r="C10" s="10" t="s">
        <v>27</v>
      </c>
      <c r="D10" s="10"/>
      <c r="E10" s="10"/>
      <c r="F10" s="10" t="s">
        <v>678</v>
      </c>
      <c r="G10" s="11">
        <v>1</v>
      </c>
      <c r="H10" s="11">
        <v>2</v>
      </c>
      <c r="I10" s="10"/>
      <c r="J10" s="10"/>
      <c r="K10" s="10">
        <v>103</v>
      </c>
      <c r="L10" s="10">
        <v>17</v>
      </c>
      <c r="M10" s="23"/>
      <c r="N10" s="21"/>
      <c r="O10" s="804" t="s">
        <v>679</v>
      </c>
    </row>
    <row r="11" ht="16.5" spans="2:15">
      <c r="B11" s="10" t="s">
        <v>26</v>
      </c>
      <c r="C11" s="10" t="s">
        <v>27</v>
      </c>
      <c r="D11" s="10"/>
      <c r="E11" s="10"/>
      <c r="F11" s="10" t="s">
        <v>680</v>
      </c>
      <c r="G11" s="11">
        <v>2</v>
      </c>
      <c r="H11" s="11">
        <v>10</v>
      </c>
      <c r="I11" s="10"/>
      <c r="J11" s="10"/>
      <c r="K11" s="10">
        <v>103</v>
      </c>
      <c r="L11" s="10">
        <v>17</v>
      </c>
      <c r="M11" s="23"/>
      <c r="N11" s="21"/>
      <c r="O11" s="22"/>
    </row>
    <row r="12" ht="280.5" customHeight="1" spans="2:15">
      <c r="B12" s="10" t="s">
        <v>72</v>
      </c>
      <c r="C12" s="10" t="s">
        <v>73</v>
      </c>
      <c r="D12" s="10"/>
      <c r="E12" s="10"/>
      <c r="F12" s="10" t="s">
        <v>675</v>
      </c>
      <c r="G12" s="11">
        <v>0.01</v>
      </c>
      <c r="H12" s="11">
        <v>1</v>
      </c>
      <c r="I12" s="10"/>
      <c r="J12" s="10"/>
      <c r="K12" s="19">
        <v>102</v>
      </c>
      <c r="L12" s="10">
        <v>24</v>
      </c>
      <c r="M12" s="23" t="s">
        <v>681</v>
      </c>
      <c r="N12" s="21" t="s">
        <v>682</v>
      </c>
      <c r="O12" s="22"/>
    </row>
    <row r="13" ht="16.5" spans="2:15">
      <c r="B13" s="10" t="s">
        <v>72</v>
      </c>
      <c r="C13" s="10" t="s">
        <v>73</v>
      </c>
      <c r="D13" s="10"/>
      <c r="E13" s="10"/>
      <c r="F13" s="10" t="s">
        <v>678</v>
      </c>
      <c r="G13" s="11">
        <v>1</v>
      </c>
      <c r="H13" s="11">
        <v>2</v>
      </c>
      <c r="I13" s="10"/>
      <c r="J13" s="10"/>
      <c r="K13" s="19">
        <v>102</v>
      </c>
      <c r="L13" s="10">
        <v>24</v>
      </c>
      <c r="M13" s="23"/>
      <c r="N13" s="21"/>
      <c r="O13" s="22"/>
    </row>
    <row r="14" ht="16.5" spans="2:15">
      <c r="B14" s="10" t="s">
        <v>72</v>
      </c>
      <c r="C14" s="10" t="s">
        <v>73</v>
      </c>
      <c r="D14" s="10"/>
      <c r="E14" s="10"/>
      <c r="F14" s="10" t="s">
        <v>680</v>
      </c>
      <c r="G14" s="11">
        <v>2</v>
      </c>
      <c r="H14" s="11">
        <v>10</v>
      </c>
      <c r="I14" s="10"/>
      <c r="J14" s="10"/>
      <c r="K14" s="19">
        <v>102</v>
      </c>
      <c r="L14" s="10">
        <v>24</v>
      </c>
      <c r="M14" s="23"/>
      <c r="N14" s="21"/>
      <c r="O14" s="22"/>
    </row>
    <row r="15" ht="99" customHeight="1" spans="2:15">
      <c r="B15" s="10" t="s">
        <v>28</v>
      </c>
      <c r="C15" s="10" t="s">
        <v>29</v>
      </c>
      <c r="D15" s="10"/>
      <c r="E15" s="10"/>
      <c r="F15" s="10" t="s">
        <v>675</v>
      </c>
      <c r="G15" s="11">
        <v>0.01</v>
      </c>
      <c r="H15" s="11">
        <v>1</v>
      </c>
      <c r="I15" s="10"/>
      <c r="J15" s="10"/>
      <c r="K15" s="19">
        <v>110</v>
      </c>
      <c r="L15" s="10">
        <v>31</v>
      </c>
      <c r="M15" s="23" t="s">
        <v>683</v>
      </c>
      <c r="N15" s="21" t="s">
        <v>682</v>
      </c>
      <c r="O15" s="22"/>
    </row>
    <row r="16" ht="16.5" spans="2:15">
      <c r="B16" s="10" t="s">
        <v>28</v>
      </c>
      <c r="C16" s="10" t="s">
        <v>29</v>
      </c>
      <c r="D16" s="10"/>
      <c r="E16" s="10"/>
      <c r="F16" s="10" t="s">
        <v>678</v>
      </c>
      <c r="G16" s="11">
        <v>1</v>
      </c>
      <c r="H16" s="11">
        <v>2</v>
      </c>
      <c r="I16" s="10"/>
      <c r="J16" s="10"/>
      <c r="K16" s="19">
        <v>110</v>
      </c>
      <c r="L16" s="10">
        <v>31</v>
      </c>
      <c r="M16" s="23"/>
      <c r="N16" s="21"/>
      <c r="O16" s="22"/>
    </row>
    <row r="17" ht="16.5" spans="2:15">
      <c r="B17" s="10" t="s">
        <v>28</v>
      </c>
      <c r="C17" s="10" t="s">
        <v>29</v>
      </c>
      <c r="D17" s="10"/>
      <c r="E17" s="10"/>
      <c r="F17" s="10" t="s">
        <v>680</v>
      </c>
      <c r="G17" s="11">
        <v>2</v>
      </c>
      <c r="H17" s="11">
        <v>10</v>
      </c>
      <c r="I17" s="10"/>
      <c r="J17" s="10"/>
      <c r="K17" s="19">
        <v>110</v>
      </c>
      <c r="L17" s="10">
        <v>31</v>
      </c>
      <c r="M17" s="23"/>
      <c r="N17" s="21"/>
      <c r="O17" s="22"/>
    </row>
    <row r="18" ht="99" customHeight="1" spans="2:15">
      <c r="B18" s="10" t="s">
        <v>32</v>
      </c>
      <c r="C18" s="10" t="s">
        <v>33</v>
      </c>
      <c r="D18" s="10"/>
      <c r="E18" s="10"/>
      <c r="F18" s="10" t="s">
        <v>675</v>
      </c>
      <c r="G18" s="11">
        <v>0.01</v>
      </c>
      <c r="H18" s="11">
        <v>1</v>
      </c>
      <c r="I18" s="10"/>
      <c r="J18" s="10"/>
      <c r="K18" s="19">
        <v>123</v>
      </c>
      <c r="L18" s="10">
        <v>34</v>
      </c>
      <c r="M18" s="23" t="s">
        <v>683</v>
      </c>
      <c r="N18" s="21" t="s">
        <v>682</v>
      </c>
      <c r="O18" s="22"/>
    </row>
    <row r="19" ht="16.5" spans="2:15">
      <c r="B19" s="10" t="s">
        <v>32</v>
      </c>
      <c r="C19" s="10" t="s">
        <v>33</v>
      </c>
      <c r="D19" s="10"/>
      <c r="E19" s="10"/>
      <c r="F19" s="10" t="s">
        <v>678</v>
      </c>
      <c r="G19" s="11">
        <v>1</v>
      </c>
      <c r="H19" s="11">
        <v>2</v>
      </c>
      <c r="I19" s="10"/>
      <c r="J19" s="10"/>
      <c r="K19" s="19">
        <v>123</v>
      </c>
      <c r="L19" s="10">
        <v>34</v>
      </c>
      <c r="M19" s="23"/>
      <c r="N19" s="21"/>
      <c r="O19" s="22"/>
    </row>
    <row r="20" ht="16.5" spans="2:15">
      <c r="B20" s="10" t="s">
        <v>32</v>
      </c>
      <c r="C20" s="10" t="s">
        <v>33</v>
      </c>
      <c r="D20" s="10"/>
      <c r="E20" s="10"/>
      <c r="F20" s="10" t="s">
        <v>680</v>
      </c>
      <c r="G20" s="11">
        <v>2</v>
      </c>
      <c r="H20" s="11">
        <v>10</v>
      </c>
      <c r="I20" s="10"/>
      <c r="J20" s="10"/>
      <c r="K20" s="19">
        <v>123</v>
      </c>
      <c r="L20" s="10">
        <v>34</v>
      </c>
      <c r="M20" s="23"/>
      <c r="N20" s="21"/>
      <c r="O20" s="22"/>
    </row>
    <row r="21" ht="99" customHeight="1" spans="2:15">
      <c r="B21" s="10" t="s">
        <v>34</v>
      </c>
      <c r="C21" s="10" t="s">
        <v>35</v>
      </c>
      <c r="D21" s="10"/>
      <c r="E21" s="10"/>
      <c r="F21" s="10" t="s">
        <v>675</v>
      </c>
      <c r="G21" s="11">
        <v>0.01</v>
      </c>
      <c r="H21" s="11">
        <v>1</v>
      </c>
      <c r="I21" s="10"/>
      <c r="J21" s="10"/>
      <c r="K21" s="19">
        <v>121</v>
      </c>
      <c r="L21" s="10">
        <v>27</v>
      </c>
      <c r="M21" s="23" t="s">
        <v>683</v>
      </c>
      <c r="N21" s="21" t="s">
        <v>682</v>
      </c>
      <c r="O21" s="22"/>
    </row>
    <row r="22" ht="16.5" spans="2:15">
      <c r="B22" s="10" t="s">
        <v>34</v>
      </c>
      <c r="C22" s="10" t="s">
        <v>35</v>
      </c>
      <c r="D22" s="10"/>
      <c r="E22" s="10"/>
      <c r="F22" s="10" t="s">
        <v>678</v>
      </c>
      <c r="G22" s="11">
        <v>1</v>
      </c>
      <c r="H22" s="11">
        <v>2</v>
      </c>
      <c r="I22" s="10"/>
      <c r="J22" s="10"/>
      <c r="K22" s="19">
        <v>121</v>
      </c>
      <c r="L22" s="10">
        <v>27</v>
      </c>
      <c r="M22" s="23"/>
      <c r="N22" s="21"/>
      <c r="O22" s="22"/>
    </row>
    <row r="23" ht="16.5" spans="2:15">
      <c r="B23" s="10" t="s">
        <v>34</v>
      </c>
      <c r="C23" s="10" t="s">
        <v>35</v>
      </c>
      <c r="D23" s="10"/>
      <c r="E23" s="10"/>
      <c r="F23" s="10" t="s">
        <v>680</v>
      </c>
      <c r="G23" s="11">
        <v>2</v>
      </c>
      <c r="H23" s="11">
        <v>10</v>
      </c>
      <c r="I23" s="10"/>
      <c r="J23" s="10"/>
      <c r="K23" s="19">
        <v>121</v>
      </c>
      <c r="L23" s="10">
        <v>27</v>
      </c>
      <c r="M23" s="23"/>
      <c r="N23" s="21"/>
      <c r="O23" s="22"/>
    </row>
    <row r="24" ht="99" customHeight="1" spans="2:15">
      <c r="B24" s="10" t="s">
        <v>62</v>
      </c>
      <c r="C24" s="10" t="s">
        <v>63</v>
      </c>
      <c r="D24" s="10"/>
      <c r="E24" s="10"/>
      <c r="F24" s="10" t="s">
        <v>675</v>
      </c>
      <c r="G24" s="11">
        <v>0.01</v>
      </c>
      <c r="H24" s="11">
        <v>1</v>
      </c>
      <c r="I24" s="10"/>
      <c r="J24" s="10"/>
      <c r="K24" s="10">
        <v>126</v>
      </c>
      <c r="L24" s="10">
        <v>27</v>
      </c>
      <c r="M24" s="23" t="s">
        <v>683</v>
      </c>
      <c r="N24" s="21" t="s">
        <v>682</v>
      </c>
      <c r="O24" s="22"/>
    </row>
    <row r="25" ht="16.5" spans="2:15">
      <c r="B25" s="10" t="s">
        <v>62</v>
      </c>
      <c r="C25" s="10" t="s">
        <v>63</v>
      </c>
      <c r="D25" s="10"/>
      <c r="E25" s="10"/>
      <c r="F25" s="10" t="s">
        <v>678</v>
      </c>
      <c r="G25" s="11">
        <v>1</v>
      </c>
      <c r="H25" s="11">
        <v>2</v>
      </c>
      <c r="I25" s="10"/>
      <c r="J25" s="10"/>
      <c r="K25" s="10">
        <v>126</v>
      </c>
      <c r="L25" s="10">
        <v>27</v>
      </c>
      <c r="M25" s="23"/>
      <c r="N25" s="21"/>
      <c r="O25" s="22"/>
    </row>
    <row r="26" ht="16.5" spans="2:15">
      <c r="B26" s="10" t="s">
        <v>62</v>
      </c>
      <c r="C26" s="10" t="s">
        <v>63</v>
      </c>
      <c r="D26" s="10"/>
      <c r="E26" s="10"/>
      <c r="F26" s="10" t="s">
        <v>680</v>
      </c>
      <c r="G26" s="11">
        <v>2</v>
      </c>
      <c r="H26" s="11">
        <v>10</v>
      </c>
      <c r="I26" s="10"/>
      <c r="J26" s="10"/>
      <c r="K26" s="10">
        <v>126</v>
      </c>
      <c r="L26" s="10">
        <v>27</v>
      </c>
      <c r="M26" s="23"/>
      <c r="N26" s="21"/>
      <c r="O26" s="22"/>
    </row>
    <row r="27" ht="99" customHeight="1" spans="2:15">
      <c r="B27" s="10" t="s">
        <v>92</v>
      </c>
      <c r="C27" s="10" t="s">
        <v>93</v>
      </c>
      <c r="D27" s="10"/>
      <c r="E27" s="10"/>
      <c r="F27" s="10" t="s">
        <v>675</v>
      </c>
      <c r="G27" s="11">
        <v>0.01</v>
      </c>
      <c r="H27" s="11">
        <v>1</v>
      </c>
      <c r="I27" s="10"/>
      <c r="J27" s="10"/>
      <c r="K27" s="19">
        <v>123</v>
      </c>
      <c r="L27" s="10">
        <v>44</v>
      </c>
      <c r="M27" s="23" t="s">
        <v>683</v>
      </c>
      <c r="N27" s="21" t="s">
        <v>682</v>
      </c>
      <c r="O27" s="22"/>
    </row>
    <row r="28" ht="16.5" spans="2:15">
      <c r="B28" s="10" t="s">
        <v>92</v>
      </c>
      <c r="C28" s="10" t="s">
        <v>93</v>
      </c>
      <c r="D28" s="10"/>
      <c r="E28" s="10"/>
      <c r="F28" s="10" t="s">
        <v>678</v>
      </c>
      <c r="G28" s="11">
        <v>1</v>
      </c>
      <c r="H28" s="11">
        <v>2</v>
      </c>
      <c r="I28" s="10"/>
      <c r="J28" s="10"/>
      <c r="K28" s="19">
        <v>123</v>
      </c>
      <c r="L28" s="10">
        <v>44</v>
      </c>
      <c r="M28" s="23"/>
      <c r="N28" s="21"/>
      <c r="O28" s="22"/>
    </row>
    <row r="29" ht="16.5" spans="2:15">
      <c r="B29" s="10" t="s">
        <v>92</v>
      </c>
      <c r="C29" s="10" t="s">
        <v>93</v>
      </c>
      <c r="D29" s="10"/>
      <c r="E29" s="10"/>
      <c r="F29" s="10" t="s">
        <v>680</v>
      </c>
      <c r="G29" s="11">
        <v>2</v>
      </c>
      <c r="H29" s="11">
        <v>10</v>
      </c>
      <c r="I29" s="10"/>
      <c r="J29" s="10"/>
      <c r="K29" s="19">
        <v>123</v>
      </c>
      <c r="L29" s="10">
        <v>44</v>
      </c>
      <c r="M29" s="23"/>
      <c r="N29" s="21"/>
      <c r="O29" s="22"/>
    </row>
    <row r="30" ht="99" customHeight="1" spans="2:15">
      <c r="B30" s="10" t="s">
        <v>36</v>
      </c>
      <c r="C30" s="10" t="s">
        <v>37</v>
      </c>
      <c r="D30" s="10"/>
      <c r="E30" s="10"/>
      <c r="F30" s="10" t="s">
        <v>675</v>
      </c>
      <c r="G30" s="11">
        <v>0.01</v>
      </c>
      <c r="H30" s="11">
        <v>1</v>
      </c>
      <c r="I30" s="10"/>
      <c r="J30" s="10"/>
      <c r="K30" s="19">
        <v>109</v>
      </c>
      <c r="L30" s="10">
        <v>28</v>
      </c>
      <c r="M30" s="23" t="s">
        <v>683</v>
      </c>
      <c r="N30" s="21" t="s">
        <v>682</v>
      </c>
      <c r="O30" s="22"/>
    </row>
    <row r="31" ht="16.5" spans="2:15">
      <c r="B31" s="10" t="s">
        <v>36</v>
      </c>
      <c r="C31" s="10" t="s">
        <v>37</v>
      </c>
      <c r="D31" s="10"/>
      <c r="E31" s="10"/>
      <c r="F31" s="10" t="s">
        <v>678</v>
      </c>
      <c r="G31" s="11">
        <v>1</v>
      </c>
      <c r="H31" s="11">
        <v>2</v>
      </c>
      <c r="I31" s="10"/>
      <c r="J31" s="10"/>
      <c r="K31" s="19">
        <v>109</v>
      </c>
      <c r="L31" s="10">
        <v>28</v>
      </c>
      <c r="M31" s="23"/>
      <c r="N31" s="21"/>
      <c r="O31" s="22"/>
    </row>
    <row r="32" ht="16.5" spans="2:15">
      <c r="B32" s="10" t="s">
        <v>36</v>
      </c>
      <c r="C32" s="10" t="s">
        <v>37</v>
      </c>
      <c r="D32" s="10"/>
      <c r="E32" s="10"/>
      <c r="F32" s="10" t="s">
        <v>680</v>
      </c>
      <c r="G32" s="11">
        <v>2</v>
      </c>
      <c r="H32" s="11">
        <v>10</v>
      </c>
      <c r="I32" s="10"/>
      <c r="J32" s="10"/>
      <c r="K32" s="19">
        <v>109</v>
      </c>
      <c r="L32" s="10">
        <v>28</v>
      </c>
      <c r="M32" s="23"/>
      <c r="N32" s="21"/>
      <c r="O32" s="22"/>
    </row>
    <row r="33" ht="99" customHeight="1" spans="2:15">
      <c r="B33" s="10" t="s">
        <v>40</v>
      </c>
      <c r="C33" s="10" t="s">
        <v>41</v>
      </c>
      <c r="D33" s="10"/>
      <c r="E33" s="10"/>
      <c r="F33" s="10" t="s">
        <v>675</v>
      </c>
      <c r="G33" s="11">
        <v>0.01</v>
      </c>
      <c r="H33" s="11">
        <v>1</v>
      </c>
      <c r="I33" s="10"/>
      <c r="J33" s="10"/>
      <c r="K33" s="10">
        <v>103</v>
      </c>
      <c r="L33" s="10">
        <v>30</v>
      </c>
      <c r="M33" s="23" t="s">
        <v>683</v>
      </c>
      <c r="N33" s="21" t="s">
        <v>682</v>
      </c>
      <c r="O33" s="22"/>
    </row>
    <row r="34" ht="16.5" spans="2:15">
      <c r="B34" s="10" t="s">
        <v>40</v>
      </c>
      <c r="C34" s="10" t="s">
        <v>41</v>
      </c>
      <c r="D34" s="10"/>
      <c r="E34" s="10"/>
      <c r="F34" s="10" t="s">
        <v>678</v>
      </c>
      <c r="G34" s="11">
        <v>1</v>
      </c>
      <c r="H34" s="11">
        <v>2</v>
      </c>
      <c r="I34" s="10"/>
      <c r="J34" s="10"/>
      <c r="K34" s="10">
        <v>103</v>
      </c>
      <c r="L34" s="10">
        <v>30</v>
      </c>
      <c r="M34" s="23"/>
      <c r="N34" s="21"/>
      <c r="O34" s="22"/>
    </row>
    <row r="35" ht="16.5" spans="2:15">
      <c r="B35" s="10" t="s">
        <v>40</v>
      </c>
      <c r="C35" s="10" t="s">
        <v>41</v>
      </c>
      <c r="D35" s="10"/>
      <c r="E35" s="10"/>
      <c r="F35" s="10" t="s">
        <v>680</v>
      </c>
      <c r="G35" s="11">
        <v>2</v>
      </c>
      <c r="H35" s="11">
        <v>10</v>
      </c>
      <c r="I35" s="10"/>
      <c r="J35" s="10"/>
      <c r="K35" s="10">
        <v>103</v>
      </c>
      <c r="L35" s="10">
        <v>30</v>
      </c>
      <c r="M35" s="23"/>
      <c r="N35" s="21"/>
      <c r="O35" s="22"/>
    </row>
    <row r="36" ht="99" customHeight="1" spans="2:15">
      <c r="B36" s="10" t="s">
        <v>70</v>
      </c>
      <c r="C36" s="10" t="s">
        <v>71</v>
      </c>
      <c r="D36" s="10"/>
      <c r="E36" s="10"/>
      <c r="F36" s="10" t="s">
        <v>675</v>
      </c>
      <c r="G36" s="11">
        <v>0.01</v>
      </c>
      <c r="H36" s="11">
        <v>1</v>
      </c>
      <c r="I36" s="10"/>
      <c r="J36" s="10"/>
      <c r="K36" s="10">
        <v>117</v>
      </c>
      <c r="L36" s="10">
        <v>48</v>
      </c>
      <c r="M36" s="23" t="s">
        <v>683</v>
      </c>
      <c r="N36" s="21" t="s">
        <v>682</v>
      </c>
      <c r="O36" s="22"/>
    </row>
    <row r="37" ht="16.5" spans="2:15">
      <c r="B37" s="10" t="s">
        <v>70</v>
      </c>
      <c r="C37" s="10" t="s">
        <v>71</v>
      </c>
      <c r="D37" s="10"/>
      <c r="E37" s="10"/>
      <c r="F37" s="10" t="s">
        <v>678</v>
      </c>
      <c r="G37" s="11">
        <v>1</v>
      </c>
      <c r="H37" s="11">
        <v>2</v>
      </c>
      <c r="I37" s="10"/>
      <c r="J37" s="10"/>
      <c r="K37" s="10">
        <v>117</v>
      </c>
      <c r="L37" s="10">
        <v>48</v>
      </c>
      <c r="M37" s="23"/>
      <c r="N37" s="21"/>
      <c r="O37" s="22"/>
    </row>
    <row r="38" ht="16.5" spans="2:15">
      <c r="B38" s="10" t="s">
        <v>70</v>
      </c>
      <c r="C38" s="10" t="s">
        <v>71</v>
      </c>
      <c r="D38" s="10"/>
      <c r="E38" s="10"/>
      <c r="F38" s="10" t="s">
        <v>680</v>
      </c>
      <c r="G38" s="11">
        <v>2</v>
      </c>
      <c r="H38" s="11">
        <v>10</v>
      </c>
      <c r="I38" s="10"/>
      <c r="J38" s="10"/>
      <c r="K38" s="10">
        <v>117</v>
      </c>
      <c r="L38" s="10">
        <v>48</v>
      </c>
      <c r="M38" s="23"/>
      <c r="N38" s="21"/>
      <c r="O38" s="22"/>
    </row>
    <row r="39" ht="99" customHeight="1" spans="2:15">
      <c r="B39" s="10" t="s">
        <v>30</v>
      </c>
      <c r="C39" s="10" t="s">
        <v>31</v>
      </c>
      <c r="D39" s="10"/>
      <c r="E39" s="10"/>
      <c r="F39" s="10" t="s">
        <v>675</v>
      </c>
      <c r="G39" s="11">
        <v>0.01</v>
      </c>
      <c r="H39" s="11">
        <v>1</v>
      </c>
      <c r="I39" s="10"/>
      <c r="J39" s="10"/>
      <c r="K39" s="10">
        <v>104</v>
      </c>
      <c r="L39" s="10">
        <v>37</v>
      </c>
      <c r="M39" s="23" t="s">
        <v>683</v>
      </c>
      <c r="N39" s="21" t="s">
        <v>682</v>
      </c>
      <c r="O39" s="22"/>
    </row>
    <row r="40" ht="16.5" spans="2:15">
      <c r="B40" s="10" t="s">
        <v>30</v>
      </c>
      <c r="C40" s="10" t="s">
        <v>31</v>
      </c>
      <c r="D40" s="10"/>
      <c r="E40" s="10"/>
      <c r="F40" s="10" t="s">
        <v>678</v>
      </c>
      <c r="G40" s="11">
        <v>1</v>
      </c>
      <c r="H40" s="11">
        <v>2</v>
      </c>
      <c r="I40" s="10"/>
      <c r="J40" s="10"/>
      <c r="K40" s="10">
        <v>104</v>
      </c>
      <c r="L40" s="10">
        <v>26</v>
      </c>
      <c r="M40" s="23"/>
      <c r="N40" s="21"/>
      <c r="O40" s="22"/>
    </row>
    <row r="41" ht="16.5" spans="2:15">
      <c r="B41" s="10" t="s">
        <v>30</v>
      </c>
      <c r="C41" s="10" t="s">
        <v>31</v>
      </c>
      <c r="D41" s="10"/>
      <c r="E41" s="10"/>
      <c r="F41" s="10" t="s">
        <v>680</v>
      </c>
      <c r="G41" s="11">
        <v>2</v>
      </c>
      <c r="H41" s="11">
        <v>10</v>
      </c>
      <c r="I41" s="10"/>
      <c r="J41" s="10"/>
      <c r="K41" s="10">
        <v>104</v>
      </c>
      <c r="L41" s="10">
        <v>26</v>
      </c>
      <c r="M41" s="23"/>
      <c r="N41" s="21"/>
      <c r="O41" s="22"/>
    </row>
    <row r="42" ht="99" customHeight="1" spans="2:15">
      <c r="B42" s="10" t="s">
        <v>48</v>
      </c>
      <c r="C42" s="10" t="s">
        <v>49</v>
      </c>
      <c r="D42" s="10"/>
      <c r="E42" s="10"/>
      <c r="F42" s="10" t="s">
        <v>675</v>
      </c>
      <c r="G42" s="11">
        <v>0.01</v>
      </c>
      <c r="H42" s="11">
        <v>1</v>
      </c>
      <c r="I42" s="10"/>
      <c r="J42" s="10"/>
      <c r="K42" s="10">
        <v>121</v>
      </c>
      <c r="L42" s="10">
        <v>46</v>
      </c>
      <c r="M42" s="23" t="s">
        <v>683</v>
      </c>
      <c r="N42" s="21" t="s">
        <v>682</v>
      </c>
      <c r="O42" s="22"/>
    </row>
    <row r="43" ht="16.5" spans="2:15">
      <c r="B43" s="10" t="s">
        <v>48</v>
      </c>
      <c r="C43" s="10" t="s">
        <v>49</v>
      </c>
      <c r="D43" s="10"/>
      <c r="E43" s="10"/>
      <c r="F43" s="10" t="s">
        <v>678</v>
      </c>
      <c r="G43" s="11">
        <v>1</v>
      </c>
      <c r="H43" s="11">
        <v>2</v>
      </c>
      <c r="I43" s="10"/>
      <c r="J43" s="10"/>
      <c r="K43" s="10">
        <v>121</v>
      </c>
      <c r="L43" s="10">
        <v>46</v>
      </c>
      <c r="M43" s="23"/>
      <c r="N43" s="21"/>
      <c r="O43" s="22"/>
    </row>
    <row r="44" ht="16.5" spans="2:15">
      <c r="B44" s="10" t="s">
        <v>48</v>
      </c>
      <c r="C44" s="10" t="s">
        <v>49</v>
      </c>
      <c r="D44" s="10"/>
      <c r="E44" s="10"/>
      <c r="F44" s="10" t="s">
        <v>680</v>
      </c>
      <c r="G44" s="11">
        <v>2</v>
      </c>
      <c r="H44" s="11">
        <v>10</v>
      </c>
      <c r="I44" s="10"/>
      <c r="J44" s="10"/>
      <c r="K44" s="10">
        <v>121</v>
      </c>
      <c r="L44" s="10">
        <v>46</v>
      </c>
      <c r="M44" s="23"/>
      <c r="N44" s="21"/>
      <c r="O44" s="22"/>
    </row>
    <row r="45" ht="99" customHeight="1" spans="2:15">
      <c r="B45" s="10" t="s">
        <v>60</v>
      </c>
      <c r="C45" s="10" t="s">
        <v>61</v>
      </c>
      <c r="D45" s="10"/>
      <c r="E45" s="10"/>
      <c r="F45" s="10" t="s">
        <v>675</v>
      </c>
      <c r="G45" s="11">
        <v>0.01</v>
      </c>
      <c r="H45" s="11">
        <v>1</v>
      </c>
      <c r="I45" s="10"/>
      <c r="J45" s="10"/>
      <c r="K45" s="19">
        <v>101</v>
      </c>
      <c r="L45" s="10">
        <v>45</v>
      </c>
      <c r="M45" s="23" t="s">
        <v>683</v>
      </c>
      <c r="N45" s="21" t="s">
        <v>682</v>
      </c>
      <c r="O45" s="22"/>
    </row>
    <row r="46" ht="16.5" spans="2:15">
      <c r="B46" s="10" t="s">
        <v>60</v>
      </c>
      <c r="C46" s="10" t="s">
        <v>61</v>
      </c>
      <c r="D46" s="10"/>
      <c r="E46" s="10"/>
      <c r="F46" s="10" t="s">
        <v>678</v>
      </c>
      <c r="G46" s="11">
        <v>1</v>
      </c>
      <c r="H46" s="11">
        <v>2</v>
      </c>
      <c r="I46" s="10"/>
      <c r="J46" s="10"/>
      <c r="K46" s="19">
        <v>101</v>
      </c>
      <c r="L46" s="10">
        <v>34</v>
      </c>
      <c r="M46" s="23"/>
      <c r="N46" s="21"/>
      <c r="O46" s="22"/>
    </row>
    <row r="47" ht="16.5" spans="2:15">
      <c r="B47" s="10" t="s">
        <v>60</v>
      </c>
      <c r="C47" s="10" t="s">
        <v>61</v>
      </c>
      <c r="D47" s="10"/>
      <c r="E47" s="10"/>
      <c r="F47" s="10" t="s">
        <v>680</v>
      </c>
      <c r="G47" s="11">
        <v>2</v>
      </c>
      <c r="H47" s="11">
        <v>10</v>
      </c>
      <c r="I47" s="10"/>
      <c r="J47" s="10"/>
      <c r="K47" s="19">
        <v>101</v>
      </c>
      <c r="L47" s="10">
        <v>34</v>
      </c>
      <c r="M47" s="23"/>
      <c r="N47" s="21"/>
      <c r="O47" s="22"/>
    </row>
    <row r="48" ht="99" customHeight="1" spans="2:15">
      <c r="B48" s="10" t="s">
        <v>66</v>
      </c>
      <c r="C48" s="10" t="s">
        <v>67</v>
      </c>
      <c r="D48" s="10"/>
      <c r="E48" s="10"/>
      <c r="F48" s="10" t="s">
        <v>675</v>
      </c>
      <c r="G48" s="11">
        <v>0.01</v>
      </c>
      <c r="H48" s="11">
        <v>1</v>
      </c>
      <c r="I48" s="10"/>
      <c r="J48" s="10"/>
      <c r="K48" s="10">
        <v>108</v>
      </c>
      <c r="L48" s="10">
        <v>32</v>
      </c>
      <c r="M48" s="23" t="s">
        <v>683</v>
      </c>
      <c r="N48" s="21" t="s">
        <v>684</v>
      </c>
      <c r="O48" s="22"/>
    </row>
    <row r="49" ht="16.5" spans="2:15">
      <c r="B49" s="10" t="s">
        <v>66</v>
      </c>
      <c r="C49" s="10" t="s">
        <v>67</v>
      </c>
      <c r="D49" s="10"/>
      <c r="E49" s="10"/>
      <c r="F49" s="10" t="s">
        <v>678</v>
      </c>
      <c r="G49" s="11">
        <v>1</v>
      </c>
      <c r="H49" s="11">
        <v>2</v>
      </c>
      <c r="I49" s="10"/>
      <c r="J49" s="10"/>
      <c r="K49" s="10">
        <v>108</v>
      </c>
      <c r="L49" s="10">
        <v>32</v>
      </c>
      <c r="M49" s="23"/>
      <c r="N49" s="21"/>
      <c r="O49" s="22"/>
    </row>
    <row r="50" ht="16.5" spans="2:15">
      <c r="B50" s="10" t="s">
        <v>66</v>
      </c>
      <c r="C50" s="10" t="s">
        <v>67</v>
      </c>
      <c r="D50" s="10"/>
      <c r="E50" s="10"/>
      <c r="F50" s="10" t="s">
        <v>680</v>
      </c>
      <c r="G50" s="11">
        <v>2</v>
      </c>
      <c r="H50" s="11">
        <v>10</v>
      </c>
      <c r="I50" s="10"/>
      <c r="J50" s="10"/>
      <c r="K50" s="10">
        <v>108</v>
      </c>
      <c r="L50" s="10">
        <v>32</v>
      </c>
      <c r="M50" s="23"/>
      <c r="N50" s="21"/>
      <c r="O50" s="22"/>
    </row>
    <row r="51" ht="99" customHeight="1" spans="2:15">
      <c r="B51" s="10" t="s">
        <v>68</v>
      </c>
      <c r="C51" s="10" t="s">
        <v>69</v>
      </c>
      <c r="D51" s="10"/>
      <c r="E51" s="10"/>
      <c r="F51" s="10" t="s">
        <v>675</v>
      </c>
      <c r="G51" s="11">
        <v>0.01</v>
      </c>
      <c r="H51" s="11">
        <v>1</v>
      </c>
      <c r="I51" s="10"/>
      <c r="J51" s="10"/>
      <c r="K51" s="10">
        <v>129</v>
      </c>
      <c r="L51" s="10">
        <v>75</v>
      </c>
      <c r="M51" s="23" t="s">
        <v>683</v>
      </c>
      <c r="N51" s="21" t="s">
        <v>682</v>
      </c>
      <c r="O51" s="22"/>
    </row>
    <row r="52" ht="16.5" spans="2:15">
      <c r="B52" s="10" t="s">
        <v>68</v>
      </c>
      <c r="C52" s="10" t="s">
        <v>69</v>
      </c>
      <c r="D52" s="10"/>
      <c r="E52" s="10"/>
      <c r="F52" s="10" t="s">
        <v>678</v>
      </c>
      <c r="G52" s="11">
        <v>1</v>
      </c>
      <c r="H52" s="11">
        <v>2</v>
      </c>
      <c r="I52" s="10"/>
      <c r="J52" s="10"/>
      <c r="K52" s="10">
        <v>129</v>
      </c>
      <c r="L52" s="10">
        <v>48</v>
      </c>
      <c r="M52" s="23"/>
      <c r="N52" s="21"/>
      <c r="O52" s="22"/>
    </row>
    <row r="53" ht="16.5" spans="2:15">
      <c r="B53" s="10" t="s">
        <v>68</v>
      </c>
      <c r="C53" s="10" t="s">
        <v>69</v>
      </c>
      <c r="D53" s="10"/>
      <c r="E53" s="10"/>
      <c r="F53" s="10" t="s">
        <v>680</v>
      </c>
      <c r="G53" s="11">
        <v>2</v>
      </c>
      <c r="H53" s="11">
        <v>10</v>
      </c>
      <c r="I53" s="10"/>
      <c r="J53" s="10"/>
      <c r="K53" s="10">
        <v>129</v>
      </c>
      <c r="L53" s="10">
        <v>45</v>
      </c>
      <c r="M53" s="23"/>
      <c r="N53" s="21"/>
      <c r="O53" s="22"/>
    </row>
    <row r="54" ht="99" customHeight="1" spans="2:15">
      <c r="B54" s="10" t="s">
        <v>42</v>
      </c>
      <c r="C54" s="10" t="s">
        <v>43</v>
      </c>
      <c r="D54" s="10"/>
      <c r="E54" s="10"/>
      <c r="F54" s="10" t="s">
        <v>675</v>
      </c>
      <c r="G54" s="11">
        <v>0.01</v>
      </c>
      <c r="H54" s="11">
        <v>1</v>
      </c>
      <c r="I54" s="10"/>
      <c r="J54" s="10"/>
      <c r="K54" s="10">
        <v>112</v>
      </c>
      <c r="L54" s="10">
        <v>35</v>
      </c>
      <c r="M54" s="23" t="s">
        <v>683</v>
      </c>
      <c r="N54" s="21" t="s">
        <v>684</v>
      </c>
      <c r="O54" s="22"/>
    </row>
    <row r="55" ht="16.5" spans="2:15">
      <c r="B55" s="10" t="s">
        <v>42</v>
      </c>
      <c r="C55" s="10" t="s">
        <v>43</v>
      </c>
      <c r="D55" s="10"/>
      <c r="E55" s="10"/>
      <c r="F55" s="10" t="s">
        <v>678</v>
      </c>
      <c r="G55" s="11">
        <v>1</v>
      </c>
      <c r="H55" s="11">
        <v>2</v>
      </c>
      <c r="I55" s="10"/>
      <c r="J55" s="10"/>
      <c r="K55" s="10">
        <v>112</v>
      </c>
      <c r="L55" s="10">
        <v>35</v>
      </c>
      <c r="M55" s="23"/>
      <c r="N55" s="21"/>
      <c r="O55" s="22"/>
    </row>
    <row r="56" ht="16.5" spans="2:15">
      <c r="B56" s="10" t="s">
        <v>42</v>
      </c>
      <c r="C56" s="10" t="s">
        <v>43</v>
      </c>
      <c r="D56" s="10"/>
      <c r="E56" s="10"/>
      <c r="F56" s="10" t="s">
        <v>680</v>
      </c>
      <c r="G56" s="11">
        <v>2</v>
      </c>
      <c r="H56" s="11">
        <v>10</v>
      </c>
      <c r="I56" s="10"/>
      <c r="J56" s="10"/>
      <c r="K56" s="10">
        <v>112</v>
      </c>
      <c r="L56" s="10">
        <v>35</v>
      </c>
      <c r="M56" s="23"/>
      <c r="N56" s="21"/>
      <c r="O56" s="22"/>
    </row>
    <row r="57" ht="99" customHeight="1" spans="2:15">
      <c r="B57" s="10" t="s">
        <v>54</v>
      </c>
      <c r="C57" s="10" t="s">
        <v>55</v>
      </c>
      <c r="D57" s="10"/>
      <c r="E57" s="10"/>
      <c r="F57" s="10" t="s">
        <v>675</v>
      </c>
      <c r="G57" s="11">
        <v>0.01</v>
      </c>
      <c r="H57" s="11">
        <v>1</v>
      </c>
      <c r="I57" s="10"/>
      <c r="J57" s="10"/>
      <c r="K57" s="10">
        <v>108</v>
      </c>
      <c r="L57" s="10">
        <v>26</v>
      </c>
      <c r="M57" s="23" t="s">
        <v>683</v>
      </c>
      <c r="N57" s="21" t="s">
        <v>682</v>
      </c>
      <c r="O57" s="22"/>
    </row>
    <row r="58" ht="16.5" spans="2:15">
      <c r="B58" s="10" t="s">
        <v>54</v>
      </c>
      <c r="C58" s="10" t="s">
        <v>55</v>
      </c>
      <c r="D58" s="10"/>
      <c r="E58" s="10"/>
      <c r="F58" s="10" t="s">
        <v>678</v>
      </c>
      <c r="G58" s="11">
        <v>1</v>
      </c>
      <c r="H58" s="11">
        <v>2</v>
      </c>
      <c r="I58" s="10"/>
      <c r="J58" s="10"/>
      <c r="K58" s="10">
        <v>108</v>
      </c>
      <c r="L58" s="10">
        <v>26</v>
      </c>
      <c r="M58" s="23"/>
      <c r="N58" s="21"/>
      <c r="O58" s="22"/>
    </row>
    <row r="59" ht="16.5" spans="2:15">
      <c r="B59" s="10" t="s">
        <v>54</v>
      </c>
      <c r="C59" s="10" t="s">
        <v>55</v>
      </c>
      <c r="D59" s="10"/>
      <c r="E59" s="10"/>
      <c r="F59" s="10" t="s">
        <v>680</v>
      </c>
      <c r="G59" s="11">
        <v>2</v>
      </c>
      <c r="H59" s="11">
        <v>10</v>
      </c>
      <c r="I59" s="10"/>
      <c r="J59" s="10"/>
      <c r="K59" s="10">
        <v>108</v>
      </c>
      <c r="L59" s="10">
        <v>26</v>
      </c>
      <c r="M59" s="23"/>
      <c r="N59" s="21"/>
      <c r="O59" s="22"/>
    </row>
    <row r="60" ht="99" customHeight="1" spans="2:15">
      <c r="B60" s="10" t="s">
        <v>58</v>
      </c>
      <c r="C60" s="10" t="s">
        <v>59</v>
      </c>
      <c r="D60" s="10"/>
      <c r="E60" s="10"/>
      <c r="F60" s="10" t="s">
        <v>675</v>
      </c>
      <c r="G60" s="11">
        <v>0.01</v>
      </c>
      <c r="H60" s="11">
        <v>1</v>
      </c>
      <c r="I60" s="10"/>
      <c r="J60" s="10"/>
      <c r="K60" s="10">
        <v>125</v>
      </c>
      <c r="L60" s="10">
        <v>67</v>
      </c>
      <c r="M60" s="23" t="s">
        <v>683</v>
      </c>
      <c r="N60" s="21" t="s">
        <v>684</v>
      </c>
      <c r="O60" s="22"/>
    </row>
    <row r="61" ht="16.5" spans="2:15">
      <c r="B61" s="10" t="s">
        <v>58</v>
      </c>
      <c r="C61" s="10" t="s">
        <v>59</v>
      </c>
      <c r="D61" s="10"/>
      <c r="E61" s="10"/>
      <c r="F61" s="10" t="s">
        <v>678</v>
      </c>
      <c r="G61" s="11">
        <v>1</v>
      </c>
      <c r="H61" s="11">
        <v>2</v>
      </c>
      <c r="I61" s="10"/>
      <c r="J61" s="10"/>
      <c r="K61" s="10">
        <v>125</v>
      </c>
      <c r="L61" s="10">
        <v>51</v>
      </c>
      <c r="M61" s="23"/>
      <c r="N61" s="21"/>
      <c r="O61" s="22"/>
    </row>
    <row r="62" ht="16.5" spans="2:15">
      <c r="B62" s="10" t="s">
        <v>58</v>
      </c>
      <c r="C62" s="10" t="s">
        <v>59</v>
      </c>
      <c r="D62" s="10"/>
      <c r="E62" s="10"/>
      <c r="F62" s="10" t="s">
        <v>680</v>
      </c>
      <c r="G62" s="11">
        <v>2</v>
      </c>
      <c r="H62" s="11">
        <v>10</v>
      </c>
      <c r="I62" s="10"/>
      <c r="J62" s="10"/>
      <c r="K62" s="10">
        <v>125</v>
      </c>
      <c r="L62" s="10">
        <v>31</v>
      </c>
      <c r="M62" s="23"/>
      <c r="N62" s="21"/>
      <c r="O62" s="22"/>
    </row>
    <row r="63" ht="99" customHeight="1" spans="2:15">
      <c r="B63" s="10" t="s">
        <v>74</v>
      </c>
      <c r="C63" s="10" t="s">
        <v>75</v>
      </c>
      <c r="D63" s="10"/>
      <c r="E63" s="10"/>
      <c r="F63" s="10" t="s">
        <v>675</v>
      </c>
      <c r="G63" s="11">
        <v>0.01</v>
      </c>
      <c r="H63" s="11">
        <v>1</v>
      </c>
      <c r="I63" s="10"/>
      <c r="J63" s="10"/>
      <c r="K63" s="10">
        <v>107</v>
      </c>
      <c r="L63" s="10">
        <v>39</v>
      </c>
      <c r="M63" s="23" t="s">
        <v>683</v>
      </c>
      <c r="N63" s="21" t="s">
        <v>682</v>
      </c>
      <c r="O63" s="22"/>
    </row>
    <row r="64" ht="16.5" spans="2:15">
      <c r="B64" s="10" t="s">
        <v>74</v>
      </c>
      <c r="C64" s="10" t="s">
        <v>75</v>
      </c>
      <c r="D64" s="10"/>
      <c r="E64" s="10"/>
      <c r="F64" s="10" t="s">
        <v>678</v>
      </c>
      <c r="G64" s="11">
        <v>1</v>
      </c>
      <c r="H64" s="11">
        <v>2</v>
      </c>
      <c r="I64" s="10"/>
      <c r="J64" s="10"/>
      <c r="K64" s="10">
        <v>107</v>
      </c>
      <c r="L64" s="10">
        <v>30</v>
      </c>
      <c r="M64" s="23"/>
      <c r="N64" s="21"/>
      <c r="O64" s="22"/>
    </row>
    <row r="65" ht="16.5" spans="2:15">
      <c r="B65" s="10" t="s">
        <v>74</v>
      </c>
      <c r="C65" s="10" t="s">
        <v>75</v>
      </c>
      <c r="D65" s="10"/>
      <c r="E65" s="10"/>
      <c r="F65" s="10" t="s">
        <v>680</v>
      </c>
      <c r="G65" s="11">
        <v>2</v>
      </c>
      <c r="H65" s="11">
        <v>10</v>
      </c>
      <c r="I65" s="10"/>
      <c r="J65" s="10"/>
      <c r="K65" s="10">
        <v>107</v>
      </c>
      <c r="L65" s="10">
        <v>30</v>
      </c>
      <c r="M65" s="23"/>
      <c r="N65" s="21"/>
      <c r="O65" s="22"/>
    </row>
    <row r="66" ht="99" customHeight="1" spans="2:15">
      <c r="B66" s="10" t="s">
        <v>46</v>
      </c>
      <c r="C66" s="10" t="s">
        <v>47</v>
      </c>
      <c r="D66" s="10"/>
      <c r="E66" s="10"/>
      <c r="F66" s="10" t="s">
        <v>675</v>
      </c>
      <c r="G66" s="11">
        <v>0.01</v>
      </c>
      <c r="H66" s="11">
        <v>1</v>
      </c>
      <c r="I66" s="10"/>
      <c r="J66" s="10"/>
      <c r="K66" s="10">
        <v>136</v>
      </c>
      <c r="L66" s="10">
        <v>118</v>
      </c>
      <c r="M66" s="23" t="s">
        <v>683</v>
      </c>
      <c r="N66" s="21" t="s">
        <v>682</v>
      </c>
      <c r="O66" s="22"/>
    </row>
    <row r="67" ht="16.5" spans="2:15">
      <c r="B67" s="10" t="s">
        <v>46</v>
      </c>
      <c r="C67" s="10" t="s">
        <v>47</v>
      </c>
      <c r="D67" s="10"/>
      <c r="E67" s="10"/>
      <c r="F67" s="10" t="s">
        <v>678</v>
      </c>
      <c r="G67" s="11">
        <v>1</v>
      </c>
      <c r="H67" s="11">
        <v>2</v>
      </c>
      <c r="I67" s="10"/>
      <c r="J67" s="10"/>
      <c r="K67" s="10">
        <v>136</v>
      </c>
      <c r="L67" s="10">
        <v>102</v>
      </c>
      <c r="M67" s="23"/>
      <c r="N67" s="21"/>
      <c r="O67" s="22"/>
    </row>
    <row r="68" ht="16.5" spans="2:15">
      <c r="B68" s="10" t="s">
        <v>46</v>
      </c>
      <c r="C68" s="10" t="s">
        <v>47</v>
      </c>
      <c r="D68" s="10"/>
      <c r="E68" s="10"/>
      <c r="F68" s="10" t="s">
        <v>680</v>
      </c>
      <c r="G68" s="11">
        <v>2</v>
      </c>
      <c r="H68" s="11">
        <v>10</v>
      </c>
      <c r="I68" s="10"/>
      <c r="J68" s="10"/>
      <c r="K68" s="10">
        <v>119</v>
      </c>
      <c r="L68" s="10">
        <v>102</v>
      </c>
      <c r="M68" s="23"/>
      <c r="N68" s="21"/>
      <c r="O68" s="22"/>
    </row>
    <row r="69" ht="99" customHeight="1" spans="2:15">
      <c r="B69" s="10" t="s">
        <v>64</v>
      </c>
      <c r="C69" s="10" t="s">
        <v>65</v>
      </c>
      <c r="D69" s="10"/>
      <c r="E69" s="10"/>
      <c r="F69" s="10" t="s">
        <v>675</v>
      </c>
      <c r="G69" s="11">
        <v>0.01</v>
      </c>
      <c r="H69" s="11">
        <v>1</v>
      </c>
      <c r="I69" s="10"/>
      <c r="J69" s="10"/>
      <c r="K69" s="10">
        <v>105</v>
      </c>
      <c r="L69" s="10">
        <v>28</v>
      </c>
      <c r="M69" s="23" t="s">
        <v>683</v>
      </c>
      <c r="N69" s="21" t="s">
        <v>682</v>
      </c>
      <c r="O69" s="22"/>
    </row>
    <row r="70" ht="16.5" spans="2:15">
      <c r="B70" s="10" t="s">
        <v>64</v>
      </c>
      <c r="C70" s="10" t="s">
        <v>65</v>
      </c>
      <c r="D70" s="10"/>
      <c r="E70" s="10"/>
      <c r="F70" s="10" t="s">
        <v>678</v>
      </c>
      <c r="G70" s="11">
        <v>1</v>
      </c>
      <c r="H70" s="11">
        <v>2</v>
      </c>
      <c r="I70" s="10"/>
      <c r="J70" s="10"/>
      <c r="K70" s="10">
        <v>105</v>
      </c>
      <c r="L70" s="10">
        <v>28</v>
      </c>
      <c r="M70" s="23"/>
      <c r="N70" s="21"/>
      <c r="O70" s="22"/>
    </row>
    <row r="71" ht="16.5" spans="2:15">
      <c r="B71" s="10" t="s">
        <v>64</v>
      </c>
      <c r="C71" s="10" t="s">
        <v>65</v>
      </c>
      <c r="D71" s="10"/>
      <c r="E71" s="10"/>
      <c r="F71" s="10" t="s">
        <v>680</v>
      </c>
      <c r="G71" s="11">
        <v>2</v>
      </c>
      <c r="H71" s="11">
        <v>10</v>
      </c>
      <c r="I71" s="10"/>
      <c r="J71" s="10"/>
      <c r="K71" s="10">
        <v>105</v>
      </c>
      <c r="L71" s="10">
        <v>28</v>
      </c>
      <c r="M71" s="23"/>
      <c r="N71" s="21"/>
      <c r="O71" s="22"/>
    </row>
    <row r="72" ht="99" customHeight="1" spans="2:15">
      <c r="B72" s="10" t="s">
        <v>56</v>
      </c>
      <c r="C72" s="10" t="s">
        <v>57</v>
      </c>
      <c r="D72" s="10"/>
      <c r="E72" s="10"/>
      <c r="F72" s="10" t="s">
        <v>675</v>
      </c>
      <c r="G72" s="11">
        <v>0.01</v>
      </c>
      <c r="H72" s="11">
        <v>1</v>
      </c>
      <c r="I72" s="10"/>
      <c r="J72" s="10"/>
      <c r="K72" s="10">
        <v>136</v>
      </c>
      <c r="L72" s="10">
        <v>87</v>
      </c>
      <c r="M72" s="23" t="s">
        <v>683</v>
      </c>
      <c r="N72" s="21" t="s">
        <v>682</v>
      </c>
      <c r="O72" s="22"/>
    </row>
    <row r="73" ht="16.5" spans="2:15">
      <c r="B73" s="10" t="s">
        <v>56</v>
      </c>
      <c r="C73" s="10" t="s">
        <v>57</v>
      </c>
      <c r="D73" s="10"/>
      <c r="E73" s="10"/>
      <c r="F73" s="10" t="s">
        <v>678</v>
      </c>
      <c r="G73" s="11">
        <v>1</v>
      </c>
      <c r="H73" s="11">
        <v>2</v>
      </c>
      <c r="I73" s="10"/>
      <c r="J73" s="10"/>
      <c r="K73" s="10">
        <v>141</v>
      </c>
      <c r="L73" s="10">
        <v>64</v>
      </c>
      <c r="M73" s="23"/>
      <c r="N73" s="21"/>
      <c r="O73" s="22"/>
    </row>
    <row r="74" ht="16.5" spans="2:15">
      <c r="B74" s="10" t="s">
        <v>56</v>
      </c>
      <c r="C74" s="10" t="s">
        <v>57</v>
      </c>
      <c r="D74" s="10"/>
      <c r="E74" s="10"/>
      <c r="F74" s="10" t="s">
        <v>680</v>
      </c>
      <c r="G74" s="11">
        <v>2</v>
      </c>
      <c r="H74" s="11">
        <v>10</v>
      </c>
      <c r="I74" s="10"/>
      <c r="J74" s="10"/>
      <c r="K74" s="10">
        <v>129</v>
      </c>
      <c r="L74" s="10">
        <v>54</v>
      </c>
      <c r="M74" s="23"/>
      <c r="N74" s="21"/>
      <c r="O74" s="22"/>
    </row>
    <row r="75" ht="99" customHeight="1" spans="2:15">
      <c r="B75" s="10" t="s">
        <v>50</v>
      </c>
      <c r="C75" s="10" t="s">
        <v>51</v>
      </c>
      <c r="D75" s="10"/>
      <c r="E75" s="10"/>
      <c r="F75" s="10" t="s">
        <v>675</v>
      </c>
      <c r="G75" s="11">
        <v>0.01</v>
      </c>
      <c r="H75" s="11">
        <v>1</v>
      </c>
      <c r="I75" s="10"/>
      <c r="J75" s="10"/>
      <c r="K75" s="10">
        <v>124</v>
      </c>
      <c r="L75" s="10">
        <v>94</v>
      </c>
      <c r="M75" s="23" t="s">
        <v>683</v>
      </c>
      <c r="N75" s="21" t="s">
        <v>682</v>
      </c>
      <c r="O75" s="22"/>
    </row>
    <row r="76" ht="16.5" spans="2:15">
      <c r="B76" s="10" t="s">
        <v>50</v>
      </c>
      <c r="C76" s="10" t="s">
        <v>51</v>
      </c>
      <c r="D76" s="10"/>
      <c r="E76" s="10"/>
      <c r="F76" s="10" t="s">
        <v>678</v>
      </c>
      <c r="G76" s="11">
        <v>1</v>
      </c>
      <c r="H76" s="11">
        <v>2</v>
      </c>
      <c r="I76" s="10"/>
      <c r="J76" s="10"/>
      <c r="K76" s="10">
        <v>141</v>
      </c>
      <c r="L76" s="10">
        <v>61</v>
      </c>
      <c r="M76" s="23"/>
      <c r="N76" s="21"/>
      <c r="O76" s="22"/>
    </row>
    <row r="77" ht="16.5" spans="2:15">
      <c r="B77" s="10" t="s">
        <v>50</v>
      </c>
      <c r="C77" s="10" t="s">
        <v>51</v>
      </c>
      <c r="D77" s="10"/>
      <c r="E77" s="10"/>
      <c r="F77" s="10" t="s">
        <v>680</v>
      </c>
      <c r="G77" s="11">
        <v>2</v>
      </c>
      <c r="H77" s="11">
        <v>10</v>
      </c>
      <c r="I77" s="10"/>
      <c r="J77" s="10"/>
      <c r="K77" s="10">
        <v>124</v>
      </c>
      <c r="L77" s="10">
        <v>61</v>
      </c>
      <c r="M77" s="23"/>
      <c r="N77" s="21"/>
      <c r="O77" s="22"/>
    </row>
    <row r="78" ht="99" customHeight="1" spans="2:15">
      <c r="B78" s="10" t="s">
        <v>52</v>
      </c>
      <c r="C78" s="10" t="s">
        <v>53</v>
      </c>
      <c r="D78" s="10"/>
      <c r="E78" s="10"/>
      <c r="F78" s="10" t="s">
        <v>675</v>
      </c>
      <c r="G78" s="11">
        <v>0.01</v>
      </c>
      <c r="H78" s="11">
        <v>1</v>
      </c>
      <c r="I78" s="10"/>
      <c r="J78" s="10"/>
      <c r="K78" s="10">
        <v>129</v>
      </c>
      <c r="L78" s="10">
        <v>63</v>
      </c>
      <c r="M78" s="23" t="s">
        <v>683</v>
      </c>
      <c r="N78" s="21" t="s">
        <v>684</v>
      </c>
      <c r="O78" s="22"/>
    </row>
    <row r="79" ht="16.5" spans="2:15">
      <c r="B79" s="10" t="s">
        <v>52</v>
      </c>
      <c r="C79" s="10" t="s">
        <v>53</v>
      </c>
      <c r="D79" s="10"/>
      <c r="E79" s="10"/>
      <c r="F79" s="10" t="s">
        <v>678</v>
      </c>
      <c r="G79" s="11">
        <v>1</v>
      </c>
      <c r="H79" s="11">
        <v>2</v>
      </c>
      <c r="I79" s="10"/>
      <c r="J79" s="10"/>
      <c r="K79" s="10">
        <v>129</v>
      </c>
      <c r="L79" s="10">
        <v>50</v>
      </c>
      <c r="M79" s="23"/>
      <c r="N79" s="21"/>
      <c r="O79" s="22"/>
    </row>
    <row r="80" ht="16.5" spans="2:15">
      <c r="B80" s="10" t="s">
        <v>52</v>
      </c>
      <c r="C80" s="10" t="s">
        <v>53</v>
      </c>
      <c r="D80" s="10"/>
      <c r="E80" s="10"/>
      <c r="F80" s="10" t="s">
        <v>680</v>
      </c>
      <c r="G80" s="11">
        <v>2</v>
      </c>
      <c r="H80" s="11">
        <v>10</v>
      </c>
      <c r="I80" s="10"/>
      <c r="J80" s="10"/>
      <c r="K80" s="10">
        <v>124</v>
      </c>
      <c r="L80" s="10">
        <v>50</v>
      </c>
      <c r="M80" s="23"/>
      <c r="N80" s="21"/>
      <c r="O80" s="22"/>
    </row>
    <row r="81" ht="99" customHeight="1" spans="2:15">
      <c r="B81" s="10" t="s">
        <v>44</v>
      </c>
      <c r="C81" s="10" t="s">
        <v>45</v>
      </c>
      <c r="D81" s="10"/>
      <c r="E81" s="10"/>
      <c r="F81" s="10" t="s">
        <v>675</v>
      </c>
      <c r="G81" s="11">
        <v>0.01</v>
      </c>
      <c r="H81" s="11">
        <v>1</v>
      </c>
      <c r="I81" s="10"/>
      <c r="J81" s="10"/>
      <c r="K81" s="10">
        <v>105</v>
      </c>
      <c r="L81" s="10">
        <v>30</v>
      </c>
      <c r="M81" s="23" t="s">
        <v>683</v>
      </c>
      <c r="N81" s="21" t="s">
        <v>684</v>
      </c>
      <c r="O81" s="22"/>
    </row>
    <row r="82" ht="16.5" spans="2:15">
      <c r="B82" s="10" t="s">
        <v>44</v>
      </c>
      <c r="C82" s="10" t="s">
        <v>45</v>
      </c>
      <c r="D82" s="10"/>
      <c r="E82" s="10"/>
      <c r="F82" s="10" t="s">
        <v>678</v>
      </c>
      <c r="G82" s="11">
        <v>1</v>
      </c>
      <c r="H82" s="11">
        <v>2</v>
      </c>
      <c r="I82" s="10"/>
      <c r="J82" s="10"/>
      <c r="K82" s="10">
        <v>105</v>
      </c>
      <c r="L82" s="10">
        <v>26</v>
      </c>
      <c r="M82" s="23"/>
      <c r="N82" s="21"/>
      <c r="O82" s="22"/>
    </row>
    <row r="83" ht="16.5" spans="2:15">
      <c r="B83" s="10" t="s">
        <v>44</v>
      </c>
      <c r="C83" s="10" t="s">
        <v>45</v>
      </c>
      <c r="D83" s="10"/>
      <c r="E83" s="10"/>
      <c r="F83" s="10" t="s">
        <v>680</v>
      </c>
      <c r="G83" s="11">
        <v>2</v>
      </c>
      <c r="H83" s="11">
        <v>10</v>
      </c>
      <c r="I83" s="10"/>
      <c r="J83" s="10"/>
      <c r="K83" s="10">
        <v>105</v>
      </c>
      <c r="L83" s="10">
        <v>26</v>
      </c>
      <c r="M83" s="23"/>
      <c r="N83" s="21"/>
      <c r="O83" s="22"/>
    </row>
    <row r="84" ht="99" customHeight="1" spans="2:15">
      <c r="B84" s="10" t="s">
        <v>76</v>
      </c>
      <c r="C84" s="10" t="s">
        <v>77</v>
      </c>
      <c r="D84" s="10"/>
      <c r="E84" s="10"/>
      <c r="F84" s="10" t="s">
        <v>675</v>
      </c>
      <c r="G84" s="11">
        <v>0.01</v>
      </c>
      <c r="H84" s="11">
        <v>1</v>
      </c>
      <c r="I84" s="10"/>
      <c r="J84" s="10"/>
      <c r="K84" s="10">
        <v>115</v>
      </c>
      <c r="L84" s="10">
        <v>27</v>
      </c>
      <c r="M84" s="23" t="s">
        <v>683</v>
      </c>
      <c r="N84" s="21" t="s">
        <v>684</v>
      </c>
      <c r="O84" s="22"/>
    </row>
    <row r="85" ht="16.5" spans="2:15">
      <c r="B85" s="10" t="s">
        <v>76</v>
      </c>
      <c r="C85" s="10" t="s">
        <v>77</v>
      </c>
      <c r="D85" s="10"/>
      <c r="E85" s="10"/>
      <c r="F85" s="10" t="s">
        <v>678</v>
      </c>
      <c r="G85" s="11">
        <v>1</v>
      </c>
      <c r="H85" s="11">
        <v>2</v>
      </c>
      <c r="I85" s="10"/>
      <c r="J85" s="10"/>
      <c r="K85" s="10">
        <v>115</v>
      </c>
      <c r="L85" s="10">
        <v>27</v>
      </c>
      <c r="M85" s="23"/>
      <c r="N85" s="21"/>
      <c r="O85" s="22"/>
    </row>
    <row r="86" ht="16.5" spans="2:15">
      <c r="B86" s="10" t="s">
        <v>76</v>
      </c>
      <c r="C86" s="10" t="s">
        <v>77</v>
      </c>
      <c r="D86" s="10"/>
      <c r="E86" s="10"/>
      <c r="F86" s="10" t="s">
        <v>680</v>
      </c>
      <c r="G86" s="11">
        <v>2</v>
      </c>
      <c r="H86" s="11">
        <v>10</v>
      </c>
      <c r="I86" s="10"/>
      <c r="J86" s="10"/>
      <c r="K86" s="10">
        <v>115</v>
      </c>
      <c r="L86" s="10">
        <v>27</v>
      </c>
      <c r="M86" s="23"/>
      <c r="N86" s="21"/>
      <c r="O86" s="22"/>
    </row>
    <row r="87" ht="99" customHeight="1" spans="2:15">
      <c r="B87" s="10" t="s">
        <v>142</v>
      </c>
      <c r="C87" s="10" t="s">
        <v>143</v>
      </c>
      <c r="D87" s="10"/>
      <c r="E87" s="10"/>
      <c r="F87" s="10" t="s">
        <v>675</v>
      </c>
      <c r="G87" s="11">
        <v>0.01</v>
      </c>
      <c r="H87" s="11">
        <v>1</v>
      </c>
      <c r="I87" s="10"/>
      <c r="J87" s="10"/>
      <c r="K87" s="10">
        <v>146</v>
      </c>
      <c r="L87" s="10">
        <v>54</v>
      </c>
      <c r="M87" s="23" t="s">
        <v>683</v>
      </c>
      <c r="N87" s="21" t="s">
        <v>684</v>
      </c>
      <c r="O87" s="22"/>
    </row>
    <row r="88" ht="16.5" spans="2:15">
      <c r="B88" s="10" t="s">
        <v>142</v>
      </c>
      <c r="C88" s="10" t="s">
        <v>143</v>
      </c>
      <c r="D88" s="10"/>
      <c r="E88" s="10"/>
      <c r="F88" s="10" t="s">
        <v>678</v>
      </c>
      <c r="G88" s="11">
        <v>1</v>
      </c>
      <c r="H88" s="11">
        <v>2</v>
      </c>
      <c r="I88" s="10"/>
      <c r="J88" s="10"/>
      <c r="K88" s="10">
        <v>146</v>
      </c>
      <c r="L88" s="10">
        <v>43</v>
      </c>
      <c r="M88" s="23"/>
      <c r="N88" s="21"/>
      <c r="O88" s="22"/>
    </row>
    <row r="89" ht="16.5" spans="2:15">
      <c r="B89" s="10" t="s">
        <v>142</v>
      </c>
      <c r="C89" s="10" t="s">
        <v>143</v>
      </c>
      <c r="D89" s="10"/>
      <c r="E89" s="10"/>
      <c r="F89" s="10" t="s">
        <v>680</v>
      </c>
      <c r="G89" s="11">
        <v>2</v>
      </c>
      <c r="H89" s="11">
        <v>10</v>
      </c>
      <c r="I89" s="10"/>
      <c r="J89" s="10"/>
      <c r="K89" s="10">
        <v>146</v>
      </c>
      <c r="L89" s="10">
        <v>34</v>
      </c>
      <c r="M89" s="23"/>
      <c r="N89" s="21"/>
      <c r="O89" s="22"/>
    </row>
    <row r="90" ht="99" customHeight="1" spans="2:15">
      <c r="B90" s="10" t="s">
        <v>108</v>
      </c>
      <c r="C90" s="10" t="s">
        <v>109</v>
      </c>
      <c r="D90" s="10"/>
      <c r="E90" s="10"/>
      <c r="F90" s="10" t="s">
        <v>675</v>
      </c>
      <c r="G90" s="11">
        <v>0.01</v>
      </c>
      <c r="H90" s="11">
        <v>1</v>
      </c>
      <c r="I90" s="10"/>
      <c r="J90" s="10"/>
      <c r="K90" s="10">
        <v>153</v>
      </c>
      <c r="L90" s="10">
        <v>83</v>
      </c>
      <c r="M90" s="23" t="s">
        <v>683</v>
      </c>
      <c r="N90" s="21" t="s">
        <v>684</v>
      </c>
      <c r="O90" s="22"/>
    </row>
    <row r="91" ht="16.5" spans="2:15">
      <c r="B91" s="10" t="s">
        <v>108</v>
      </c>
      <c r="C91" s="10" t="s">
        <v>109</v>
      </c>
      <c r="D91" s="10"/>
      <c r="E91" s="10"/>
      <c r="F91" s="10" t="s">
        <v>678</v>
      </c>
      <c r="G91" s="11">
        <v>1</v>
      </c>
      <c r="H91" s="11">
        <v>2</v>
      </c>
      <c r="I91" s="10"/>
      <c r="J91" s="10"/>
      <c r="K91" s="10">
        <v>153</v>
      </c>
      <c r="L91" s="10">
        <v>66</v>
      </c>
      <c r="M91" s="23"/>
      <c r="N91" s="21"/>
      <c r="O91" s="22"/>
    </row>
    <row r="92" ht="16.5" spans="2:15">
      <c r="B92" s="10" t="s">
        <v>108</v>
      </c>
      <c r="C92" s="10" t="s">
        <v>109</v>
      </c>
      <c r="D92" s="10"/>
      <c r="E92" s="10"/>
      <c r="F92" s="10" t="s">
        <v>680</v>
      </c>
      <c r="G92" s="11">
        <v>2</v>
      </c>
      <c r="H92" s="11">
        <v>10</v>
      </c>
      <c r="I92" s="10"/>
      <c r="J92" s="10"/>
      <c r="K92" s="10">
        <v>164</v>
      </c>
      <c r="L92" s="10">
        <v>66</v>
      </c>
      <c r="M92" s="23"/>
      <c r="N92" s="21"/>
      <c r="O92" s="22"/>
    </row>
  </sheetData>
  <sheetProtection formatCells="0" formatColumns="0" formatRows="0" insertRows="0" insertColumns="0" insertHyperlinks="0" deleteColumns="0" deleteRows="0" sort="0" autoFilter="0" pivotTables="0"/>
  <autoFilter xmlns:etc="http://www.wps.cn/officeDocument/2017/etCustomData" ref="B2:O92" etc:filterBottomFollowUsedRange="1">
    <extLst/>
  </autoFilter>
  <mergeCells count="59">
    <mergeCell ref="F1:M1"/>
    <mergeCell ref="M3:M8"/>
    <mergeCell ref="M9:M11"/>
    <mergeCell ref="M12:M14"/>
    <mergeCell ref="M15:M17"/>
    <mergeCell ref="M18:M20"/>
    <mergeCell ref="M21:M23"/>
    <mergeCell ref="M24:M26"/>
    <mergeCell ref="M27:M29"/>
    <mergeCell ref="M30:M32"/>
    <mergeCell ref="M33:M35"/>
    <mergeCell ref="M36:M38"/>
    <mergeCell ref="M39:M41"/>
    <mergeCell ref="M42:M44"/>
    <mergeCell ref="M45:M47"/>
    <mergeCell ref="M48:M50"/>
    <mergeCell ref="M51:M53"/>
    <mergeCell ref="M54:M56"/>
    <mergeCell ref="M57:M59"/>
    <mergeCell ref="M60:M62"/>
    <mergeCell ref="M63:M65"/>
    <mergeCell ref="M66:M68"/>
    <mergeCell ref="M69:M71"/>
    <mergeCell ref="M72:M74"/>
    <mergeCell ref="M75:M77"/>
    <mergeCell ref="M78:M80"/>
    <mergeCell ref="M81:M83"/>
    <mergeCell ref="M84:M86"/>
    <mergeCell ref="M87:M89"/>
    <mergeCell ref="M90:M92"/>
    <mergeCell ref="N3:N8"/>
    <mergeCell ref="N9:N11"/>
    <mergeCell ref="N12:N14"/>
    <mergeCell ref="N15:N17"/>
    <mergeCell ref="N18:N20"/>
    <mergeCell ref="N21:N23"/>
    <mergeCell ref="N24:N26"/>
    <mergeCell ref="N27:N29"/>
    <mergeCell ref="N30:N32"/>
    <mergeCell ref="N33:N35"/>
    <mergeCell ref="N36:N38"/>
    <mergeCell ref="N39:N41"/>
    <mergeCell ref="N42:N44"/>
    <mergeCell ref="N45:N47"/>
    <mergeCell ref="N48:N50"/>
    <mergeCell ref="N51:N53"/>
    <mergeCell ref="N54:N56"/>
    <mergeCell ref="N57:N59"/>
    <mergeCell ref="N60:N62"/>
    <mergeCell ref="N63:N65"/>
    <mergeCell ref="N66:N68"/>
    <mergeCell ref="N69:N71"/>
    <mergeCell ref="N72:N74"/>
    <mergeCell ref="N75:N77"/>
    <mergeCell ref="N78:N80"/>
    <mergeCell ref="N81:N83"/>
    <mergeCell ref="N84:N86"/>
    <mergeCell ref="N87:N89"/>
    <mergeCell ref="N90:N92"/>
  </mergeCells>
  <hyperlinks>
    <hyperlink ref="O1" location="产品目录!A1" display="返回目录"/>
    <hyperlink ref="O10" location="'英国-Royal Mail偏远邮编'!A1" display="英国-Royal Mail偏远邮编"/>
  </hyperlink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M302"/>
  <sheetViews>
    <sheetView topLeftCell="K5" workbookViewId="0">
      <selection activeCell="K5" sqref="K5:L162"/>
    </sheetView>
  </sheetViews>
  <sheetFormatPr defaultColWidth="9" defaultRowHeight="13.5"/>
  <sheetData>
    <row r="1" ht="31.5" customHeight="1" spans="2:13">
      <c r="B1" s="790"/>
      <c r="C1" s="790"/>
      <c r="D1" s="790"/>
      <c r="E1" s="790"/>
      <c r="F1" s="790"/>
      <c r="G1" s="791" t="s">
        <v>685</v>
      </c>
      <c r="H1" s="791"/>
      <c r="I1" s="791"/>
      <c r="J1" s="791"/>
      <c r="K1" s="791"/>
      <c r="L1" s="791"/>
      <c r="M1" s="790"/>
    </row>
    <row r="2" ht="15" customHeight="1" spans="2:13">
      <c r="B2" s="792" t="s">
        <v>686</v>
      </c>
      <c r="C2" s="792"/>
      <c r="D2" s="792"/>
      <c r="E2" s="792"/>
      <c r="F2" s="792"/>
      <c r="G2" s="791"/>
      <c r="H2" s="791"/>
      <c r="I2" s="791"/>
      <c r="J2" s="791"/>
      <c r="K2" s="791"/>
      <c r="L2" s="791"/>
      <c r="M2" s="792"/>
    </row>
    <row r="3" ht="15" customHeight="1" spans="2:13">
      <c r="B3" s="792" t="s">
        <v>687</v>
      </c>
      <c r="C3" s="792"/>
      <c r="D3" s="792"/>
      <c r="E3" s="792"/>
      <c r="F3" s="792"/>
      <c r="G3" s="791"/>
      <c r="H3" s="791"/>
      <c r="I3" s="791"/>
      <c r="J3" s="791"/>
      <c r="K3" s="791"/>
      <c r="L3" s="791"/>
      <c r="M3" s="792"/>
    </row>
    <row r="4" ht="30" spans="2:13">
      <c r="B4" s="793" t="s">
        <v>661</v>
      </c>
      <c r="C4" s="793" t="s">
        <v>688</v>
      </c>
      <c r="D4" s="793" t="s">
        <v>689</v>
      </c>
      <c r="E4" s="793" t="s">
        <v>690</v>
      </c>
      <c r="F4" s="793" t="s">
        <v>691</v>
      </c>
      <c r="G4" s="24"/>
      <c r="H4" s="24"/>
      <c r="I4" s="24"/>
      <c r="J4" s="24"/>
      <c r="K4" s="797"/>
      <c r="L4" s="797"/>
      <c r="M4" s="793" t="s">
        <v>692</v>
      </c>
    </row>
    <row r="5" ht="33" customHeight="1" spans="2:13">
      <c r="B5" s="794" t="s">
        <v>24</v>
      </c>
      <c r="C5" s="151" t="s">
        <v>25</v>
      </c>
      <c r="D5" s="151" t="s">
        <v>693</v>
      </c>
      <c r="E5" s="151" t="s">
        <v>694</v>
      </c>
      <c r="F5" s="151" t="s">
        <v>695</v>
      </c>
      <c r="G5" s="795">
        <v>0.001</v>
      </c>
      <c r="H5" s="795">
        <v>0.1</v>
      </c>
      <c r="I5" s="24"/>
      <c r="J5" s="24"/>
      <c r="K5" s="797">
        <v>120</v>
      </c>
      <c r="L5" s="797">
        <v>20</v>
      </c>
      <c r="M5" s="151" t="s">
        <v>696</v>
      </c>
    </row>
    <row r="6" ht="33" spans="2:13">
      <c r="B6" s="794" t="s">
        <v>24</v>
      </c>
      <c r="C6" s="151" t="s">
        <v>25</v>
      </c>
      <c r="D6" s="151" t="s">
        <v>697</v>
      </c>
      <c r="E6" s="151" t="s">
        <v>698</v>
      </c>
      <c r="F6" s="151" t="s">
        <v>699</v>
      </c>
      <c r="G6" s="795">
        <v>0.101</v>
      </c>
      <c r="H6" s="795">
        <v>0.2</v>
      </c>
      <c r="I6" s="24"/>
      <c r="J6" s="24"/>
      <c r="K6" s="797">
        <v>114</v>
      </c>
      <c r="L6" s="797">
        <v>18</v>
      </c>
      <c r="M6" s="151" t="s">
        <v>696</v>
      </c>
    </row>
    <row r="7" ht="33" spans="2:13">
      <c r="B7" s="794" t="s">
        <v>24</v>
      </c>
      <c r="C7" s="151" t="s">
        <v>25</v>
      </c>
      <c r="D7" s="151" t="s">
        <v>700</v>
      </c>
      <c r="E7" s="151" t="s">
        <v>701</v>
      </c>
      <c r="F7" s="151" t="s">
        <v>702</v>
      </c>
      <c r="G7" s="795">
        <v>0.201</v>
      </c>
      <c r="H7" s="795">
        <v>0.45</v>
      </c>
      <c r="I7" s="24"/>
      <c r="J7" s="24"/>
      <c r="K7" s="797">
        <v>110</v>
      </c>
      <c r="L7" s="797">
        <v>16</v>
      </c>
      <c r="M7" s="151" t="s">
        <v>696</v>
      </c>
    </row>
    <row r="8" ht="33" spans="2:13">
      <c r="B8" s="794" t="s">
        <v>24</v>
      </c>
      <c r="C8" s="151" t="s">
        <v>25</v>
      </c>
      <c r="D8" s="151" t="s">
        <v>703</v>
      </c>
      <c r="E8" s="151" t="s">
        <v>701</v>
      </c>
      <c r="F8" s="151" t="s">
        <v>704</v>
      </c>
      <c r="G8" s="795">
        <v>0.451</v>
      </c>
      <c r="H8" s="795">
        <v>0.7</v>
      </c>
      <c r="I8" s="24"/>
      <c r="J8" s="24"/>
      <c r="K8" s="797">
        <v>103</v>
      </c>
      <c r="L8" s="797">
        <v>16</v>
      </c>
      <c r="M8" s="151" t="s">
        <v>696</v>
      </c>
    </row>
    <row r="9" ht="33" spans="2:13">
      <c r="B9" s="794" t="s">
        <v>24</v>
      </c>
      <c r="C9" s="151" t="s">
        <v>25</v>
      </c>
      <c r="D9" s="151" t="s">
        <v>703</v>
      </c>
      <c r="E9" s="151" t="s">
        <v>705</v>
      </c>
      <c r="F9" s="151" t="s">
        <v>706</v>
      </c>
      <c r="G9" s="795">
        <v>0.701</v>
      </c>
      <c r="H9" s="795">
        <v>1.5</v>
      </c>
      <c r="I9" s="24"/>
      <c r="J9" s="24"/>
      <c r="K9" s="797">
        <v>103</v>
      </c>
      <c r="L9" s="797">
        <v>9</v>
      </c>
      <c r="M9" s="151" t="s">
        <v>696</v>
      </c>
    </row>
    <row r="10" ht="16.5" spans="2:13">
      <c r="B10" s="794" t="s">
        <v>24</v>
      </c>
      <c r="C10" s="151" t="s">
        <v>25</v>
      </c>
      <c r="D10" s="151" t="s">
        <v>703</v>
      </c>
      <c r="E10" s="151" t="s">
        <v>705</v>
      </c>
      <c r="F10" s="151" t="s">
        <v>707</v>
      </c>
      <c r="G10" s="795">
        <v>1.501</v>
      </c>
      <c r="H10" s="795">
        <v>2</v>
      </c>
      <c r="I10" s="24"/>
      <c r="J10" s="24"/>
      <c r="K10" s="797">
        <v>103</v>
      </c>
      <c r="L10" s="797">
        <v>9</v>
      </c>
      <c r="M10" s="151" t="s">
        <v>696</v>
      </c>
    </row>
    <row r="11" ht="33" spans="2:13">
      <c r="B11" s="794" t="s">
        <v>24</v>
      </c>
      <c r="C11" s="151" t="s">
        <v>25</v>
      </c>
      <c r="D11" s="151" t="s">
        <v>708</v>
      </c>
      <c r="E11" s="151" t="s">
        <v>705</v>
      </c>
      <c r="F11" s="151" t="s">
        <v>709</v>
      </c>
      <c r="G11" s="795">
        <v>2.001</v>
      </c>
      <c r="H11" s="795">
        <v>30</v>
      </c>
      <c r="I11" s="24"/>
      <c r="J11" s="24"/>
      <c r="K11" s="797">
        <v>96</v>
      </c>
      <c r="L11" s="797">
        <v>9</v>
      </c>
      <c r="M11" s="151" t="s">
        <v>696</v>
      </c>
    </row>
    <row r="12" ht="33" customHeight="1" spans="2:13">
      <c r="B12" s="794" t="s">
        <v>78</v>
      </c>
      <c r="C12" s="151" t="s">
        <v>79</v>
      </c>
      <c r="D12" s="151" t="s">
        <v>710</v>
      </c>
      <c r="E12" s="151" t="s">
        <v>711</v>
      </c>
      <c r="F12" s="151" t="s">
        <v>712</v>
      </c>
      <c r="G12" s="795">
        <v>0.001</v>
      </c>
      <c r="H12" s="795">
        <v>0.15</v>
      </c>
      <c r="I12" s="24"/>
      <c r="J12" s="24"/>
      <c r="K12" s="797">
        <v>78</v>
      </c>
      <c r="L12" s="797">
        <v>21</v>
      </c>
      <c r="M12" s="151" t="s">
        <v>696</v>
      </c>
    </row>
    <row r="13" ht="33" spans="2:13">
      <c r="B13" s="794" t="s">
        <v>78</v>
      </c>
      <c r="C13" s="151" t="s">
        <v>79</v>
      </c>
      <c r="D13" s="151" t="s">
        <v>713</v>
      </c>
      <c r="E13" s="151" t="s">
        <v>714</v>
      </c>
      <c r="F13" s="151" t="s">
        <v>715</v>
      </c>
      <c r="G13" s="795">
        <v>0.151</v>
      </c>
      <c r="H13" s="795">
        <v>0.45</v>
      </c>
      <c r="I13" s="24"/>
      <c r="J13" s="24"/>
      <c r="K13" s="797">
        <v>79</v>
      </c>
      <c r="L13" s="797">
        <v>22</v>
      </c>
      <c r="M13" s="151" t="s">
        <v>696</v>
      </c>
    </row>
    <row r="14" ht="33" spans="2:13">
      <c r="B14" s="794" t="s">
        <v>78</v>
      </c>
      <c r="C14" s="151" t="s">
        <v>79</v>
      </c>
      <c r="D14" s="151" t="s">
        <v>716</v>
      </c>
      <c r="E14" s="151" t="s">
        <v>717</v>
      </c>
      <c r="F14" s="151" t="s">
        <v>718</v>
      </c>
      <c r="G14" s="795">
        <v>0.451</v>
      </c>
      <c r="H14" s="795">
        <v>0.75</v>
      </c>
      <c r="I14" s="24"/>
      <c r="J14" s="24"/>
      <c r="K14" s="797">
        <v>82</v>
      </c>
      <c r="L14" s="797">
        <v>23</v>
      </c>
      <c r="M14" s="151" t="s">
        <v>696</v>
      </c>
    </row>
    <row r="15" ht="16.5" spans="2:13">
      <c r="B15" s="794" t="s">
        <v>78</v>
      </c>
      <c r="C15" s="151" t="s">
        <v>79</v>
      </c>
      <c r="D15" s="151" t="s">
        <v>719</v>
      </c>
      <c r="E15" s="151" t="s">
        <v>717</v>
      </c>
      <c r="F15" s="151" t="s">
        <v>720</v>
      </c>
      <c r="G15" s="795">
        <v>0.751</v>
      </c>
      <c r="H15" s="795">
        <v>1</v>
      </c>
      <c r="I15" s="24"/>
      <c r="J15" s="24"/>
      <c r="K15" s="797">
        <v>83</v>
      </c>
      <c r="L15" s="797">
        <v>23</v>
      </c>
      <c r="M15" s="151" t="s">
        <v>696</v>
      </c>
    </row>
    <row r="16" ht="33" spans="2:13">
      <c r="B16" s="794" t="s">
        <v>78</v>
      </c>
      <c r="C16" s="151" t="s">
        <v>79</v>
      </c>
      <c r="D16" s="151" t="s">
        <v>719</v>
      </c>
      <c r="E16" s="151" t="s">
        <v>717</v>
      </c>
      <c r="F16" s="151" t="s">
        <v>721</v>
      </c>
      <c r="G16" s="795">
        <v>1.001</v>
      </c>
      <c r="H16" s="795">
        <v>30</v>
      </c>
      <c r="I16" s="24"/>
      <c r="J16" s="24"/>
      <c r="K16" s="797">
        <v>83</v>
      </c>
      <c r="L16" s="797">
        <v>23</v>
      </c>
      <c r="M16" s="151" t="s">
        <v>696</v>
      </c>
    </row>
    <row r="17" ht="33" customHeight="1" spans="2:13">
      <c r="B17" s="151" t="s">
        <v>94</v>
      </c>
      <c r="C17" s="151" t="s">
        <v>95</v>
      </c>
      <c r="D17" s="151" t="s">
        <v>722</v>
      </c>
      <c r="E17" s="151" t="s">
        <v>698</v>
      </c>
      <c r="F17" s="151" t="s">
        <v>723</v>
      </c>
      <c r="G17" s="795">
        <v>0.001</v>
      </c>
      <c r="H17" s="795">
        <v>0.5</v>
      </c>
      <c r="I17" s="24"/>
      <c r="J17" s="24"/>
      <c r="K17" s="797">
        <v>84</v>
      </c>
      <c r="L17" s="797">
        <v>18</v>
      </c>
      <c r="M17" s="151" t="s">
        <v>696</v>
      </c>
    </row>
    <row r="18" ht="16.5" spans="2:13">
      <c r="B18" s="151" t="s">
        <v>94</v>
      </c>
      <c r="C18" s="151" t="s">
        <v>95</v>
      </c>
      <c r="D18" s="151" t="s">
        <v>722</v>
      </c>
      <c r="E18" s="151" t="s">
        <v>724</v>
      </c>
      <c r="F18" s="151" t="s">
        <v>725</v>
      </c>
      <c r="G18" s="795">
        <v>0.501</v>
      </c>
      <c r="H18" s="795">
        <v>1</v>
      </c>
      <c r="I18" s="24"/>
      <c r="J18" s="24"/>
      <c r="K18" s="797">
        <v>84</v>
      </c>
      <c r="L18" s="797">
        <v>19</v>
      </c>
      <c r="M18" s="151" t="s">
        <v>696</v>
      </c>
    </row>
    <row r="19" ht="16.5" spans="2:13">
      <c r="B19" s="151" t="s">
        <v>94</v>
      </c>
      <c r="C19" s="151" t="s">
        <v>95</v>
      </c>
      <c r="D19" s="151" t="s">
        <v>726</v>
      </c>
      <c r="E19" s="151" t="s">
        <v>694</v>
      </c>
      <c r="F19" s="151" t="s">
        <v>727</v>
      </c>
      <c r="G19" s="795">
        <v>1.001</v>
      </c>
      <c r="H19" s="795">
        <v>5</v>
      </c>
      <c r="I19" s="24"/>
      <c r="J19" s="24"/>
      <c r="K19" s="797">
        <v>90</v>
      </c>
      <c r="L19" s="797">
        <v>20</v>
      </c>
      <c r="M19" s="151" t="s">
        <v>696</v>
      </c>
    </row>
    <row r="20" ht="33" customHeight="1" spans="2:13">
      <c r="B20" s="151" t="s">
        <v>184</v>
      </c>
      <c r="C20" s="151" t="s">
        <v>185</v>
      </c>
      <c r="D20" s="151" t="s">
        <v>703</v>
      </c>
      <c r="E20" s="151" t="s">
        <v>728</v>
      </c>
      <c r="F20" s="151" t="s">
        <v>695</v>
      </c>
      <c r="G20" s="795">
        <v>0.001</v>
      </c>
      <c r="H20" s="795">
        <v>0.1</v>
      </c>
      <c r="I20" s="24"/>
      <c r="J20" s="24"/>
      <c r="K20" s="797">
        <v>103</v>
      </c>
      <c r="L20" s="797">
        <v>30</v>
      </c>
      <c r="M20" s="151" t="s">
        <v>696</v>
      </c>
    </row>
    <row r="21" ht="33" spans="2:13">
      <c r="B21" s="151" t="s">
        <v>184</v>
      </c>
      <c r="C21" s="151" t="s">
        <v>185</v>
      </c>
      <c r="D21" s="151" t="s">
        <v>703</v>
      </c>
      <c r="E21" s="151" t="s">
        <v>728</v>
      </c>
      <c r="F21" s="151" t="s">
        <v>699</v>
      </c>
      <c r="G21" s="795">
        <v>0.101</v>
      </c>
      <c r="H21" s="795">
        <v>0.2</v>
      </c>
      <c r="I21" s="24"/>
      <c r="J21" s="24"/>
      <c r="K21" s="797">
        <v>103</v>
      </c>
      <c r="L21" s="797">
        <v>30</v>
      </c>
      <c r="M21" s="151" t="s">
        <v>696</v>
      </c>
    </row>
    <row r="22" ht="33" spans="2:13">
      <c r="B22" s="151" t="s">
        <v>184</v>
      </c>
      <c r="C22" s="151" t="s">
        <v>185</v>
      </c>
      <c r="D22" s="151" t="s">
        <v>703</v>
      </c>
      <c r="E22" s="151" t="s">
        <v>729</v>
      </c>
      <c r="F22" s="151" t="s">
        <v>730</v>
      </c>
      <c r="G22" s="795">
        <v>0.201</v>
      </c>
      <c r="H22" s="795">
        <v>0.34</v>
      </c>
      <c r="I22" s="24"/>
      <c r="J22" s="24"/>
      <c r="K22" s="797">
        <v>103</v>
      </c>
      <c r="L22" s="797">
        <v>35</v>
      </c>
      <c r="M22" s="151" t="s">
        <v>696</v>
      </c>
    </row>
    <row r="23" ht="33" spans="2:13">
      <c r="B23" s="151" t="s">
        <v>184</v>
      </c>
      <c r="C23" s="151" t="s">
        <v>185</v>
      </c>
      <c r="D23" s="151" t="s">
        <v>703</v>
      </c>
      <c r="E23" s="151" t="s">
        <v>731</v>
      </c>
      <c r="F23" s="151" t="s">
        <v>732</v>
      </c>
      <c r="G23" s="795">
        <v>0.341</v>
      </c>
      <c r="H23" s="795">
        <v>0.45</v>
      </c>
      <c r="I23" s="24"/>
      <c r="J23" s="24"/>
      <c r="K23" s="797">
        <v>103</v>
      </c>
      <c r="L23" s="797">
        <v>40</v>
      </c>
      <c r="M23" s="151" t="s">
        <v>696</v>
      </c>
    </row>
    <row r="24" ht="33" spans="2:13">
      <c r="B24" s="151" t="s">
        <v>184</v>
      </c>
      <c r="C24" s="151" t="s">
        <v>185</v>
      </c>
      <c r="D24" s="151" t="s">
        <v>733</v>
      </c>
      <c r="E24" s="151" t="s">
        <v>734</v>
      </c>
      <c r="F24" s="151" t="s">
        <v>704</v>
      </c>
      <c r="G24" s="795">
        <v>0.451</v>
      </c>
      <c r="H24" s="795">
        <v>0.7</v>
      </c>
      <c r="I24" s="24"/>
      <c r="J24" s="24"/>
      <c r="K24" s="797">
        <v>108</v>
      </c>
      <c r="L24" s="797">
        <v>55</v>
      </c>
      <c r="M24" s="151" t="s">
        <v>696</v>
      </c>
    </row>
    <row r="25" ht="33" spans="2:13">
      <c r="B25" s="151" t="s">
        <v>184</v>
      </c>
      <c r="C25" s="151" t="s">
        <v>185</v>
      </c>
      <c r="D25" s="151" t="s">
        <v>733</v>
      </c>
      <c r="E25" s="151" t="s">
        <v>734</v>
      </c>
      <c r="F25" s="151" t="s">
        <v>706</v>
      </c>
      <c r="G25" s="795">
        <v>0.701</v>
      </c>
      <c r="H25" s="795">
        <v>1.5</v>
      </c>
      <c r="I25" s="24"/>
      <c r="J25" s="24"/>
      <c r="K25" s="797">
        <v>108</v>
      </c>
      <c r="L25" s="797">
        <v>55</v>
      </c>
      <c r="M25" s="151" t="s">
        <v>696</v>
      </c>
    </row>
    <row r="26" ht="16.5" spans="2:13">
      <c r="B26" s="151" t="s">
        <v>184</v>
      </c>
      <c r="C26" s="151" t="s">
        <v>185</v>
      </c>
      <c r="D26" s="151" t="s">
        <v>733</v>
      </c>
      <c r="E26" s="151" t="s">
        <v>734</v>
      </c>
      <c r="F26" s="151" t="s">
        <v>707</v>
      </c>
      <c r="G26" s="795">
        <v>1.501</v>
      </c>
      <c r="H26" s="795">
        <v>2</v>
      </c>
      <c r="I26" s="24"/>
      <c r="J26" s="24"/>
      <c r="K26" s="797">
        <v>108</v>
      </c>
      <c r="L26" s="797">
        <v>55</v>
      </c>
      <c r="M26" s="151" t="s">
        <v>696</v>
      </c>
    </row>
    <row r="27" ht="33" spans="2:13">
      <c r="B27" s="151" t="s">
        <v>184</v>
      </c>
      <c r="C27" s="151" t="s">
        <v>185</v>
      </c>
      <c r="D27" s="151" t="s">
        <v>733</v>
      </c>
      <c r="E27" s="151" t="s">
        <v>734</v>
      </c>
      <c r="F27" s="151" t="s">
        <v>709</v>
      </c>
      <c r="G27" s="795">
        <v>2.001</v>
      </c>
      <c r="H27" s="795">
        <v>30</v>
      </c>
      <c r="I27" s="24"/>
      <c r="J27" s="24"/>
      <c r="K27" s="797">
        <v>108</v>
      </c>
      <c r="L27" s="797">
        <v>55</v>
      </c>
      <c r="M27" s="151" t="s">
        <v>696</v>
      </c>
    </row>
    <row r="28" ht="33" customHeight="1" spans="2:13">
      <c r="B28" s="151" t="s">
        <v>735</v>
      </c>
      <c r="C28" s="151" t="e">
        <v>#N/A</v>
      </c>
      <c r="D28" s="151" t="s">
        <v>703</v>
      </c>
      <c r="E28" s="151" t="s">
        <v>728</v>
      </c>
      <c r="F28" s="151" t="s">
        <v>695</v>
      </c>
      <c r="G28" s="795">
        <v>0.001</v>
      </c>
      <c r="H28" s="795">
        <v>0.1</v>
      </c>
      <c r="I28" s="24"/>
      <c r="J28" s="24"/>
      <c r="K28" s="797">
        <v>103</v>
      </c>
      <c r="L28" s="797">
        <v>30</v>
      </c>
      <c r="M28" s="151" t="s">
        <v>696</v>
      </c>
    </row>
    <row r="29" ht="33" spans="2:13">
      <c r="B29" s="151" t="s">
        <v>735</v>
      </c>
      <c r="C29" s="151" t="e">
        <v>#N/A</v>
      </c>
      <c r="D29" s="151" t="s">
        <v>703</v>
      </c>
      <c r="E29" s="151" t="s">
        <v>728</v>
      </c>
      <c r="F29" s="151" t="s">
        <v>699</v>
      </c>
      <c r="G29" s="795">
        <v>0.101</v>
      </c>
      <c r="H29" s="795">
        <v>0.2</v>
      </c>
      <c r="I29" s="24"/>
      <c r="J29" s="24"/>
      <c r="K29" s="797">
        <v>103</v>
      </c>
      <c r="L29" s="797">
        <v>30</v>
      </c>
      <c r="M29" s="151" t="s">
        <v>696</v>
      </c>
    </row>
    <row r="30" ht="33" spans="2:13">
      <c r="B30" s="151" t="s">
        <v>735</v>
      </c>
      <c r="C30" s="151" t="e">
        <v>#N/A</v>
      </c>
      <c r="D30" s="151" t="s">
        <v>703</v>
      </c>
      <c r="E30" s="151" t="s">
        <v>729</v>
      </c>
      <c r="F30" s="151" t="s">
        <v>730</v>
      </c>
      <c r="G30" s="795">
        <v>0.201</v>
      </c>
      <c r="H30" s="795">
        <v>0.34</v>
      </c>
      <c r="I30" s="24"/>
      <c r="J30" s="24"/>
      <c r="K30" s="797">
        <v>103</v>
      </c>
      <c r="L30" s="797">
        <v>35</v>
      </c>
      <c r="M30" s="151" t="s">
        <v>696</v>
      </c>
    </row>
    <row r="31" ht="33" spans="2:13">
      <c r="B31" s="151" t="s">
        <v>735</v>
      </c>
      <c r="C31" s="151" t="e">
        <v>#N/A</v>
      </c>
      <c r="D31" s="151" t="s">
        <v>703</v>
      </c>
      <c r="E31" s="151" t="s">
        <v>731</v>
      </c>
      <c r="F31" s="151" t="s">
        <v>732</v>
      </c>
      <c r="G31" s="795">
        <v>0.341</v>
      </c>
      <c r="H31" s="795">
        <v>0.45</v>
      </c>
      <c r="I31" s="24"/>
      <c r="J31" s="24"/>
      <c r="K31" s="797">
        <v>103</v>
      </c>
      <c r="L31" s="797">
        <v>40</v>
      </c>
      <c r="M31" s="151" t="s">
        <v>696</v>
      </c>
    </row>
    <row r="32" ht="33" spans="2:13">
      <c r="B32" s="151" t="s">
        <v>735</v>
      </c>
      <c r="C32" s="151" t="e">
        <v>#N/A</v>
      </c>
      <c r="D32" s="151" t="s">
        <v>733</v>
      </c>
      <c r="E32" s="151" t="s">
        <v>734</v>
      </c>
      <c r="F32" s="151" t="s">
        <v>704</v>
      </c>
      <c r="G32" s="795">
        <v>0.451</v>
      </c>
      <c r="H32" s="795">
        <v>0.7</v>
      </c>
      <c r="I32" s="24"/>
      <c r="J32" s="24"/>
      <c r="K32" s="797">
        <v>108</v>
      </c>
      <c r="L32" s="797">
        <v>55</v>
      </c>
      <c r="M32" s="151" t="s">
        <v>696</v>
      </c>
    </row>
    <row r="33" ht="33" spans="2:13">
      <c r="B33" s="151" t="s">
        <v>735</v>
      </c>
      <c r="C33" s="151" t="e">
        <v>#N/A</v>
      </c>
      <c r="D33" s="151" t="s">
        <v>733</v>
      </c>
      <c r="E33" s="151" t="s">
        <v>734</v>
      </c>
      <c r="F33" s="151" t="s">
        <v>706</v>
      </c>
      <c r="G33" s="795">
        <v>0.701</v>
      </c>
      <c r="H33" s="795">
        <v>1.5</v>
      </c>
      <c r="I33" s="24"/>
      <c r="J33" s="24"/>
      <c r="K33" s="797">
        <v>108</v>
      </c>
      <c r="L33" s="797">
        <v>55</v>
      </c>
      <c r="M33" s="151" t="s">
        <v>696</v>
      </c>
    </row>
    <row r="34" ht="33" spans="2:13">
      <c r="B34" s="151" t="s">
        <v>735</v>
      </c>
      <c r="C34" s="151" t="e">
        <v>#N/A</v>
      </c>
      <c r="D34" s="151" t="s">
        <v>733</v>
      </c>
      <c r="E34" s="151" t="s">
        <v>734</v>
      </c>
      <c r="F34" s="151" t="s">
        <v>707</v>
      </c>
      <c r="G34" s="795">
        <v>1.501</v>
      </c>
      <c r="H34" s="795">
        <v>2</v>
      </c>
      <c r="I34" s="24"/>
      <c r="J34" s="24"/>
      <c r="K34" s="797">
        <v>108</v>
      </c>
      <c r="L34" s="797">
        <v>55</v>
      </c>
      <c r="M34" s="151" t="s">
        <v>696</v>
      </c>
    </row>
    <row r="35" ht="33" spans="2:13">
      <c r="B35" s="151" t="s">
        <v>735</v>
      </c>
      <c r="C35" s="151" t="e">
        <v>#N/A</v>
      </c>
      <c r="D35" s="151" t="s">
        <v>733</v>
      </c>
      <c r="E35" s="151" t="s">
        <v>734</v>
      </c>
      <c r="F35" s="151" t="s">
        <v>709</v>
      </c>
      <c r="G35" s="795">
        <v>2.001</v>
      </c>
      <c r="H35" s="795">
        <v>30</v>
      </c>
      <c r="I35" s="24"/>
      <c r="J35" s="24"/>
      <c r="K35" s="797">
        <v>108</v>
      </c>
      <c r="L35" s="797">
        <v>55</v>
      </c>
      <c r="M35" s="151" t="s">
        <v>696</v>
      </c>
    </row>
    <row r="36" ht="16.5" customHeight="1" spans="2:13">
      <c r="B36" s="794" t="s">
        <v>26</v>
      </c>
      <c r="C36" s="151" t="s">
        <v>27</v>
      </c>
      <c r="D36" s="151" t="s">
        <v>736</v>
      </c>
      <c r="E36" s="151" t="s">
        <v>701</v>
      </c>
      <c r="F36" s="151" t="s">
        <v>737</v>
      </c>
      <c r="G36" s="795">
        <v>0.001</v>
      </c>
      <c r="H36" s="795">
        <v>1</v>
      </c>
      <c r="I36" s="24"/>
      <c r="J36" s="24"/>
      <c r="K36" s="797">
        <v>68</v>
      </c>
      <c r="L36" s="797">
        <v>16</v>
      </c>
      <c r="M36" s="151" t="s">
        <v>738</v>
      </c>
    </row>
    <row r="37" ht="33" spans="2:13">
      <c r="B37" s="794" t="s">
        <v>26</v>
      </c>
      <c r="C37" s="151" t="s">
        <v>27</v>
      </c>
      <c r="D37" s="151" t="s">
        <v>739</v>
      </c>
      <c r="E37" s="151" t="s">
        <v>701</v>
      </c>
      <c r="F37" s="151" t="s">
        <v>740</v>
      </c>
      <c r="G37" s="795">
        <v>1.001</v>
      </c>
      <c r="H37" s="795">
        <v>20</v>
      </c>
      <c r="I37" s="24"/>
      <c r="J37" s="24"/>
      <c r="K37" s="797">
        <v>70</v>
      </c>
      <c r="L37" s="797">
        <v>16</v>
      </c>
      <c r="M37" s="151" t="s">
        <v>738</v>
      </c>
    </row>
    <row r="38" ht="33" customHeight="1" spans="2:13">
      <c r="B38" s="794" t="s">
        <v>28</v>
      </c>
      <c r="C38" s="151" t="s">
        <v>29</v>
      </c>
      <c r="D38" s="151" t="s">
        <v>722</v>
      </c>
      <c r="E38" s="151" t="s">
        <v>698</v>
      </c>
      <c r="F38" s="151" t="s">
        <v>741</v>
      </c>
      <c r="G38" s="795">
        <v>0.001</v>
      </c>
      <c r="H38" s="795">
        <v>0.2</v>
      </c>
      <c r="I38" s="24"/>
      <c r="J38" s="24"/>
      <c r="K38" s="797">
        <v>84</v>
      </c>
      <c r="L38" s="797">
        <v>18</v>
      </c>
      <c r="M38" s="151" t="s">
        <v>738</v>
      </c>
    </row>
    <row r="39" ht="33" spans="2:13">
      <c r="B39" s="794" t="s">
        <v>28</v>
      </c>
      <c r="C39" s="151" t="s">
        <v>29</v>
      </c>
      <c r="D39" s="151" t="s">
        <v>716</v>
      </c>
      <c r="E39" s="151" t="s">
        <v>724</v>
      </c>
      <c r="F39" s="151" t="s">
        <v>742</v>
      </c>
      <c r="G39" s="795">
        <v>0.201</v>
      </c>
      <c r="H39" s="795">
        <v>0.5</v>
      </c>
      <c r="I39" s="24"/>
      <c r="J39" s="24"/>
      <c r="K39" s="797">
        <v>82</v>
      </c>
      <c r="L39" s="797">
        <v>19</v>
      </c>
      <c r="M39" s="151" t="s">
        <v>738</v>
      </c>
    </row>
    <row r="40" ht="33" spans="2:13">
      <c r="B40" s="794" t="s">
        <v>28</v>
      </c>
      <c r="C40" s="151" t="s">
        <v>29</v>
      </c>
      <c r="D40" s="151" t="s">
        <v>710</v>
      </c>
      <c r="E40" s="151" t="s">
        <v>717</v>
      </c>
      <c r="F40" s="151" t="s">
        <v>743</v>
      </c>
      <c r="G40" s="795">
        <v>0.501</v>
      </c>
      <c r="H40" s="795">
        <v>30</v>
      </c>
      <c r="I40" s="24"/>
      <c r="J40" s="24"/>
      <c r="K40" s="797">
        <v>78</v>
      </c>
      <c r="L40" s="797">
        <v>23</v>
      </c>
      <c r="M40" s="151" t="s">
        <v>738</v>
      </c>
    </row>
    <row r="41" ht="33" customHeight="1" spans="2:13">
      <c r="B41" s="794" t="s">
        <v>72</v>
      </c>
      <c r="C41" s="151" t="s">
        <v>73</v>
      </c>
      <c r="D41" s="151" t="s">
        <v>739</v>
      </c>
      <c r="E41" s="151" t="s">
        <v>724</v>
      </c>
      <c r="F41" s="151" t="s">
        <v>744</v>
      </c>
      <c r="G41" s="795">
        <v>0.001</v>
      </c>
      <c r="H41" s="795">
        <v>0.3</v>
      </c>
      <c r="I41" s="24"/>
      <c r="J41" s="24"/>
      <c r="K41" s="797">
        <v>70</v>
      </c>
      <c r="L41" s="797">
        <v>19</v>
      </c>
      <c r="M41" s="151" t="s">
        <v>738</v>
      </c>
    </row>
    <row r="42" ht="33" spans="2:13">
      <c r="B42" s="794" t="s">
        <v>72</v>
      </c>
      <c r="C42" s="151" t="s">
        <v>73</v>
      </c>
      <c r="D42" s="151" t="s">
        <v>745</v>
      </c>
      <c r="E42" s="151" t="s">
        <v>714</v>
      </c>
      <c r="F42" s="151" t="s">
        <v>746</v>
      </c>
      <c r="G42" s="795">
        <v>0.301</v>
      </c>
      <c r="H42" s="795">
        <v>30</v>
      </c>
      <c r="I42" s="24"/>
      <c r="J42" s="24"/>
      <c r="K42" s="797">
        <v>65</v>
      </c>
      <c r="L42" s="797">
        <v>22</v>
      </c>
      <c r="M42" s="151" t="s">
        <v>738</v>
      </c>
    </row>
    <row r="43" ht="33" spans="2:13">
      <c r="B43" s="794" t="s">
        <v>32</v>
      </c>
      <c r="C43" s="151" t="s">
        <v>33</v>
      </c>
      <c r="D43" s="151" t="s">
        <v>736</v>
      </c>
      <c r="E43" s="151" t="s">
        <v>747</v>
      </c>
      <c r="F43" s="151" t="s">
        <v>748</v>
      </c>
      <c r="G43" s="795">
        <v>0.001</v>
      </c>
      <c r="H43" s="795">
        <v>30</v>
      </c>
      <c r="I43" s="24"/>
      <c r="J43" s="24"/>
      <c r="K43" s="797">
        <v>68</v>
      </c>
      <c r="L43" s="797">
        <v>25</v>
      </c>
      <c r="M43" s="151" t="s">
        <v>738</v>
      </c>
    </row>
    <row r="44" ht="33" spans="2:13">
      <c r="B44" s="794" t="s">
        <v>34</v>
      </c>
      <c r="C44" s="151" t="s">
        <v>35</v>
      </c>
      <c r="D44" s="151" t="s">
        <v>749</v>
      </c>
      <c r="E44" s="151" t="s">
        <v>698</v>
      </c>
      <c r="F44" s="151" t="s">
        <v>748</v>
      </c>
      <c r="G44" s="795">
        <v>0.001</v>
      </c>
      <c r="H44" s="795">
        <v>30</v>
      </c>
      <c r="I44" s="24"/>
      <c r="J44" s="24"/>
      <c r="K44" s="798">
        <v>74</v>
      </c>
      <c r="L44" s="798">
        <v>18</v>
      </c>
      <c r="M44" s="151" t="s">
        <v>738</v>
      </c>
    </row>
    <row r="45" ht="33" customHeight="1" spans="2:13">
      <c r="B45" s="796" t="s">
        <v>92</v>
      </c>
      <c r="C45" s="151" t="s">
        <v>93</v>
      </c>
      <c r="D45" s="250" t="s">
        <v>750</v>
      </c>
      <c r="E45" s="250" t="s">
        <v>711</v>
      </c>
      <c r="F45" s="151" t="s">
        <v>695</v>
      </c>
      <c r="G45" s="795">
        <v>0.001</v>
      </c>
      <c r="H45" s="795">
        <v>0.1</v>
      </c>
      <c r="I45" s="24"/>
      <c r="J45" s="24"/>
      <c r="K45" s="798">
        <v>93</v>
      </c>
      <c r="L45" s="798">
        <v>21</v>
      </c>
      <c r="M45" s="151" t="s">
        <v>738</v>
      </c>
    </row>
    <row r="46" ht="33" spans="2:13">
      <c r="B46" s="796" t="s">
        <v>92</v>
      </c>
      <c r="C46" s="151" t="s">
        <v>93</v>
      </c>
      <c r="D46" s="250" t="s">
        <v>719</v>
      </c>
      <c r="E46" s="250" t="s">
        <v>717</v>
      </c>
      <c r="F46" s="151" t="s">
        <v>699</v>
      </c>
      <c r="G46" s="795">
        <v>0.101</v>
      </c>
      <c r="H46" s="795">
        <v>0.2</v>
      </c>
      <c r="I46" s="24"/>
      <c r="J46" s="24"/>
      <c r="K46" s="798">
        <v>83</v>
      </c>
      <c r="L46" s="798">
        <v>23</v>
      </c>
      <c r="M46" s="151" t="s">
        <v>738</v>
      </c>
    </row>
    <row r="47" ht="16.5" spans="2:13">
      <c r="B47" s="796" t="s">
        <v>92</v>
      </c>
      <c r="C47" s="151" t="s">
        <v>93</v>
      </c>
      <c r="D47" s="250" t="s">
        <v>751</v>
      </c>
      <c r="E47" s="250" t="s">
        <v>717</v>
      </c>
      <c r="F47" s="151" t="s">
        <v>752</v>
      </c>
      <c r="G47" s="795">
        <v>0.201</v>
      </c>
      <c r="H47" s="795">
        <v>2</v>
      </c>
      <c r="I47" s="24"/>
      <c r="J47" s="24"/>
      <c r="K47" s="798">
        <v>81</v>
      </c>
      <c r="L47" s="798">
        <v>23</v>
      </c>
      <c r="M47" s="151" t="s">
        <v>738</v>
      </c>
    </row>
    <row r="48" ht="33" spans="2:13">
      <c r="B48" s="796" t="s">
        <v>92</v>
      </c>
      <c r="C48" s="151" t="s">
        <v>93</v>
      </c>
      <c r="D48" s="250" t="s">
        <v>753</v>
      </c>
      <c r="E48" s="250" t="s">
        <v>717</v>
      </c>
      <c r="F48" s="151" t="s">
        <v>709</v>
      </c>
      <c r="G48" s="795">
        <v>2.001</v>
      </c>
      <c r="H48" s="795">
        <v>30</v>
      </c>
      <c r="I48" s="24"/>
      <c r="J48" s="24"/>
      <c r="K48" s="797">
        <v>80</v>
      </c>
      <c r="L48" s="797">
        <v>23</v>
      </c>
      <c r="M48" s="151" t="s">
        <v>738</v>
      </c>
    </row>
    <row r="49" ht="33" customHeight="1" spans="2:13">
      <c r="B49" s="151" t="s">
        <v>30</v>
      </c>
      <c r="C49" s="151" t="s">
        <v>31</v>
      </c>
      <c r="D49" s="151" t="s">
        <v>754</v>
      </c>
      <c r="E49" s="151" t="s">
        <v>717</v>
      </c>
      <c r="F49" s="151" t="s">
        <v>741</v>
      </c>
      <c r="G49" s="795">
        <v>0.001</v>
      </c>
      <c r="H49" s="795">
        <v>0.2</v>
      </c>
      <c r="I49" s="24"/>
      <c r="J49" s="24"/>
      <c r="K49" s="797">
        <v>72</v>
      </c>
      <c r="L49" s="797">
        <v>23</v>
      </c>
      <c r="M49" s="151" t="s">
        <v>738</v>
      </c>
    </row>
    <row r="50" ht="33" spans="2:13">
      <c r="B50" s="151" t="s">
        <v>30</v>
      </c>
      <c r="C50" s="151" t="s">
        <v>31</v>
      </c>
      <c r="D50" s="151" t="s">
        <v>754</v>
      </c>
      <c r="E50" s="151" t="s">
        <v>717</v>
      </c>
      <c r="F50" s="151" t="s">
        <v>742</v>
      </c>
      <c r="G50" s="795">
        <v>0.201</v>
      </c>
      <c r="H50" s="795">
        <v>0.5</v>
      </c>
      <c r="I50" s="24"/>
      <c r="J50" s="24"/>
      <c r="K50" s="797">
        <v>72</v>
      </c>
      <c r="L50" s="797">
        <v>23</v>
      </c>
      <c r="M50" s="151" t="s">
        <v>738</v>
      </c>
    </row>
    <row r="51" ht="33" spans="2:13">
      <c r="B51" s="151" t="s">
        <v>30</v>
      </c>
      <c r="C51" s="151" t="s">
        <v>31</v>
      </c>
      <c r="D51" s="151" t="s">
        <v>754</v>
      </c>
      <c r="E51" s="151" t="s">
        <v>717</v>
      </c>
      <c r="F51" s="151" t="s">
        <v>743</v>
      </c>
      <c r="G51" s="795">
        <v>0.501</v>
      </c>
      <c r="H51" s="795">
        <v>30</v>
      </c>
      <c r="I51" s="24"/>
      <c r="J51" s="24"/>
      <c r="K51" s="797">
        <v>72</v>
      </c>
      <c r="L51" s="797">
        <v>23</v>
      </c>
      <c r="M51" s="151" t="s">
        <v>738</v>
      </c>
    </row>
    <row r="52" ht="33" customHeight="1" spans="2:13">
      <c r="B52" s="151" t="s">
        <v>36</v>
      </c>
      <c r="C52" s="151" t="s">
        <v>37</v>
      </c>
      <c r="D52" s="151" t="s">
        <v>755</v>
      </c>
      <c r="E52" s="151" t="s">
        <v>717</v>
      </c>
      <c r="F52" s="151" t="s">
        <v>741</v>
      </c>
      <c r="G52" s="795">
        <v>0.001</v>
      </c>
      <c r="H52" s="795">
        <v>0.2</v>
      </c>
      <c r="I52" s="24"/>
      <c r="J52" s="24"/>
      <c r="K52" s="797">
        <v>88</v>
      </c>
      <c r="L52" s="797">
        <v>23</v>
      </c>
      <c r="M52" s="151" t="s">
        <v>696</v>
      </c>
    </row>
    <row r="53" ht="16.5" spans="2:13">
      <c r="B53" s="151" t="s">
        <v>36</v>
      </c>
      <c r="C53" s="151" t="s">
        <v>37</v>
      </c>
      <c r="D53" s="151" t="s">
        <v>755</v>
      </c>
      <c r="E53" s="151" t="s">
        <v>711</v>
      </c>
      <c r="F53" s="151" t="s">
        <v>752</v>
      </c>
      <c r="G53" s="795">
        <v>0.201</v>
      </c>
      <c r="H53" s="795">
        <v>2</v>
      </c>
      <c r="I53" s="24"/>
      <c r="J53" s="24"/>
      <c r="K53" s="797">
        <v>88</v>
      </c>
      <c r="L53" s="797">
        <v>21</v>
      </c>
      <c r="M53" s="151" t="s">
        <v>696</v>
      </c>
    </row>
    <row r="54" ht="33" spans="2:13">
      <c r="B54" s="151" t="s">
        <v>36</v>
      </c>
      <c r="C54" s="151" t="s">
        <v>37</v>
      </c>
      <c r="D54" s="151" t="s">
        <v>756</v>
      </c>
      <c r="E54" s="151" t="s">
        <v>711</v>
      </c>
      <c r="F54" s="151" t="s">
        <v>709</v>
      </c>
      <c r="G54" s="795">
        <v>2.001</v>
      </c>
      <c r="H54" s="795">
        <v>30</v>
      </c>
      <c r="I54" s="24"/>
      <c r="J54" s="24"/>
      <c r="K54" s="797">
        <v>77</v>
      </c>
      <c r="L54" s="797">
        <v>21</v>
      </c>
      <c r="M54" s="151" t="s">
        <v>696</v>
      </c>
    </row>
    <row r="55" ht="33" spans="2:13">
      <c r="B55" s="151" t="s">
        <v>44</v>
      </c>
      <c r="C55" s="151" t="s">
        <v>45</v>
      </c>
      <c r="D55" s="151" t="s">
        <v>739</v>
      </c>
      <c r="E55" s="151" t="s">
        <v>757</v>
      </c>
      <c r="F55" s="151" t="s">
        <v>748</v>
      </c>
      <c r="G55" s="795">
        <v>0.001</v>
      </c>
      <c r="H55" s="795">
        <v>30</v>
      </c>
      <c r="I55" s="24"/>
      <c r="J55" s="24"/>
      <c r="K55" s="797">
        <v>70</v>
      </c>
      <c r="L55" s="797">
        <v>17</v>
      </c>
      <c r="M55" s="151" t="s">
        <v>696</v>
      </c>
    </row>
    <row r="56" ht="33" customHeight="1" spans="2:13">
      <c r="B56" s="151" t="s">
        <v>38</v>
      </c>
      <c r="C56" s="151" t="s">
        <v>39</v>
      </c>
      <c r="D56" s="151" t="s">
        <v>758</v>
      </c>
      <c r="E56" s="151" t="s">
        <v>714</v>
      </c>
      <c r="F56" s="151" t="s">
        <v>741</v>
      </c>
      <c r="G56" s="795">
        <v>0.001</v>
      </c>
      <c r="H56" s="795">
        <v>0.2</v>
      </c>
      <c r="I56" s="24"/>
      <c r="J56" s="24"/>
      <c r="K56" s="797">
        <v>85</v>
      </c>
      <c r="L56" s="797">
        <v>22</v>
      </c>
      <c r="M56" s="151" t="s">
        <v>696</v>
      </c>
    </row>
    <row r="57" ht="33" spans="2:13">
      <c r="B57" s="151" t="s">
        <v>38</v>
      </c>
      <c r="C57" s="151" t="s">
        <v>39</v>
      </c>
      <c r="D57" s="151" t="s">
        <v>759</v>
      </c>
      <c r="E57" s="151" t="s">
        <v>760</v>
      </c>
      <c r="F57" s="151" t="s">
        <v>742</v>
      </c>
      <c r="G57" s="795">
        <v>0.201</v>
      </c>
      <c r="H57" s="795">
        <v>0.5</v>
      </c>
      <c r="I57" s="24"/>
      <c r="J57" s="24"/>
      <c r="K57" s="797">
        <v>100</v>
      </c>
      <c r="L57" s="797">
        <v>24</v>
      </c>
      <c r="M57" s="151" t="s">
        <v>696</v>
      </c>
    </row>
    <row r="58" ht="16.5" spans="2:13">
      <c r="B58" s="151" t="s">
        <v>38</v>
      </c>
      <c r="C58" s="151" t="s">
        <v>39</v>
      </c>
      <c r="D58" s="151" t="s">
        <v>761</v>
      </c>
      <c r="E58" s="151" t="s">
        <v>760</v>
      </c>
      <c r="F58" s="151" t="s">
        <v>725</v>
      </c>
      <c r="G58" s="795">
        <v>0.501</v>
      </c>
      <c r="H58" s="795">
        <v>1</v>
      </c>
      <c r="I58" s="24"/>
      <c r="J58" s="24"/>
      <c r="K58" s="797">
        <v>104</v>
      </c>
      <c r="L58" s="797">
        <v>24</v>
      </c>
      <c r="M58" s="151" t="s">
        <v>696</v>
      </c>
    </row>
    <row r="59" ht="16.5" spans="2:13">
      <c r="B59" s="151" t="s">
        <v>38</v>
      </c>
      <c r="C59" s="151" t="s">
        <v>39</v>
      </c>
      <c r="D59" s="151" t="s">
        <v>761</v>
      </c>
      <c r="E59" s="151" t="s">
        <v>760</v>
      </c>
      <c r="F59" s="151" t="s">
        <v>762</v>
      </c>
      <c r="G59" s="795">
        <v>1.001</v>
      </c>
      <c r="H59" s="795">
        <v>2</v>
      </c>
      <c r="I59" s="24"/>
      <c r="J59" s="24"/>
      <c r="K59" s="797">
        <v>104</v>
      </c>
      <c r="L59" s="797">
        <v>24</v>
      </c>
      <c r="M59" s="151" t="s">
        <v>696</v>
      </c>
    </row>
    <row r="60" ht="33" spans="2:13">
      <c r="B60" s="151" t="s">
        <v>38</v>
      </c>
      <c r="C60" s="151" t="s">
        <v>39</v>
      </c>
      <c r="D60" s="151" t="s">
        <v>763</v>
      </c>
      <c r="E60" s="151" t="s">
        <v>764</v>
      </c>
      <c r="F60" s="151" t="s">
        <v>709</v>
      </c>
      <c r="G60" s="795">
        <v>2.001</v>
      </c>
      <c r="H60" s="795">
        <v>30</v>
      </c>
      <c r="I60" s="24"/>
      <c r="J60" s="24"/>
      <c r="K60" s="797">
        <v>112</v>
      </c>
      <c r="L60" s="797">
        <v>34</v>
      </c>
      <c r="M60" s="151" t="s">
        <v>696</v>
      </c>
    </row>
    <row r="61" ht="33" customHeight="1" spans="2:13">
      <c r="B61" s="151" t="s">
        <v>108</v>
      </c>
      <c r="C61" s="151" t="s">
        <v>109</v>
      </c>
      <c r="D61" s="151" t="s">
        <v>726</v>
      </c>
      <c r="E61" s="151" t="s">
        <v>765</v>
      </c>
      <c r="F61" s="151" t="s">
        <v>741</v>
      </c>
      <c r="G61" s="795">
        <v>0.001</v>
      </c>
      <c r="H61" s="795">
        <v>0.2</v>
      </c>
      <c r="I61" s="24"/>
      <c r="J61" s="24"/>
      <c r="K61" s="797">
        <v>90</v>
      </c>
      <c r="L61" s="797">
        <v>29</v>
      </c>
      <c r="M61" s="151" t="s">
        <v>738</v>
      </c>
    </row>
    <row r="62" ht="33" spans="2:13">
      <c r="B62" s="151" t="s">
        <v>108</v>
      </c>
      <c r="C62" s="151" t="s">
        <v>109</v>
      </c>
      <c r="D62" s="151" t="s">
        <v>766</v>
      </c>
      <c r="E62" s="151" t="s">
        <v>765</v>
      </c>
      <c r="F62" s="151" t="s">
        <v>767</v>
      </c>
      <c r="G62" s="795">
        <v>0.201</v>
      </c>
      <c r="H62" s="795">
        <v>20</v>
      </c>
      <c r="I62" s="24"/>
      <c r="J62" s="24"/>
      <c r="K62" s="797">
        <v>132</v>
      </c>
      <c r="L62" s="797">
        <v>29</v>
      </c>
      <c r="M62" s="151" t="s">
        <v>738</v>
      </c>
    </row>
    <row r="63" ht="16.5" spans="2:13">
      <c r="B63" s="151" t="s">
        <v>48</v>
      </c>
      <c r="C63" s="151" t="s">
        <v>49</v>
      </c>
      <c r="D63" s="151" t="s">
        <v>768</v>
      </c>
      <c r="E63" s="151" t="s">
        <v>694</v>
      </c>
      <c r="F63" s="151" t="s">
        <v>769</v>
      </c>
      <c r="G63" s="795">
        <v>0.001</v>
      </c>
      <c r="H63" s="795">
        <v>2</v>
      </c>
      <c r="I63" s="24"/>
      <c r="J63" s="24"/>
      <c r="K63" s="797">
        <v>52</v>
      </c>
      <c r="L63" s="797">
        <v>20</v>
      </c>
      <c r="M63" s="151" t="s">
        <v>696</v>
      </c>
    </row>
    <row r="64" ht="33" customHeight="1" spans="2:13">
      <c r="B64" s="151" t="s">
        <v>74</v>
      </c>
      <c r="C64" s="151" t="s">
        <v>75</v>
      </c>
      <c r="D64" s="151" t="s">
        <v>770</v>
      </c>
      <c r="E64" s="151" t="s">
        <v>760</v>
      </c>
      <c r="F64" s="151" t="s">
        <v>744</v>
      </c>
      <c r="G64" s="795">
        <v>0.001</v>
      </c>
      <c r="H64" s="795">
        <v>0.3</v>
      </c>
      <c r="I64" s="24"/>
      <c r="J64" s="24"/>
      <c r="K64" s="797">
        <v>91</v>
      </c>
      <c r="L64" s="797">
        <v>24</v>
      </c>
      <c r="M64" s="151" t="s">
        <v>696</v>
      </c>
    </row>
    <row r="65" ht="16.5" spans="2:13">
      <c r="B65" s="151" t="s">
        <v>74</v>
      </c>
      <c r="C65" s="151" t="s">
        <v>75</v>
      </c>
      <c r="D65" s="151" t="s">
        <v>771</v>
      </c>
      <c r="E65" s="151" t="s">
        <v>760</v>
      </c>
      <c r="F65" s="151" t="s">
        <v>772</v>
      </c>
      <c r="G65" s="795">
        <v>0.301</v>
      </c>
      <c r="H65" s="795">
        <v>2</v>
      </c>
      <c r="I65" s="24"/>
      <c r="J65" s="24"/>
      <c r="K65" s="797">
        <v>75</v>
      </c>
      <c r="L65" s="797">
        <v>24</v>
      </c>
      <c r="M65" s="151" t="s">
        <v>696</v>
      </c>
    </row>
    <row r="66" ht="16.5" customHeight="1" spans="2:13">
      <c r="B66" s="151" t="s">
        <v>50</v>
      </c>
      <c r="C66" s="151" t="s">
        <v>51</v>
      </c>
      <c r="D66" s="151" t="s">
        <v>756</v>
      </c>
      <c r="E66" s="151" t="s">
        <v>694</v>
      </c>
      <c r="F66" s="151" t="s">
        <v>769</v>
      </c>
      <c r="G66" s="795">
        <v>0.001</v>
      </c>
      <c r="H66" s="795">
        <v>2</v>
      </c>
      <c r="I66" s="24"/>
      <c r="J66" s="24"/>
      <c r="K66" s="797">
        <v>77</v>
      </c>
      <c r="L66" s="797">
        <v>20</v>
      </c>
      <c r="M66" s="151" t="s">
        <v>696</v>
      </c>
    </row>
    <row r="67" ht="33" spans="2:13">
      <c r="B67" s="151" t="s">
        <v>50</v>
      </c>
      <c r="C67" s="151" t="s">
        <v>51</v>
      </c>
      <c r="D67" s="151" t="s">
        <v>756</v>
      </c>
      <c r="E67" s="151" t="s">
        <v>694</v>
      </c>
      <c r="F67" s="151" t="s">
        <v>709</v>
      </c>
      <c r="G67" s="795">
        <v>2.001</v>
      </c>
      <c r="H67" s="795">
        <v>30</v>
      </c>
      <c r="I67" s="24"/>
      <c r="J67" s="24"/>
      <c r="K67" s="797">
        <v>77</v>
      </c>
      <c r="L67" s="797">
        <v>20</v>
      </c>
      <c r="M67" s="151" t="s">
        <v>696</v>
      </c>
    </row>
    <row r="68" ht="33" spans="2:13">
      <c r="B68" s="151" t="s">
        <v>52</v>
      </c>
      <c r="C68" s="151" t="s">
        <v>53</v>
      </c>
      <c r="D68" s="151" t="s">
        <v>749</v>
      </c>
      <c r="E68" s="151" t="s">
        <v>773</v>
      </c>
      <c r="F68" s="151" t="s">
        <v>774</v>
      </c>
      <c r="G68" s="795">
        <v>0.001</v>
      </c>
      <c r="H68" s="795">
        <v>20</v>
      </c>
      <c r="I68" s="24"/>
      <c r="J68" s="24"/>
      <c r="K68" s="797">
        <v>74</v>
      </c>
      <c r="L68" s="797">
        <v>26</v>
      </c>
      <c r="M68" s="151" t="s">
        <v>696</v>
      </c>
    </row>
    <row r="69" ht="33" spans="2:13">
      <c r="B69" s="151" t="s">
        <v>76</v>
      </c>
      <c r="C69" s="151" t="s">
        <v>77</v>
      </c>
      <c r="D69" s="151" t="s">
        <v>726</v>
      </c>
      <c r="E69" s="151" t="s">
        <v>698</v>
      </c>
      <c r="F69" s="151" t="s">
        <v>748</v>
      </c>
      <c r="G69" s="795">
        <v>0.001</v>
      </c>
      <c r="H69" s="795">
        <v>30</v>
      </c>
      <c r="I69" s="24"/>
      <c r="J69" s="24"/>
      <c r="K69" s="797">
        <v>90</v>
      </c>
      <c r="L69" s="797">
        <v>18</v>
      </c>
      <c r="M69" s="151" t="s">
        <v>738</v>
      </c>
    </row>
    <row r="70" ht="33" spans="2:13">
      <c r="B70" s="151" t="s">
        <v>46</v>
      </c>
      <c r="C70" s="151" t="s">
        <v>47</v>
      </c>
      <c r="D70" s="151" t="s">
        <v>758</v>
      </c>
      <c r="E70" s="151" t="s">
        <v>717</v>
      </c>
      <c r="F70" s="151" t="s">
        <v>748</v>
      </c>
      <c r="G70" s="795">
        <v>0.001</v>
      </c>
      <c r="H70" s="795">
        <v>30</v>
      </c>
      <c r="I70" s="24"/>
      <c r="J70" s="24"/>
      <c r="K70" s="797">
        <v>85</v>
      </c>
      <c r="L70" s="797">
        <v>23</v>
      </c>
      <c r="M70" s="151" t="s">
        <v>738</v>
      </c>
    </row>
    <row r="71" ht="33" spans="2:13">
      <c r="B71" s="151" t="s">
        <v>54</v>
      </c>
      <c r="C71" s="151" t="s">
        <v>55</v>
      </c>
      <c r="D71" s="151" t="s">
        <v>771</v>
      </c>
      <c r="E71" s="151" t="s">
        <v>711</v>
      </c>
      <c r="F71" s="151" t="s">
        <v>748</v>
      </c>
      <c r="G71" s="795">
        <v>0.001</v>
      </c>
      <c r="H71" s="795">
        <v>30</v>
      </c>
      <c r="I71" s="24"/>
      <c r="J71" s="24"/>
      <c r="K71" s="797">
        <v>75</v>
      </c>
      <c r="L71" s="797">
        <v>21</v>
      </c>
      <c r="M71" s="151" t="s">
        <v>696</v>
      </c>
    </row>
    <row r="72" ht="33" spans="2:13">
      <c r="B72" s="151" t="s">
        <v>42</v>
      </c>
      <c r="C72" s="151" t="s">
        <v>43</v>
      </c>
      <c r="D72" s="151" t="s">
        <v>726</v>
      </c>
      <c r="E72" s="151" t="s">
        <v>717</v>
      </c>
      <c r="F72" s="151" t="s">
        <v>774</v>
      </c>
      <c r="G72" s="795">
        <v>0.001</v>
      </c>
      <c r="H72" s="795">
        <v>20</v>
      </c>
      <c r="I72" s="24"/>
      <c r="J72" s="24"/>
      <c r="K72" s="797">
        <v>90</v>
      </c>
      <c r="L72" s="797">
        <v>23</v>
      </c>
      <c r="M72" s="151" t="s">
        <v>696</v>
      </c>
    </row>
    <row r="73" ht="16.5" customHeight="1" spans="2:13">
      <c r="B73" s="151" t="s">
        <v>58</v>
      </c>
      <c r="C73" s="151" t="s">
        <v>59</v>
      </c>
      <c r="D73" s="151" t="s">
        <v>775</v>
      </c>
      <c r="E73" s="151" t="s">
        <v>694</v>
      </c>
      <c r="F73" s="151" t="s">
        <v>769</v>
      </c>
      <c r="G73" s="795">
        <v>0.001</v>
      </c>
      <c r="H73" s="795">
        <v>2</v>
      </c>
      <c r="I73" s="24"/>
      <c r="J73" s="24"/>
      <c r="K73" s="797">
        <v>69</v>
      </c>
      <c r="L73" s="797">
        <v>20</v>
      </c>
      <c r="M73" s="151" t="s">
        <v>696</v>
      </c>
    </row>
    <row r="74" ht="33" spans="2:13">
      <c r="B74" s="151" t="s">
        <v>58</v>
      </c>
      <c r="C74" s="151" t="s">
        <v>59</v>
      </c>
      <c r="D74" s="151" t="s">
        <v>775</v>
      </c>
      <c r="E74" s="151" t="s">
        <v>694</v>
      </c>
      <c r="F74" s="151" t="s">
        <v>709</v>
      </c>
      <c r="G74" s="795">
        <v>2.001</v>
      </c>
      <c r="H74" s="795">
        <v>30</v>
      </c>
      <c r="I74" s="24"/>
      <c r="J74" s="24"/>
      <c r="K74" s="797">
        <v>69</v>
      </c>
      <c r="L74" s="797">
        <v>20</v>
      </c>
      <c r="M74" s="151" t="s">
        <v>696</v>
      </c>
    </row>
    <row r="75" ht="16.5" customHeight="1" spans="2:13">
      <c r="B75" s="151" t="s">
        <v>40</v>
      </c>
      <c r="C75" s="151" t="s">
        <v>41</v>
      </c>
      <c r="D75" s="151" t="s">
        <v>700</v>
      </c>
      <c r="E75" s="151" t="s">
        <v>773</v>
      </c>
      <c r="F75" s="151" t="s">
        <v>769</v>
      </c>
      <c r="G75" s="795">
        <v>0.001</v>
      </c>
      <c r="H75" s="795">
        <v>2</v>
      </c>
      <c r="I75" s="24"/>
      <c r="J75" s="24"/>
      <c r="K75" s="797">
        <v>110</v>
      </c>
      <c r="L75" s="797">
        <v>26</v>
      </c>
      <c r="M75" s="151" t="s">
        <v>696</v>
      </c>
    </row>
    <row r="76" ht="33" spans="2:13">
      <c r="B76" s="151" t="s">
        <v>40</v>
      </c>
      <c r="C76" s="151" t="s">
        <v>41</v>
      </c>
      <c r="D76" s="151" t="s">
        <v>776</v>
      </c>
      <c r="E76" s="151" t="s">
        <v>773</v>
      </c>
      <c r="F76" s="151" t="s">
        <v>709</v>
      </c>
      <c r="G76" s="795">
        <v>2.001</v>
      </c>
      <c r="H76" s="795">
        <v>30</v>
      </c>
      <c r="I76" s="24"/>
      <c r="J76" s="24"/>
      <c r="K76" s="797">
        <v>115</v>
      </c>
      <c r="L76" s="797">
        <v>26</v>
      </c>
      <c r="M76" s="151" t="s">
        <v>696</v>
      </c>
    </row>
    <row r="77" ht="16.5" customHeight="1" spans="2:13">
      <c r="B77" s="151" t="s">
        <v>56</v>
      </c>
      <c r="C77" s="151" t="s">
        <v>57</v>
      </c>
      <c r="D77" s="151" t="s">
        <v>756</v>
      </c>
      <c r="E77" s="151" t="s">
        <v>694</v>
      </c>
      <c r="F77" s="151" t="s">
        <v>769</v>
      </c>
      <c r="G77" s="795">
        <v>0.001</v>
      </c>
      <c r="H77" s="795">
        <v>2</v>
      </c>
      <c r="I77" s="24"/>
      <c r="J77" s="24"/>
      <c r="K77" s="797">
        <v>77</v>
      </c>
      <c r="L77" s="797">
        <v>20</v>
      </c>
      <c r="M77" s="151" t="s">
        <v>696</v>
      </c>
    </row>
    <row r="78" ht="33" spans="2:13">
      <c r="B78" s="151" t="s">
        <v>56</v>
      </c>
      <c r="C78" s="151" t="s">
        <v>57</v>
      </c>
      <c r="D78" s="151" t="s">
        <v>756</v>
      </c>
      <c r="E78" s="151" t="s">
        <v>694</v>
      </c>
      <c r="F78" s="151" t="s">
        <v>709</v>
      </c>
      <c r="G78" s="795">
        <v>2.001</v>
      </c>
      <c r="H78" s="795">
        <v>30</v>
      </c>
      <c r="I78" s="24"/>
      <c r="J78" s="24"/>
      <c r="K78" s="797">
        <v>77</v>
      </c>
      <c r="L78" s="797">
        <v>20</v>
      </c>
      <c r="M78" s="151" t="s">
        <v>696</v>
      </c>
    </row>
    <row r="79" ht="33" spans="2:13">
      <c r="B79" s="151" t="s">
        <v>142</v>
      </c>
      <c r="C79" s="151" t="s">
        <v>143</v>
      </c>
      <c r="D79" s="151" t="s">
        <v>693</v>
      </c>
      <c r="E79" s="151" t="s">
        <v>777</v>
      </c>
      <c r="F79" s="151" t="s">
        <v>774</v>
      </c>
      <c r="G79" s="795">
        <v>0.001</v>
      </c>
      <c r="H79" s="795">
        <v>20</v>
      </c>
      <c r="I79" s="24"/>
      <c r="J79" s="24"/>
      <c r="K79" s="797">
        <v>120</v>
      </c>
      <c r="L79" s="797">
        <v>31</v>
      </c>
      <c r="M79" s="151" t="s">
        <v>696</v>
      </c>
    </row>
    <row r="80" ht="33" customHeight="1" spans="2:13">
      <c r="B80" s="151" t="s">
        <v>80</v>
      </c>
      <c r="C80" s="151" t="s">
        <v>81</v>
      </c>
      <c r="D80" s="151" t="s">
        <v>753</v>
      </c>
      <c r="E80" s="151" t="s">
        <v>694</v>
      </c>
      <c r="F80" s="151" t="s">
        <v>695</v>
      </c>
      <c r="G80" s="795">
        <v>0.001</v>
      </c>
      <c r="H80" s="795">
        <v>0.1</v>
      </c>
      <c r="I80" s="24"/>
      <c r="J80" s="24"/>
      <c r="K80" s="797">
        <v>80</v>
      </c>
      <c r="L80" s="797">
        <v>20</v>
      </c>
      <c r="M80" s="151" t="s">
        <v>696</v>
      </c>
    </row>
    <row r="81" ht="33" spans="2:13">
      <c r="B81" s="151" t="s">
        <v>80</v>
      </c>
      <c r="C81" s="151" t="s">
        <v>81</v>
      </c>
      <c r="D81" s="151" t="s">
        <v>778</v>
      </c>
      <c r="E81" s="151" t="s">
        <v>694</v>
      </c>
      <c r="F81" s="151" t="s">
        <v>779</v>
      </c>
      <c r="G81" s="795">
        <v>0.101</v>
      </c>
      <c r="H81" s="795">
        <v>0.3</v>
      </c>
      <c r="I81" s="24"/>
      <c r="J81" s="24"/>
      <c r="K81" s="797">
        <v>66</v>
      </c>
      <c r="L81" s="797">
        <v>20</v>
      </c>
      <c r="M81" s="151" t="s">
        <v>696</v>
      </c>
    </row>
    <row r="82" ht="16.5" spans="2:13">
      <c r="B82" s="151" t="s">
        <v>80</v>
      </c>
      <c r="C82" s="151" t="s">
        <v>81</v>
      </c>
      <c r="D82" s="151" t="s">
        <v>780</v>
      </c>
      <c r="E82" s="151" t="s">
        <v>694</v>
      </c>
      <c r="F82" s="151" t="s">
        <v>781</v>
      </c>
      <c r="G82" s="795">
        <v>0.301</v>
      </c>
      <c r="H82" s="795">
        <v>5</v>
      </c>
      <c r="I82" s="24"/>
      <c r="J82" s="24"/>
      <c r="K82" s="797">
        <v>58</v>
      </c>
      <c r="L82" s="797">
        <v>20</v>
      </c>
      <c r="M82" s="151" t="s">
        <v>696</v>
      </c>
    </row>
    <row r="83" ht="33" customHeight="1" spans="2:13">
      <c r="B83" s="151" t="s">
        <v>60</v>
      </c>
      <c r="C83" s="151" t="s">
        <v>61</v>
      </c>
      <c r="D83" s="151" t="s">
        <v>775</v>
      </c>
      <c r="E83" s="151" t="s">
        <v>782</v>
      </c>
      <c r="F83" s="151" t="s">
        <v>741</v>
      </c>
      <c r="G83" s="795">
        <v>0.001</v>
      </c>
      <c r="H83" s="795">
        <v>0.2</v>
      </c>
      <c r="I83" s="24"/>
      <c r="J83" s="24"/>
      <c r="K83" s="797">
        <v>69</v>
      </c>
      <c r="L83" s="797">
        <v>11</v>
      </c>
      <c r="M83" s="151" t="s">
        <v>738</v>
      </c>
    </row>
    <row r="84" ht="33" spans="2:13">
      <c r="B84" s="151" t="s">
        <v>60</v>
      </c>
      <c r="C84" s="151" t="s">
        <v>61</v>
      </c>
      <c r="D84" s="151" t="s">
        <v>783</v>
      </c>
      <c r="E84" s="151" t="s">
        <v>784</v>
      </c>
      <c r="F84" s="151" t="s">
        <v>767</v>
      </c>
      <c r="G84" s="795">
        <v>0.201</v>
      </c>
      <c r="H84" s="795">
        <v>20</v>
      </c>
      <c r="I84" s="24"/>
      <c r="J84" s="24"/>
      <c r="K84" s="797">
        <v>64</v>
      </c>
      <c r="L84" s="797">
        <v>15</v>
      </c>
      <c r="M84" s="151" t="s">
        <v>738</v>
      </c>
    </row>
    <row r="85" ht="33" spans="2:13">
      <c r="B85" s="151" t="s">
        <v>62</v>
      </c>
      <c r="C85" s="151" t="s">
        <v>63</v>
      </c>
      <c r="D85" s="151" t="s">
        <v>785</v>
      </c>
      <c r="E85" s="151" t="s">
        <v>694</v>
      </c>
      <c r="F85" s="151" t="s">
        <v>748</v>
      </c>
      <c r="G85" s="795">
        <v>0.001</v>
      </c>
      <c r="H85" s="795">
        <v>30</v>
      </c>
      <c r="I85" s="24"/>
      <c r="J85" s="24"/>
      <c r="K85" s="797">
        <v>89</v>
      </c>
      <c r="L85" s="797">
        <v>20</v>
      </c>
      <c r="M85" s="151" t="s">
        <v>738</v>
      </c>
    </row>
    <row r="86" ht="33" spans="2:13">
      <c r="B86" s="151" t="s">
        <v>64</v>
      </c>
      <c r="C86" s="151" t="s">
        <v>65</v>
      </c>
      <c r="D86" s="151" t="s">
        <v>739</v>
      </c>
      <c r="E86" s="151" t="s">
        <v>698</v>
      </c>
      <c r="F86" s="151" t="s">
        <v>748</v>
      </c>
      <c r="G86" s="795">
        <v>0.001</v>
      </c>
      <c r="H86" s="795">
        <v>30</v>
      </c>
      <c r="I86" s="24"/>
      <c r="J86" s="24"/>
      <c r="K86" s="797">
        <v>70</v>
      </c>
      <c r="L86" s="797">
        <v>18</v>
      </c>
      <c r="M86" s="151" t="s">
        <v>696</v>
      </c>
    </row>
    <row r="87" ht="33" customHeight="1" spans="2:13">
      <c r="B87" s="151" t="s">
        <v>70</v>
      </c>
      <c r="C87" s="151" t="s">
        <v>71</v>
      </c>
      <c r="D87" s="151" t="s">
        <v>754</v>
      </c>
      <c r="E87" s="151" t="s">
        <v>701</v>
      </c>
      <c r="F87" s="151" t="s">
        <v>744</v>
      </c>
      <c r="G87" s="795">
        <v>0.001</v>
      </c>
      <c r="H87" s="795">
        <v>0.3</v>
      </c>
      <c r="I87" s="24"/>
      <c r="J87" s="24"/>
      <c r="K87" s="797">
        <v>72</v>
      </c>
      <c r="L87" s="797">
        <v>16</v>
      </c>
      <c r="M87" s="151" t="s">
        <v>696</v>
      </c>
    </row>
    <row r="88" ht="16.5" spans="2:13">
      <c r="B88" s="151" t="s">
        <v>70</v>
      </c>
      <c r="C88" s="151" t="s">
        <v>71</v>
      </c>
      <c r="D88" s="151" t="s">
        <v>786</v>
      </c>
      <c r="E88" s="151" t="s">
        <v>711</v>
      </c>
      <c r="F88" s="151" t="s">
        <v>772</v>
      </c>
      <c r="G88" s="795">
        <v>0.301</v>
      </c>
      <c r="H88" s="795">
        <v>2</v>
      </c>
      <c r="I88" s="24"/>
      <c r="J88" s="24"/>
      <c r="K88" s="797">
        <v>62</v>
      </c>
      <c r="L88" s="797">
        <v>21</v>
      </c>
      <c r="M88" s="151" t="s">
        <v>696</v>
      </c>
    </row>
    <row r="89" ht="33" spans="2:13">
      <c r="B89" s="151" t="s">
        <v>70</v>
      </c>
      <c r="C89" s="151" t="s">
        <v>71</v>
      </c>
      <c r="D89" s="151" t="s">
        <v>745</v>
      </c>
      <c r="E89" s="151" t="s">
        <v>711</v>
      </c>
      <c r="F89" s="151" t="s">
        <v>787</v>
      </c>
      <c r="G89" s="795">
        <v>2.001</v>
      </c>
      <c r="H89" s="795">
        <v>20</v>
      </c>
      <c r="I89" s="24"/>
      <c r="J89" s="24"/>
      <c r="K89" s="797">
        <v>65</v>
      </c>
      <c r="L89" s="797">
        <v>21</v>
      </c>
      <c r="M89" s="151" t="s">
        <v>696</v>
      </c>
    </row>
    <row r="90" ht="33" spans="2:13">
      <c r="B90" s="151" t="s">
        <v>68</v>
      </c>
      <c r="C90" s="151" t="s">
        <v>69</v>
      </c>
      <c r="D90" s="151" t="s">
        <v>758</v>
      </c>
      <c r="E90" s="151" t="s">
        <v>760</v>
      </c>
      <c r="F90" s="151" t="s">
        <v>748</v>
      </c>
      <c r="G90" s="795">
        <v>0.001</v>
      </c>
      <c r="H90" s="795">
        <v>30</v>
      </c>
      <c r="I90" s="24"/>
      <c r="J90" s="24"/>
      <c r="K90" s="797">
        <v>85</v>
      </c>
      <c r="L90" s="797">
        <v>24</v>
      </c>
      <c r="M90" s="151" t="s">
        <v>738</v>
      </c>
    </row>
    <row r="91" ht="33" spans="2:13">
      <c r="B91" s="151" t="s">
        <v>66</v>
      </c>
      <c r="C91" s="151" t="s">
        <v>67</v>
      </c>
      <c r="D91" s="151" t="s">
        <v>710</v>
      </c>
      <c r="E91" s="151" t="s">
        <v>694</v>
      </c>
      <c r="F91" s="151" t="s">
        <v>748</v>
      </c>
      <c r="G91" s="795">
        <v>0.001</v>
      </c>
      <c r="H91" s="795">
        <v>30</v>
      </c>
      <c r="I91" s="24"/>
      <c r="J91" s="24"/>
      <c r="K91" s="797">
        <v>78</v>
      </c>
      <c r="L91" s="797">
        <v>20</v>
      </c>
      <c r="M91" s="151" t="s">
        <v>696</v>
      </c>
    </row>
    <row r="92" ht="33" customHeight="1" spans="2:13">
      <c r="B92" s="151" t="s">
        <v>182</v>
      </c>
      <c r="C92" s="151" t="s">
        <v>183</v>
      </c>
      <c r="D92" s="151" t="s">
        <v>788</v>
      </c>
      <c r="E92" s="151" t="s">
        <v>694</v>
      </c>
      <c r="F92" s="151" t="s">
        <v>712</v>
      </c>
      <c r="G92" s="795">
        <v>0.001</v>
      </c>
      <c r="H92" s="795">
        <v>0.15</v>
      </c>
      <c r="I92" s="24"/>
      <c r="J92" s="24"/>
      <c r="K92" s="797">
        <v>105</v>
      </c>
      <c r="L92" s="797">
        <v>20</v>
      </c>
      <c r="M92" s="151" t="s">
        <v>696</v>
      </c>
    </row>
    <row r="93" ht="33" spans="2:13">
      <c r="B93" s="151" t="s">
        <v>182</v>
      </c>
      <c r="C93" s="151" t="s">
        <v>183</v>
      </c>
      <c r="D93" s="151" t="s">
        <v>789</v>
      </c>
      <c r="E93" s="151" t="s">
        <v>790</v>
      </c>
      <c r="F93" s="151" t="s">
        <v>791</v>
      </c>
      <c r="G93" s="795">
        <v>0.151</v>
      </c>
      <c r="H93" s="795">
        <v>30</v>
      </c>
      <c r="I93" s="24"/>
      <c r="J93" s="24"/>
      <c r="K93" s="797">
        <v>95</v>
      </c>
      <c r="L93" s="797">
        <v>12</v>
      </c>
      <c r="M93" s="151" t="s">
        <v>696</v>
      </c>
    </row>
    <row r="94" ht="33" customHeight="1" spans="2:13">
      <c r="B94" s="794" t="s">
        <v>150</v>
      </c>
      <c r="C94" s="151" t="s">
        <v>151</v>
      </c>
      <c r="D94" s="151" t="s">
        <v>722</v>
      </c>
      <c r="E94" s="151" t="s">
        <v>792</v>
      </c>
      <c r="F94" s="151" t="s">
        <v>723</v>
      </c>
      <c r="G94" s="795">
        <v>0.001</v>
      </c>
      <c r="H94" s="795">
        <v>0.5</v>
      </c>
      <c r="I94" s="24"/>
      <c r="J94" s="24"/>
      <c r="K94" s="797">
        <v>84</v>
      </c>
      <c r="L94" s="797">
        <v>38</v>
      </c>
      <c r="M94" s="151" t="s">
        <v>696</v>
      </c>
    </row>
    <row r="95" ht="16.5" spans="2:13">
      <c r="B95" s="794" t="s">
        <v>150</v>
      </c>
      <c r="C95" s="151" t="s">
        <v>151</v>
      </c>
      <c r="D95" s="151" t="s">
        <v>722</v>
      </c>
      <c r="E95" s="151" t="s">
        <v>731</v>
      </c>
      <c r="F95" s="151" t="s">
        <v>725</v>
      </c>
      <c r="G95" s="795">
        <v>0.501</v>
      </c>
      <c r="H95" s="795">
        <v>1</v>
      </c>
      <c r="I95" s="24"/>
      <c r="J95" s="24"/>
      <c r="K95" s="797">
        <v>84</v>
      </c>
      <c r="L95" s="797">
        <v>40</v>
      </c>
      <c r="M95" s="151" t="s">
        <v>696</v>
      </c>
    </row>
    <row r="96" ht="33" spans="2:13">
      <c r="B96" s="794" t="s">
        <v>150</v>
      </c>
      <c r="C96" s="151" t="s">
        <v>151</v>
      </c>
      <c r="D96" s="151" t="s">
        <v>722</v>
      </c>
      <c r="E96" s="151" t="s">
        <v>793</v>
      </c>
      <c r="F96" s="151" t="s">
        <v>794</v>
      </c>
      <c r="G96" s="795">
        <v>1.001</v>
      </c>
      <c r="H96" s="795">
        <v>1.5</v>
      </c>
      <c r="I96" s="24"/>
      <c r="J96" s="24"/>
      <c r="K96" s="797">
        <v>84</v>
      </c>
      <c r="L96" s="797">
        <v>45</v>
      </c>
      <c r="M96" s="151" t="s">
        <v>696</v>
      </c>
    </row>
    <row r="97" ht="16.5" spans="2:13">
      <c r="B97" s="794" t="s">
        <v>150</v>
      </c>
      <c r="C97" s="151" t="s">
        <v>151</v>
      </c>
      <c r="D97" s="151" t="s">
        <v>722</v>
      </c>
      <c r="E97" s="151" t="s">
        <v>795</v>
      </c>
      <c r="F97" s="151" t="s">
        <v>707</v>
      </c>
      <c r="G97" s="795">
        <v>1.501</v>
      </c>
      <c r="H97" s="795">
        <v>2</v>
      </c>
      <c r="I97" s="24"/>
      <c r="J97" s="24"/>
      <c r="K97" s="797">
        <v>84</v>
      </c>
      <c r="L97" s="797">
        <v>49</v>
      </c>
      <c r="M97" s="151" t="s">
        <v>696</v>
      </c>
    </row>
    <row r="98" ht="16.5" spans="2:13">
      <c r="B98" s="794" t="s">
        <v>150</v>
      </c>
      <c r="C98" s="151" t="s">
        <v>151</v>
      </c>
      <c r="D98" s="151" t="s">
        <v>722</v>
      </c>
      <c r="E98" s="151" t="s">
        <v>745</v>
      </c>
      <c r="F98" s="151" t="s">
        <v>796</v>
      </c>
      <c r="G98" s="795">
        <v>2.001</v>
      </c>
      <c r="H98" s="795">
        <v>3</v>
      </c>
      <c r="I98" s="24"/>
      <c r="J98" s="24"/>
      <c r="K98" s="797">
        <v>84</v>
      </c>
      <c r="L98" s="797">
        <v>65</v>
      </c>
      <c r="M98" s="151" t="s">
        <v>696</v>
      </c>
    </row>
    <row r="99" ht="16.5" spans="2:13">
      <c r="B99" s="794" t="s">
        <v>150</v>
      </c>
      <c r="C99" s="151" t="s">
        <v>151</v>
      </c>
      <c r="D99" s="151" t="s">
        <v>722</v>
      </c>
      <c r="E99" s="151" t="s">
        <v>771</v>
      </c>
      <c r="F99" s="151" t="s">
        <v>797</v>
      </c>
      <c r="G99" s="795">
        <v>3.001</v>
      </c>
      <c r="H99" s="795">
        <v>5</v>
      </c>
      <c r="I99" s="24"/>
      <c r="J99" s="24"/>
      <c r="K99" s="797">
        <v>84</v>
      </c>
      <c r="L99" s="797">
        <v>75</v>
      </c>
      <c r="M99" s="151" t="s">
        <v>696</v>
      </c>
    </row>
    <row r="100" ht="33" customHeight="1" spans="2:13">
      <c r="B100" s="151" t="s">
        <v>172</v>
      </c>
      <c r="C100" s="151" t="s">
        <v>173</v>
      </c>
      <c r="D100" s="151" t="s">
        <v>789</v>
      </c>
      <c r="E100" s="151" t="s">
        <v>717</v>
      </c>
      <c r="F100" s="151" t="s">
        <v>723</v>
      </c>
      <c r="G100" s="795">
        <v>0.001</v>
      </c>
      <c r="H100" s="795">
        <v>0.5</v>
      </c>
      <c r="I100" s="24"/>
      <c r="J100" s="24"/>
      <c r="K100" s="797">
        <v>95</v>
      </c>
      <c r="L100" s="797">
        <v>23</v>
      </c>
      <c r="M100" s="151" t="s">
        <v>696</v>
      </c>
    </row>
    <row r="101" ht="16.5" spans="2:13">
      <c r="B101" s="151" t="s">
        <v>172</v>
      </c>
      <c r="C101" s="151" t="s">
        <v>173</v>
      </c>
      <c r="D101" s="151" t="s">
        <v>759</v>
      </c>
      <c r="E101" s="151" t="s">
        <v>798</v>
      </c>
      <c r="F101" s="151" t="s">
        <v>725</v>
      </c>
      <c r="G101" s="795">
        <v>0.501</v>
      </c>
      <c r="H101" s="795">
        <v>1</v>
      </c>
      <c r="I101" s="24"/>
      <c r="J101" s="24"/>
      <c r="K101" s="797">
        <v>100</v>
      </c>
      <c r="L101" s="797">
        <v>27</v>
      </c>
      <c r="M101" s="151" t="s">
        <v>696</v>
      </c>
    </row>
    <row r="102" ht="16.5" spans="2:13">
      <c r="B102" s="151" t="s">
        <v>172</v>
      </c>
      <c r="C102" s="151" t="s">
        <v>173</v>
      </c>
      <c r="D102" s="151" t="s">
        <v>759</v>
      </c>
      <c r="E102" s="151" t="s">
        <v>799</v>
      </c>
      <c r="F102" s="151" t="s">
        <v>727</v>
      </c>
      <c r="G102" s="795">
        <v>1.001</v>
      </c>
      <c r="H102" s="795">
        <v>5</v>
      </c>
      <c r="I102" s="24"/>
      <c r="J102" s="24"/>
      <c r="K102" s="797">
        <v>100</v>
      </c>
      <c r="L102" s="797">
        <v>32</v>
      </c>
      <c r="M102" s="151" t="s">
        <v>696</v>
      </c>
    </row>
    <row r="103" ht="16.5" customHeight="1" spans="2:13">
      <c r="B103" s="151" t="s">
        <v>174</v>
      </c>
      <c r="C103" s="151" t="s">
        <v>175</v>
      </c>
      <c r="D103" s="151" t="s">
        <v>800</v>
      </c>
      <c r="E103" s="151" t="s">
        <v>773</v>
      </c>
      <c r="F103" s="151" t="s">
        <v>769</v>
      </c>
      <c r="G103" s="795">
        <v>0.001</v>
      </c>
      <c r="H103" s="795">
        <v>2</v>
      </c>
      <c r="I103" s="24"/>
      <c r="J103" s="24"/>
      <c r="K103" s="797">
        <v>134</v>
      </c>
      <c r="L103" s="797">
        <v>26</v>
      </c>
      <c r="M103" s="151" t="s">
        <v>696</v>
      </c>
    </row>
    <row r="104" ht="16.5" spans="2:13">
      <c r="B104" s="151" t="s">
        <v>174</v>
      </c>
      <c r="C104" s="151" t="s">
        <v>175</v>
      </c>
      <c r="D104" s="151" t="s">
        <v>800</v>
      </c>
      <c r="E104" s="151" t="s">
        <v>773</v>
      </c>
      <c r="F104" s="151" t="s">
        <v>796</v>
      </c>
      <c r="G104" s="795">
        <v>2.001</v>
      </c>
      <c r="H104" s="795">
        <v>3</v>
      </c>
      <c r="I104" s="24"/>
      <c r="J104" s="24"/>
      <c r="K104" s="797">
        <v>134</v>
      </c>
      <c r="L104" s="797">
        <v>26</v>
      </c>
      <c r="M104" s="151" t="s">
        <v>696</v>
      </c>
    </row>
    <row r="105" ht="16.5" spans="2:13">
      <c r="B105" s="151" t="s">
        <v>122</v>
      </c>
      <c r="C105" s="151" t="s">
        <v>123</v>
      </c>
      <c r="D105" s="151" t="s">
        <v>801</v>
      </c>
      <c r="E105" s="151" t="s">
        <v>711</v>
      </c>
      <c r="F105" s="151" t="s">
        <v>769</v>
      </c>
      <c r="G105" s="795">
        <v>0.001</v>
      </c>
      <c r="H105" s="795">
        <v>2</v>
      </c>
      <c r="I105" s="24"/>
      <c r="J105" s="24"/>
      <c r="K105" s="797">
        <v>185</v>
      </c>
      <c r="L105" s="797">
        <v>21</v>
      </c>
      <c r="M105" s="151" t="s">
        <v>696</v>
      </c>
    </row>
    <row r="106" ht="33" spans="2:13">
      <c r="B106" s="151" t="s">
        <v>84</v>
      </c>
      <c r="C106" s="151" t="s">
        <v>85</v>
      </c>
      <c r="D106" s="151" t="s">
        <v>719</v>
      </c>
      <c r="E106" s="151" t="s">
        <v>757</v>
      </c>
      <c r="F106" s="151" t="s">
        <v>802</v>
      </c>
      <c r="G106" s="795">
        <v>0.001</v>
      </c>
      <c r="H106" s="795">
        <v>25</v>
      </c>
      <c r="I106" s="24"/>
      <c r="J106" s="24"/>
      <c r="K106" s="797">
        <v>83</v>
      </c>
      <c r="L106" s="797">
        <v>17</v>
      </c>
      <c r="M106" s="151" t="s">
        <v>738</v>
      </c>
    </row>
    <row r="107" ht="16.5" customHeight="1" spans="2:13">
      <c r="B107" s="151" t="s">
        <v>178</v>
      </c>
      <c r="C107" s="151" t="s">
        <v>179</v>
      </c>
      <c r="D107" s="151" t="s">
        <v>784</v>
      </c>
      <c r="E107" s="151" t="s">
        <v>714</v>
      </c>
      <c r="F107" s="151" t="s">
        <v>769</v>
      </c>
      <c r="G107" s="795">
        <v>0.001</v>
      </c>
      <c r="H107" s="795">
        <v>2</v>
      </c>
      <c r="I107" s="24"/>
      <c r="J107" s="24"/>
      <c r="K107" s="797">
        <v>15</v>
      </c>
      <c r="L107" s="797">
        <v>22</v>
      </c>
      <c r="M107" s="151" t="s">
        <v>696</v>
      </c>
    </row>
    <row r="108" ht="33" spans="2:13">
      <c r="B108" s="151" t="s">
        <v>178</v>
      </c>
      <c r="C108" s="151" t="s">
        <v>179</v>
      </c>
      <c r="D108" s="151" t="s">
        <v>784</v>
      </c>
      <c r="E108" s="151" t="s">
        <v>731</v>
      </c>
      <c r="F108" s="151" t="s">
        <v>787</v>
      </c>
      <c r="G108" s="795">
        <v>2.001</v>
      </c>
      <c r="H108" s="795">
        <v>20</v>
      </c>
      <c r="I108" s="24"/>
      <c r="J108" s="24"/>
      <c r="K108" s="797">
        <v>15</v>
      </c>
      <c r="L108" s="797">
        <v>40</v>
      </c>
      <c r="M108" s="151" t="s">
        <v>696</v>
      </c>
    </row>
    <row r="109" ht="16.5" spans="2:13">
      <c r="B109" s="151" t="s">
        <v>180</v>
      </c>
      <c r="C109" s="151" t="s">
        <v>181</v>
      </c>
      <c r="D109" s="151" t="s">
        <v>803</v>
      </c>
      <c r="E109" s="151" t="s">
        <v>804</v>
      </c>
      <c r="F109" s="151" t="s">
        <v>805</v>
      </c>
      <c r="G109" s="795">
        <v>0</v>
      </c>
      <c r="H109" s="795">
        <v>30</v>
      </c>
      <c r="I109" s="24"/>
      <c r="J109" s="24"/>
      <c r="K109" s="797">
        <v>116</v>
      </c>
      <c r="L109" s="797">
        <v>13</v>
      </c>
      <c r="M109" s="151" t="s">
        <v>738</v>
      </c>
    </row>
    <row r="110" ht="16.5" customHeight="1" spans="2:13">
      <c r="B110" s="151" t="s">
        <v>152</v>
      </c>
      <c r="C110" s="151" t="s">
        <v>153</v>
      </c>
      <c r="D110" s="151" t="s">
        <v>806</v>
      </c>
      <c r="E110" s="151" t="s">
        <v>757</v>
      </c>
      <c r="F110" s="151" t="s">
        <v>769</v>
      </c>
      <c r="G110" s="795">
        <v>0.001</v>
      </c>
      <c r="H110" s="795">
        <v>2</v>
      </c>
      <c r="I110" s="24"/>
      <c r="J110" s="24"/>
      <c r="K110" s="797">
        <v>6</v>
      </c>
      <c r="L110" s="797">
        <v>17</v>
      </c>
      <c r="M110" s="151" t="s">
        <v>696</v>
      </c>
    </row>
    <row r="111" ht="33" spans="2:13">
      <c r="B111" s="151" t="s">
        <v>152</v>
      </c>
      <c r="C111" s="151" t="s">
        <v>153</v>
      </c>
      <c r="D111" s="151" t="s">
        <v>807</v>
      </c>
      <c r="E111" s="151" t="s">
        <v>757</v>
      </c>
      <c r="F111" s="151" t="s">
        <v>787</v>
      </c>
      <c r="G111" s="795">
        <v>2.001</v>
      </c>
      <c r="H111" s="795">
        <v>20</v>
      </c>
      <c r="I111" s="24"/>
      <c r="J111" s="24"/>
      <c r="K111" s="797">
        <v>8</v>
      </c>
      <c r="L111" s="797">
        <v>17</v>
      </c>
      <c r="M111" s="151" t="s">
        <v>696</v>
      </c>
    </row>
    <row r="112" ht="16.5" customHeight="1" spans="2:13">
      <c r="B112" s="151" t="s">
        <v>134</v>
      </c>
      <c r="C112" s="151" t="s">
        <v>323</v>
      </c>
      <c r="D112" s="151" t="s">
        <v>808</v>
      </c>
      <c r="E112" s="151" t="s">
        <v>711</v>
      </c>
      <c r="F112" s="151" t="s">
        <v>809</v>
      </c>
      <c r="G112" s="795">
        <v>0</v>
      </c>
      <c r="H112" s="795">
        <v>1</v>
      </c>
      <c r="I112" s="24"/>
      <c r="J112" s="24"/>
      <c r="K112" s="797">
        <v>30.5</v>
      </c>
      <c r="L112" s="797">
        <v>21</v>
      </c>
      <c r="M112" s="151" t="s">
        <v>738</v>
      </c>
    </row>
    <row r="113" ht="33" spans="2:13">
      <c r="B113" s="151" t="s">
        <v>134</v>
      </c>
      <c r="C113" s="151" t="s">
        <v>323</v>
      </c>
      <c r="D113" s="151" t="s">
        <v>810</v>
      </c>
      <c r="E113" s="151" t="s">
        <v>701</v>
      </c>
      <c r="F113" s="151" t="s">
        <v>721</v>
      </c>
      <c r="G113" s="795">
        <v>1.001</v>
      </c>
      <c r="H113" s="795">
        <v>30</v>
      </c>
      <c r="I113" s="24"/>
      <c r="J113" s="24"/>
      <c r="K113" s="797">
        <v>33.5</v>
      </c>
      <c r="L113" s="797">
        <v>16</v>
      </c>
      <c r="M113" s="151" t="s">
        <v>738</v>
      </c>
    </row>
    <row r="114" ht="16.5" customHeight="1" spans="2:13">
      <c r="B114" s="151" t="s">
        <v>132</v>
      </c>
      <c r="C114" s="151" t="s">
        <v>133</v>
      </c>
      <c r="D114" s="151" t="s">
        <v>726</v>
      </c>
      <c r="E114" s="151" t="s">
        <v>790</v>
      </c>
      <c r="F114" s="151" t="s">
        <v>811</v>
      </c>
      <c r="G114" s="795">
        <v>0</v>
      </c>
      <c r="H114" s="795">
        <v>0.5</v>
      </c>
      <c r="I114" s="24"/>
      <c r="J114" s="24"/>
      <c r="K114" s="797">
        <v>90</v>
      </c>
      <c r="L114" s="797">
        <v>12</v>
      </c>
      <c r="M114" s="151" t="s">
        <v>738</v>
      </c>
    </row>
    <row r="115" ht="33" spans="2:13">
      <c r="B115" s="151" t="s">
        <v>132</v>
      </c>
      <c r="C115" s="151" t="s">
        <v>133</v>
      </c>
      <c r="D115" s="151" t="s">
        <v>812</v>
      </c>
      <c r="E115" s="151" t="s">
        <v>790</v>
      </c>
      <c r="F115" s="151" t="s">
        <v>813</v>
      </c>
      <c r="G115" s="795">
        <v>0.501</v>
      </c>
      <c r="H115" s="795">
        <v>10</v>
      </c>
      <c r="I115" s="24"/>
      <c r="J115" s="24"/>
      <c r="K115" s="797">
        <v>86</v>
      </c>
      <c r="L115" s="797">
        <v>12</v>
      </c>
      <c r="M115" s="151" t="s">
        <v>738</v>
      </c>
    </row>
    <row r="116" ht="33" spans="2:13">
      <c r="B116" s="151" t="s">
        <v>132</v>
      </c>
      <c r="C116" s="151" t="s">
        <v>133</v>
      </c>
      <c r="D116" s="151" t="s">
        <v>812</v>
      </c>
      <c r="E116" s="151" t="s">
        <v>782</v>
      </c>
      <c r="F116" s="151" t="s">
        <v>814</v>
      </c>
      <c r="G116" s="795">
        <v>10</v>
      </c>
      <c r="H116" s="795">
        <v>30</v>
      </c>
      <c r="I116" s="24"/>
      <c r="J116" s="24"/>
      <c r="K116" s="797">
        <v>86</v>
      </c>
      <c r="L116" s="797">
        <v>11</v>
      </c>
      <c r="M116" s="151" t="s">
        <v>738</v>
      </c>
    </row>
    <row r="117" ht="33" spans="2:13">
      <c r="B117" s="151" t="s">
        <v>104</v>
      </c>
      <c r="C117" s="151" t="s">
        <v>105</v>
      </c>
      <c r="D117" s="151" t="s">
        <v>815</v>
      </c>
      <c r="E117" s="151" t="s">
        <v>694</v>
      </c>
      <c r="F117" s="151" t="s">
        <v>748</v>
      </c>
      <c r="G117" s="795">
        <v>0.001</v>
      </c>
      <c r="H117" s="795">
        <v>30</v>
      </c>
      <c r="I117" s="24"/>
      <c r="J117" s="24"/>
      <c r="K117" s="797">
        <v>46</v>
      </c>
      <c r="L117" s="797">
        <v>20</v>
      </c>
      <c r="M117" s="151" t="s">
        <v>696</v>
      </c>
    </row>
    <row r="118" ht="33" spans="2:13">
      <c r="B118" s="151" t="s">
        <v>88</v>
      </c>
      <c r="C118" s="151" t="s">
        <v>89</v>
      </c>
      <c r="D118" s="151" t="s">
        <v>777</v>
      </c>
      <c r="E118" s="151" t="s">
        <v>782</v>
      </c>
      <c r="F118" s="151" t="s">
        <v>748</v>
      </c>
      <c r="G118" s="795">
        <v>0.001</v>
      </c>
      <c r="H118" s="795">
        <v>30</v>
      </c>
      <c r="I118" s="24"/>
      <c r="J118" s="24"/>
      <c r="K118" s="797">
        <v>31</v>
      </c>
      <c r="L118" s="797">
        <v>11</v>
      </c>
      <c r="M118" s="151" t="s">
        <v>696</v>
      </c>
    </row>
    <row r="119" ht="33" spans="2:13">
      <c r="B119" s="151" t="s">
        <v>176</v>
      </c>
      <c r="C119" s="151" t="s">
        <v>177</v>
      </c>
      <c r="D119" s="151" t="s">
        <v>792</v>
      </c>
      <c r="E119" s="151" t="s">
        <v>765</v>
      </c>
      <c r="F119" s="151" t="s">
        <v>774</v>
      </c>
      <c r="G119" s="795">
        <v>0.001</v>
      </c>
      <c r="H119" s="795">
        <v>20</v>
      </c>
      <c r="I119" s="24"/>
      <c r="J119" s="24"/>
      <c r="K119" s="797">
        <v>38</v>
      </c>
      <c r="L119" s="797">
        <v>29</v>
      </c>
      <c r="M119" s="151" t="s">
        <v>696</v>
      </c>
    </row>
    <row r="120" ht="16.5" customHeight="1" spans="2:13">
      <c r="B120" s="151" t="s">
        <v>187</v>
      </c>
      <c r="C120" s="151" t="s">
        <v>87</v>
      </c>
      <c r="D120" s="151" t="s">
        <v>816</v>
      </c>
      <c r="E120" s="151" t="s">
        <v>714</v>
      </c>
      <c r="F120" s="151" t="s">
        <v>817</v>
      </c>
      <c r="G120" s="795">
        <v>0.001</v>
      </c>
      <c r="H120" s="795">
        <v>5</v>
      </c>
      <c r="I120" s="24"/>
      <c r="J120" s="24"/>
      <c r="K120" s="797">
        <v>50</v>
      </c>
      <c r="L120" s="797">
        <v>22</v>
      </c>
      <c r="M120" s="151" t="s">
        <v>696</v>
      </c>
    </row>
    <row r="121" ht="33" spans="2:13">
      <c r="B121" s="151" t="s">
        <v>187</v>
      </c>
      <c r="C121" s="151" t="s">
        <v>87</v>
      </c>
      <c r="D121" s="151" t="s">
        <v>816</v>
      </c>
      <c r="E121" s="151" t="s">
        <v>760</v>
      </c>
      <c r="F121" s="151" t="s">
        <v>818</v>
      </c>
      <c r="G121" s="795">
        <v>5.001</v>
      </c>
      <c r="H121" s="795">
        <v>30</v>
      </c>
      <c r="I121" s="24"/>
      <c r="J121" s="24"/>
      <c r="K121" s="797">
        <v>50</v>
      </c>
      <c r="L121" s="797">
        <v>24</v>
      </c>
      <c r="M121" s="151" t="s">
        <v>696</v>
      </c>
    </row>
    <row r="122" ht="33" customHeight="1" spans="2:13">
      <c r="B122" s="151" t="s">
        <v>102</v>
      </c>
      <c r="C122" s="151" t="s">
        <v>103</v>
      </c>
      <c r="D122" s="151" t="s">
        <v>783</v>
      </c>
      <c r="E122" s="151" t="s">
        <v>819</v>
      </c>
      <c r="F122" s="151" t="s">
        <v>744</v>
      </c>
      <c r="G122" s="795">
        <v>0.001</v>
      </c>
      <c r="H122" s="795">
        <v>0.3</v>
      </c>
      <c r="I122" s="24"/>
      <c r="J122" s="24"/>
      <c r="K122" s="797">
        <v>64</v>
      </c>
      <c r="L122" s="797">
        <v>37</v>
      </c>
      <c r="M122" s="151" t="s">
        <v>696</v>
      </c>
    </row>
    <row r="123" ht="33" spans="2:13">
      <c r="B123" s="151" t="s">
        <v>102</v>
      </c>
      <c r="C123" s="151" t="s">
        <v>103</v>
      </c>
      <c r="D123" s="151" t="s">
        <v>771</v>
      </c>
      <c r="E123" s="151" t="s">
        <v>731</v>
      </c>
      <c r="F123" s="151" t="s">
        <v>820</v>
      </c>
      <c r="G123" s="795">
        <v>0.301</v>
      </c>
      <c r="H123" s="795">
        <v>0.5</v>
      </c>
      <c r="I123" s="24"/>
      <c r="J123" s="24"/>
      <c r="K123" s="797">
        <v>75</v>
      </c>
      <c r="L123" s="797">
        <v>40</v>
      </c>
      <c r="M123" s="151" t="s">
        <v>696</v>
      </c>
    </row>
    <row r="124" ht="33" spans="2:13">
      <c r="B124" s="151" t="s">
        <v>102</v>
      </c>
      <c r="C124" s="151" t="s">
        <v>103</v>
      </c>
      <c r="D124" s="151" t="s">
        <v>789</v>
      </c>
      <c r="E124" s="151" t="s">
        <v>734</v>
      </c>
      <c r="F124" s="151" t="s">
        <v>821</v>
      </c>
      <c r="G124" s="795">
        <v>0.501</v>
      </c>
      <c r="H124" s="795">
        <v>1.5</v>
      </c>
      <c r="I124" s="24"/>
      <c r="J124" s="24"/>
      <c r="K124" s="797">
        <v>95</v>
      </c>
      <c r="L124" s="797">
        <v>55</v>
      </c>
      <c r="M124" s="151" t="s">
        <v>696</v>
      </c>
    </row>
    <row r="125" ht="16.5" spans="2:13">
      <c r="B125" s="151" t="s">
        <v>102</v>
      </c>
      <c r="C125" s="151" t="s">
        <v>103</v>
      </c>
      <c r="D125" s="151" t="s">
        <v>700</v>
      </c>
      <c r="E125" s="151" t="s">
        <v>745</v>
      </c>
      <c r="F125" s="151" t="s">
        <v>822</v>
      </c>
      <c r="G125" s="795">
        <v>1.501</v>
      </c>
      <c r="H125" s="795">
        <v>5</v>
      </c>
      <c r="I125" s="24"/>
      <c r="J125" s="24"/>
      <c r="K125" s="797">
        <v>110</v>
      </c>
      <c r="L125" s="797">
        <v>65</v>
      </c>
      <c r="M125" s="151" t="s">
        <v>696</v>
      </c>
    </row>
    <row r="126" ht="33" customHeight="1" spans="2:13">
      <c r="B126" s="151" t="s">
        <v>82</v>
      </c>
      <c r="C126" s="151" t="s">
        <v>83</v>
      </c>
      <c r="D126" s="151" t="s">
        <v>789</v>
      </c>
      <c r="E126" s="151" t="s">
        <v>711</v>
      </c>
      <c r="F126" s="151" t="s">
        <v>723</v>
      </c>
      <c r="G126" s="795">
        <v>0.001</v>
      </c>
      <c r="H126" s="795">
        <v>0.5</v>
      </c>
      <c r="I126" s="24"/>
      <c r="J126" s="24"/>
      <c r="K126" s="797">
        <v>95</v>
      </c>
      <c r="L126" s="797">
        <v>21</v>
      </c>
      <c r="M126" s="151" t="s">
        <v>696</v>
      </c>
    </row>
    <row r="127" ht="16.5" spans="2:13">
      <c r="B127" s="151" t="s">
        <v>82</v>
      </c>
      <c r="C127" s="151" t="s">
        <v>83</v>
      </c>
      <c r="D127" s="151" t="s">
        <v>789</v>
      </c>
      <c r="E127" s="151" t="s">
        <v>717</v>
      </c>
      <c r="F127" s="151" t="s">
        <v>823</v>
      </c>
      <c r="G127" s="795">
        <v>0.501</v>
      </c>
      <c r="H127" s="795">
        <v>5</v>
      </c>
      <c r="I127" s="24"/>
      <c r="J127" s="24"/>
      <c r="K127" s="797">
        <v>95</v>
      </c>
      <c r="L127" s="797">
        <v>23</v>
      </c>
      <c r="M127" s="151" t="s">
        <v>696</v>
      </c>
    </row>
    <row r="128" ht="33" customHeight="1" spans="2:13">
      <c r="B128" s="151" t="s">
        <v>144</v>
      </c>
      <c r="C128" s="151" t="s">
        <v>145</v>
      </c>
      <c r="D128" s="151" t="s">
        <v>759</v>
      </c>
      <c r="E128" s="151" t="s">
        <v>819</v>
      </c>
      <c r="F128" s="151" t="s">
        <v>723</v>
      </c>
      <c r="G128" s="795">
        <v>0.001</v>
      </c>
      <c r="H128" s="795">
        <v>0.5</v>
      </c>
      <c r="I128" s="24"/>
      <c r="J128" s="24"/>
      <c r="K128" s="797">
        <v>100</v>
      </c>
      <c r="L128" s="797">
        <v>37</v>
      </c>
      <c r="M128" s="151" t="s">
        <v>696</v>
      </c>
    </row>
    <row r="129" ht="16.5" spans="2:13">
      <c r="B129" s="151" t="s">
        <v>144</v>
      </c>
      <c r="C129" s="151" t="s">
        <v>145</v>
      </c>
      <c r="D129" s="151" t="s">
        <v>733</v>
      </c>
      <c r="E129" s="151" t="s">
        <v>728</v>
      </c>
      <c r="F129" s="151" t="s">
        <v>824</v>
      </c>
      <c r="G129" s="795">
        <v>0.501</v>
      </c>
      <c r="H129" s="795">
        <v>2</v>
      </c>
      <c r="I129" s="24"/>
      <c r="J129" s="24"/>
      <c r="K129" s="797">
        <v>108</v>
      </c>
      <c r="L129" s="797">
        <v>30</v>
      </c>
      <c r="M129" s="151" t="s">
        <v>696</v>
      </c>
    </row>
    <row r="130" ht="16.5" spans="2:13">
      <c r="B130" s="151" t="s">
        <v>144</v>
      </c>
      <c r="C130" s="151" t="s">
        <v>145</v>
      </c>
      <c r="D130" s="151" t="s">
        <v>789</v>
      </c>
      <c r="E130" s="151" t="s">
        <v>747</v>
      </c>
      <c r="F130" s="151" t="s">
        <v>825</v>
      </c>
      <c r="G130" s="795">
        <v>2.001</v>
      </c>
      <c r="H130" s="795">
        <v>5</v>
      </c>
      <c r="I130" s="24"/>
      <c r="J130" s="24"/>
      <c r="K130" s="797">
        <v>95</v>
      </c>
      <c r="L130" s="797">
        <v>25</v>
      </c>
      <c r="M130" s="151" t="s">
        <v>696</v>
      </c>
    </row>
    <row r="131" ht="33" spans="2:13">
      <c r="B131" s="151" t="s">
        <v>144</v>
      </c>
      <c r="C131" s="151" t="s">
        <v>145</v>
      </c>
      <c r="D131" s="151" t="s">
        <v>789</v>
      </c>
      <c r="E131" s="151" t="s">
        <v>747</v>
      </c>
      <c r="F131" s="151" t="s">
        <v>826</v>
      </c>
      <c r="G131" s="795">
        <v>5.001</v>
      </c>
      <c r="H131" s="795">
        <v>15</v>
      </c>
      <c r="I131" s="24"/>
      <c r="J131" s="24"/>
      <c r="K131" s="797">
        <v>95</v>
      </c>
      <c r="L131" s="797">
        <v>25</v>
      </c>
      <c r="M131" s="151" t="s">
        <v>696</v>
      </c>
    </row>
    <row r="132" ht="33" spans="2:13">
      <c r="B132" s="151" t="s">
        <v>186</v>
      </c>
      <c r="C132" s="151" t="s">
        <v>113</v>
      </c>
      <c r="D132" s="151" t="s">
        <v>750</v>
      </c>
      <c r="E132" s="151" t="s">
        <v>819</v>
      </c>
      <c r="F132" s="151" t="s">
        <v>774</v>
      </c>
      <c r="G132" s="795">
        <v>0.001</v>
      </c>
      <c r="H132" s="795">
        <v>20</v>
      </c>
      <c r="I132" s="24"/>
      <c r="J132" s="24"/>
      <c r="K132" s="797">
        <v>93</v>
      </c>
      <c r="L132" s="797">
        <v>37</v>
      </c>
      <c r="M132" s="151" t="s">
        <v>696</v>
      </c>
    </row>
    <row r="133" ht="33" customHeight="1" spans="2:13">
      <c r="B133" s="151" t="s">
        <v>100</v>
      </c>
      <c r="C133" s="151" t="s">
        <v>101</v>
      </c>
      <c r="D133" s="151" t="s">
        <v>745</v>
      </c>
      <c r="E133" s="151" t="s">
        <v>793</v>
      </c>
      <c r="F133" s="151" t="s">
        <v>723</v>
      </c>
      <c r="G133" s="795">
        <v>0.001</v>
      </c>
      <c r="H133" s="795">
        <v>0.5</v>
      </c>
      <c r="I133" s="24"/>
      <c r="J133" s="24"/>
      <c r="K133" s="797">
        <v>65</v>
      </c>
      <c r="L133" s="797">
        <v>45</v>
      </c>
      <c r="M133" s="151" t="s">
        <v>696</v>
      </c>
    </row>
    <row r="134" ht="16.5" spans="2:13">
      <c r="B134" s="151" t="s">
        <v>100</v>
      </c>
      <c r="C134" s="151" t="s">
        <v>101</v>
      </c>
      <c r="D134" s="151" t="s">
        <v>827</v>
      </c>
      <c r="E134" s="151" t="s">
        <v>793</v>
      </c>
      <c r="F134" s="151" t="s">
        <v>824</v>
      </c>
      <c r="G134" s="795">
        <v>0.501</v>
      </c>
      <c r="H134" s="795">
        <v>2</v>
      </c>
      <c r="I134" s="24"/>
      <c r="J134" s="24"/>
      <c r="K134" s="797">
        <v>76</v>
      </c>
      <c r="L134" s="797">
        <v>45</v>
      </c>
      <c r="M134" s="151" t="s">
        <v>696</v>
      </c>
    </row>
    <row r="135" ht="16.5" spans="2:13">
      <c r="B135" s="151" t="s">
        <v>100</v>
      </c>
      <c r="C135" s="151" t="s">
        <v>101</v>
      </c>
      <c r="D135" s="151" t="s">
        <v>827</v>
      </c>
      <c r="E135" s="151" t="s">
        <v>734</v>
      </c>
      <c r="F135" s="151" t="s">
        <v>825</v>
      </c>
      <c r="G135" s="795">
        <v>2.001</v>
      </c>
      <c r="H135" s="795">
        <v>5</v>
      </c>
      <c r="I135" s="24"/>
      <c r="J135" s="24"/>
      <c r="K135" s="797">
        <v>76</v>
      </c>
      <c r="L135" s="797">
        <v>55</v>
      </c>
      <c r="M135" s="151" t="s">
        <v>696</v>
      </c>
    </row>
    <row r="136" ht="33" spans="2:13">
      <c r="B136" s="151" t="s">
        <v>100</v>
      </c>
      <c r="C136" s="151" t="s">
        <v>101</v>
      </c>
      <c r="D136" s="151" t="s">
        <v>751</v>
      </c>
      <c r="E136" s="151" t="s">
        <v>734</v>
      </c>
      <c r="F136" s="151" t="s">
        <v>818</v>
      </c>
      <c r="G136" s="795">
        <v>5.001</v>
      </c>
      <c r="H136" s="795">
        <v>30</v>
      </c>
      <c r="I136" s="24"/>
      <c r="J136" s="24"/>
      <c r="K136" s="797">
        <v>81</v>
      </c>
      <c r="L136" s="797">
        <v>55</v>
      </c>
      <c r="M136" s="151" t="s">
        <v>696</v>
      </c>
    </row>
    <row r="137" ht="33" customHeight="1" spans="2:13">
      <c r="B137" s="151" t="s">
        <v>96</v>
      </c>
      <c r="C137" s="151" t="s">
        <v>97</v>
      </c>
      <c r="D137" s="151" t="s">
        <v>778</v>
      </c>
      <c r="E137" s="151" t="s">
        <v>731</v>
      </c>
      <c r="F137" s="151" t="s">
        <v>723</v>
      </c>
      <c r="G137" s="795">
        <v>0.001</v>
      </c>
      <c r="H137" s="795">
        <v>0.5</v>
      </c>
      <c r="I137" s="24"/>
      <c r="J137" s="24"/>
      <c r="K137" s="797">
        <v>66</v>
      </c>
      <c r="L137" s="797">
        <v>40</v>
      </c>
      <c r="M137" s="151" t="s">
        <v>696</v>
      </c>
    </row>
    <row r="138" ht="33" spans="2:13">
      <c r="B138" s="151" t="s">
        <v>96</v>
      </c>
      <c r="C138" s="151" t="s">
        <v>97</v>
      </c>
      <c r="D138" s="151" t="s">
        <v>828</v>
      </c>
      <c r="E138" s="151" t="s">
        <v>729</v>
      </c>
      <c r="F138" s="151" t="s">
        <v>725</v>
      </c>
      <c r="G138" s="795">
        <v>0.501</v>
      </c>
      <c r="H138" s="795">
        <v>1</v>
      </c>
      <c r="I138" s="24"/>
      <c r="J138" s="24"/>
      <c r="K138" s="797">
        <v>67</v>
      </c>
      <c r="L138" s="797">
        <v>35</v>
      </c>
      <c r="M138" s="151" t="s">
        <v>696</v>
      </c>
    </row>
    <row r="139" ht="33" spans="2:13">
      <c r="B139" s="151" t="s">
        <v>96</v>
      </c>
      <c r="C139" s="151" t="s">
        <v>97</v>
      </c>
      <c r="D139" s="151" t="s">
        <v>828</v>
      </c>
      <c r="E139" s="151" t="s">
        <v>729</v>
      </c>
      <c r="F139" s="151" t="s">
        <v>762</v>
      </c>
      <c r="G139" s="795">
        <v>1.001</v>
      </c>
      <c r="H139" s="795">
        <v>2</v>
      </c>
      <c r="I139" s="24"/>
      <c r="J139" s="24"/>
      <c r="K139" s="797">
        <v>67</v>
      </c>
      <c r="L139" s="797">
        <v>35</v>
      </c>
      <c r="M139" s="151" t="s">
        <v>696</v>
      </c>
    </row>
    <row r="140" ht="33" spans="2:13">
      <c r="B140" s="151" t="s">
        <v>96</v>
      </c>
      <c r="C140" s="151" t="s">
        <v>97</v>
      </c>
      <c r="D140" s="151" t="s">
        <v>828</v>
      </c>
      <c r="E140" s="151" t="s">
        <v>729</v>
      </c>
      <c r="F140" s="151" t="s">
        <v>825</v>
      </c>
      <c r="G140" s="795">
        <v>2.001</v>
      </c>
      <c r="H140" s="795">
        <v>5</v>
      </c>
      <c r="I140" s="24"/>
      <c r="J140" s="24"/>
      <c r="K140" s="797">
        <v>67</v>
      </c>
      <c r="L140" s="797">
        <v>35</v>
      </c>
      <c r="M140" s="151" t="s">
        <v>696</v>
      </c>
    </row>
    <row r="141" ht="33" spans="2:13">
      <c r="B141" s="151" t="s">
        <v>96</v>
      </c>
      <c r="C141" s="151" t="s">
        <v>97</v>
      </c>
      <c r="D141" s="151" t="s">
        <v>828</v>
      </c>
      <c r="E141" s="151" t="s">
        <v>747</v>
      </c>
      <c r="F141" s="151" t="s">
        <v>818</v>
      </c>
      <c r="G141" s="795">
        <v>5.001</v>
      </c>
      <c r="H141" s="795">
        <v>30</v>
      </c>
      <c r="I141" s="24"/>
      <c r="J141" s="24"/>
      <c r="K141" s="797">
        <v>67</v>
      </c>
      <c r="L141" s="797">
        <v>25</v>
      </c>
      <c r="M141" s="151" t="s">
        <v>696</v>
      </c>
    </row>
    <row r="142" ht="33" customHeight="1" spans="2:13">
      <c r="B142" s="151" t="s">
        <v>148</v>
      </c>
      <c r="C142" s="151" t="s">
        <v>149</v>
      </c>
      <c r="D142" s="151" t="s">
        <v>733</v>
      </c>
      <c r="E142" s="151" t="s">
        <v>765</v>
      </c>
      <c r="F142" s="151" t="s">
        <v>741</v>
      </c>
      <c r="G142" s="795">
        <v>0.001</v>
      </c>
      <c r="H142" s="795">
        <v>0.2</v>
      </c>
      <c r="I142" s="24"/>
      <c r="J142" s="24"/>
      <c r="K142" s="797">
        <v>108</v>
      </c>
      <c r="L142" s="797">
        <v>29</v>
      </c>
      <c r="M142" s="151" t="s">
        <v>696</v>
      </c>
    </row>
    <row r="143" ht="16.5" spans="2:13">
      <c r="B143" s="151" t="s">
        <v>148</v>
      </c>
      <c r="C143" s="151" t="s">
        <v>149</v>
      </c>
      <c r="D143" s="151" t="s">
        <v>829</v>
      </c>
      <c r="E143" s="151" t="s">
        <v>717</v>
      </c>
      <c r="F143" s="151" t="s">
        <v>830</v>
      </c>
      <c r="G143" s="795">
        <v>0.201</v>
      </c>
      <c r="H143" s="795">
        <v>1</v>
      </c>
      <c r="I143" s="24"/>
      <c r="J143" s="24"/>
      <c r="K143" s="797">
        <v>99</v>
      </c>
      <c r="L143" s="797">
        <v>23</v>
      </c>
      <c r="M143" s="151" t="s">
        <v>696</v>
      </c>
    </row>
    <row r="144" ht="33" spans="2:13">
      <c r="B144" s="151" t="s">
        <v>148</v>
      </c>
      <c r="C144" s="151" t="s">
        <v>149</v>
      </c>
      <c r="D144" s="151" t="s">
        <v>759</v>
      </c>
      <c r="E144" s="151" t="s">
        <v>714</v>
      </c>
      <c r="F144" s="151" t="s">
        <v>831</v>
      </c>
      <c r="G144" s="795">
        <v>1.001</v>
      </c>
      <c r="H144" s="795">
        <v>10</v>
      </c>
      <c r="I144" s="24"/>
      <c r="J144" s="24"/>
      <c r="K144" s="797">
        <v>100</v>
      </c>
      <c r="L144" s="797">
        <v>22</v>
      </c>
      <c r="M144" s="151" t="s">
        <v>696</v>
      </c>
    </row>
    <row r="145" ht="33" spans="2:13">
      <c r="B145" s="151" t="s">
        <v>170</v>
      </c>
      <c r="C145" s="151" t="s">
        <v>171</v>
      </c>
      <c r="D145" s="151" t="s">
        <v>765</v>
      </c>
      <c r="E145" s="151" t="s">
        <v>832</v>
      </c>
      <c r="F145" s="151" t="s">
        <v>748</v>
      </c>
      <c r="G145" s="795">
        <v>0.001</v>
      </c>
      <c r="H145" s="795">
        <v>30</v>
      </c>
      <c r="I145" s="24"/>
      <c r="J145" s="24"/>
      <c r="K145" s="797">
        <v>29</v>
      </c>
      <c r="L145" s="797">
        <v>10</v>
      </c>
      <c r="M145" s="151" t="s">
        <v>738</v>
      </c>
    </row>
    <row r="146" ht="16.5" customHeight="1" spans="2:13">
      <c r="B146" s="151" t="s">
        <v>166</v>
      </c>
      <c r="C146" s="151" t="s">
        <v>167</v>
      </c>
      <c r="D146" s="151" t="s">
        <v>833</v>
      </c>
      <c r="E146" s="151" t="s">
        <v>760</v>
      </c>
      <c r="F146" s="151" t="s">
        <v>769</v>
      </c>
      <c r="G146" s="795">
        <v>0.001</v>
      </c>
      <c r="H146" s="795">
        <v>2</v>
      </c>
      <c r="I146" s="24"/>
      <c r="J146" s="24"/>
      <c r="K146" s="797">
        <v>122</v>
      </c>
      <c r="L146" s="797">
        <v>24</v>
      </c>
      <c r="M146" s="151" t="s">
        <v>696</v>
      </c>
    </row>
    <row r="147" ht="16.5" customHeight="1" spans="2:13">
      <c r="B147" s="151" t="s">
        <v>156</v>
      </c>
      <c r="C147" s="151" t="s">
        <v>157</v>
      </c>
      <c r="D147" s="151" t="s">
        <v>834</v>
      </c>
      <c r="E147" s="151" t="s">
        <v>714</v>
      </c>
      <c r="F147" s="151" t="s">
        <v>769</v>
      </c>
      <c r="G147" s="795">
        <v>0.001</v>
      </c>
      <c r="H147" s="795">
        <v>2</v>
      </c>
      <c r="I147" s="24"/>
      <c r="J147" s="24"/>
      <c r="K147" s="797">
        <v>147</v>
      </c>
      <c r="L147" s="797">
        <v>22</v>
      </c>
      <c r="M147" s="151" t="s">
        <v>696</v>
      </c>
    </row>
    <row r="148" ht="33" spans="2:13">
      <c r="B148" s="151" t="s">
        <v>156</v>
      </c>
      <c r="C148" s="151" t="s">
        <v>157</v>
      </c>
      <c r="D148" s="151" t="s">
        <v>835</v>
      </c>
      <c r="E148" s="151" t="s">
        <v>714</v>
      </c>
      <c r="F148" s="151" t="s">
        <v>836</v>
      </c>
      <c r="G148" s="795">
        <v>2.001</v>
      </c>
      <c r="H148" s="795">
        <v>10</v>
      </c>
      <c r="I148" s="24"/>
      <c r="J148" s="24"/>
      <c r="K148" s="797">
        <v>208</v>
      </c>
      <c r="L148" s="797">
        <v>22</v>
      </c>
      <c r="M148" s="151" t="s">
        <v>696</v>
      </c>
    </row>
    <row r="149" ht="33" spans="2:13">
      <c r="B149" s="151" t="s">
        <v>156</v>
      </c>
      <c r="C149" s="151" t="s">
        <v>157</v>
      </c>
      <c r="D149" s="151" t="s">
        <v>837</v>
      </c>
      <c r="E149" s="151" t="s">
        <v>714</v>
      </c>
      <c r="F149" s="151" t="s">
        <v>814</v>
      </c>
      <c r="G149" s="795">
        <v>10</v>
      </c>
      <c r="H149" s="795">
        <v>30</v>
      </c>
      <c r="I149" s="24"/>
      <c r="J149" s="24"/>
      <c r="K149" s="797">
        <v>180</v>
      </c>
      <c r="L149" s="797">
        <v>22</v>
      </c>
      <c r="M149" s="151" t="s">
        <v>696</v>
      </c>
    </row>
    <row r="150" ht="16.5" customHeight="1" spans="2:13">
      <c r="B150" s="151" t="s">
        <v>160</v>
      </c>
      <c r="C150" s="151" t="s">
        <v>161</v>
      </c>
      <c r="D150" s="151" t="s">
        <v>838</v>
      </c>
      <c r="E150" s="151" t="s">
        <v>714</v>
      </c>
      <c r="F150" s="151" t="s">
        <v>769</v>
      </c>
      <c r="G150" s="795">
        <v>0.001</v>
      </c>
      <c r="H150" s="795">
        <v>2</v>
      </c>
      <c r="I150" s="24"/>
      <c r="J150" s="24"/>
      <c r="K150" s="797">
        <v>113</v>
      </c>
      <c r="L150" s="797">
        <v>22</v>
      </c>
      <c r="M150" s="151" t="s">
        <v>696</v>
      </c>
    </row>
    <row r="151" ht="33" spans="2:13">
      <c r="B151" s="151" t="s">
        <v>160</v>
      </c>
      <c r="C151" s="151" t="s">
        <v>161</v>
      </c>
      <c r="D151" s="151" t="s">
        <v>839</v>
      </c>
      <c r="E151" s="151" t="s">
        <v>714</v>
      </c>
      <c r="F151" s="151" t="s">
        <v>836</v>
      </c>
      <c r="G151" s="795">
        <v>2.001</v>
      </c>
      <c r="H151" s="795">
        <v>10</v>
      </c>
      <c r="I151" s="24"/>
      <c r="J151" s="24"/>
      <c r="K151" s="797">
        <v>161</v>
      </c>
      <c r="L151" s="797">
        <v>22</v>
      </c>
      <c r="M151" s="151" t="s">
        <v>696</v>
      </c>
    </row>
    <row r="152" ht="33" spans="2:13">
      <c r="B152" s="151" t="s">
        <v>160</v>
      </c>
      <c r="C152" s="151" t="s">
        <v>161</v>
      </c>
      <c r="D152" s="151" t="s">
        <v>840</v>
      </c>
      <c r="E152" s="151" t="s">
        <v>714</v>
      </c>
      <c r="F152" s="151" t="s">
        <v>814</v>
      </c>
      <c r="G152" s="795">
        <v>10</v>
      </c>
      <c r="H152" s="795">
        <v>30</v>
      </c>
      <c r="I152" s="24"/>
      <c r="J152" s="24"/>
      <c r="K152" s="797">
        <v>140</v>
      </c>
      <c r="L152" s="797">
        <v>22</v>
      </c>
      <c r="M152" s="151" t="s">
        <v>696</v>
      </c>
    </row>
    <row r="153" ht="16.5" spans="2:13">
      <c r="B153" s="151" t="s">
        <v>128</v>
      </c>
      <c r="C153" s="151" t="s">
        <v>129</v>
      </c>
      <c r="D153" s="151" t="s">
        <v>693</v>
      </c>
      <c r="E153" s="151" t="s">
        <v>841</v>
      </c>
      <c r="F153" s="151" t="s">
        <v>769</v>
      </c>
      <c r="G153" s="795">
        <v>0.001</v>
      </c>
      <c r="H153" s="795">
        <v>2</v>
      </c>
      <c r="I153" s="24"/>
      <c r="J153" s="24"/>
      <c r="K153" s="797">
        <v>120</v>
      </c>
      <c r="L153" s="797">
        <v>48</v>
      </c>
      <c r="M153" s="151" t="s">
        <v>696</v>
      </c>
    </row>
    <row r="154" ht="16.5" customHeight="1" spans="2:13">
      <c r="B154" s="151" t="s">
        <v>154</v>
      </c>
      <c r="C154" s="151" t="s">
        <v>155</v>
      </c>
      <c r="D154" s="151" t="s">
        <v>842</v>
      </c>
      <c r="E154" s="151" t="s">
        <v>798</v>
      </c>
      <c r="F154" s="151" t="s">
        <v>769</v>
      </c>
      <c r="G154" s="795">
        <v>0.001</v>
      </c>
      <c r="H154" s="795">
        <v>2</v>
      </c>
      <c r="I154" s="24"/>
      <c r="J154" s="24"/>
      <c r="K154" s="797">
        <v>94</v>
      </c>
      <c r="L154" s="797">
        <v>27</v>
      </c>
      <c r="M154" s="151" t="s">
        <v>696</v>
      </c>
    </row>
    <row r="155" ht="33" spans="2:13">
      <c r="B155" s="151" t="s">
        <v>154</v>
      </c>
      <c r="C155" s="151" t="s">
        <v>155</v>
      </c>
      <c r="D155" s="151" t="s">
        <v>843</v>
      </c>
      <c r="E155" s="151" t="s">
        <v>798</v>
      </c>
      <c r="F155" s="151" t="s">
        <v>836</v>
      </c>
      <c r="G155" s="795">
        <v>2.001</v>
      </c>
      <c r="H155" s="795">
        <v>10</v>
      </c>
      <c r="I155" s="24"/>
      <c r="J155" s="24"/>
      <c r="K155" s="797">
        <v>150</v>
      </c>
      <c r="L155" s="797">
        <v>27</v>
      </c>
      <c r="M155" s="151" t="s">
        <v>696</v>
      </c>
    </row>
    <row r="156" ht="33" spans="2:13">
      <c r="B156" s="151" t="s">
        <v>154</v>
      </c>
      <c r="C156" s="151" t="s">
        <v>155</v>
      </c>
      <c r="D156" s="151" t="s">
        <v>844</v>
      </c>
      <c r="E156" s="151" t="s">
        <v>798</v>
      </c>
      <c r="F156" s="151" t="s">
        <v>814</v>
      </c>
      <c r="G156" s="795">
        <v>10</v>
      </c>
      <c r="H156" s="795">
        <v>30</v>
      </c>
      <c r="I156" s="24"/>
      <c r="J156" s="24"/>
      <c r="K156" s="797">
        <v>130</v>
      </c>
      <c r="L156" s="797">
        <v>27</v>
      </c>
      <c r="M156" s="151" t="s">
        <v>696</v>
      </c>
    </row>
    <row r="157" ht="16.5" spans="2:13">
      <c r="B157" s="151" t="s">
        <v>164</v>
      </c>
      <c r="C157" s="151" t="s">
        <v>165</v>
      </c>
      <c r="D157" s="151" t="s">
        <v>700</v>
      </c>
      <c r="E157" s="151" t="s">
        <v>698</v>
      </c>
      <c r="F157" s="151" t="s">
        <v>769</v>
      </c>
      <c r="G157" s="795">
        <v>0.001</v>
      </c>
      <c r="H157" s="795">
        <v>2</v>
      </c>
      <c r="I157" s="24"/>
      <c r="J157" s="24"/>
      <c r="K157" s="797">
        <v>110</v>
      </c>
      <c r="L157" s="797">
        <v>18</v>
      </c>
      <c r="M157" s="151" t="s">
        <v>696</v>
      </c>
    </row>
    <row r="158" ht="16.5" spans="2:13">
      <c r="B158" s="151" t="s">
        <v>162</v>
      </c>
      <c r="C158" s="151" t="s">
        <v>273</v>
      </c>
      <c r="D158" s="151" t="s">
        <v>845</v>
      </c>
      <c r="E158" s="151" t="s">
        <v>711</v>
      </c>
      <c r="F158" s="151" t="s">
        <v>769</v>
      </c>
      <c r="G158" s="795">
        <v>0.001</v>
      </c>
      <c r="H158" s="795">
        <v>2</v>
      </c>
      <c r="I158" s="24"/>
      <c r="J158" s="24"/>
      <c r="K158" s="797">
        <v>106</v>
      </c>
      <c r="L158" s="797">
        <v>21</v>
      </c>
      <c r="M158" s="151" t="s">
        <v>696</v>
      </c>
    </row>
    <row r="159" ht="16.5" customHeight="1" spans="2:13">
      <c r="B159" s="151" t="s">
        <v>158</v>
      </c>
      <c r="C159" s="151" t="s">
        <v>159</v>
      </c>
      <c r="D159" s="151" t="s">
        <v>766</v>
      </c>
      <c r="E159" s="151" t="s">
        <v>714</v>
      </c>
      <c r="F159" s="151" t="s">
        <v>769</v>
      </c>
      <c r="G159" s="795">
        <v>0.001</v>
      </c>
      <c r="H159" s="795">
        <v>2</v>
      </c>
      <c r="I159" s="24"/>
      <c r="J159" s="24"/>
      <c r="K159" s="797">
        <v>132</v>
      </c>
      <c r="L159" s="797">
        <v>22</v>
      </c>
      <c r="M159" s="151" t="s">
        <v>696</v>
      </c>
    </row>
    <row r="160" ht="33" spans="2:13">
      <c r="B160" s="151" t="s">
        <v>158</v>
      </c>
      <c r="C160" s="151" t="s">
        <v>159</v>
      </c>
      <c r="D160" s="151" t="s">
        <v>846</v>
      </c>
      <c r="E160" s="151" t="s">
        <v>714</v>
      </c>
      <c r="F160" s="151" t="s">
        <v>836</v>
      </c>
      <c r="G160" s="795">
        <v>2.001</v>
      </c>
      <c r="H160" s="795">
        <v>10</v>
      </c>
      <c r="I160" s="24"/>
      <c r="J160" s="24"/>
      <c r="K160" s="797">
        <v>215</v>
      </c>
      <c r="L160" s="797">
        <v>22</v>
      </c>
      <c r="M160" s="151" t="s">
        <v>696</v>
      </c>
    </row>
    <row r="161" ht="33" spans="2:13">
      <c r="B161" s="151" t="s">
        <v>158</v>
      </c>
      <c r="C161" s="151" t="s">
        <v>159</v>
      </c>
      <c r="D161" s="151" t="s">
        <v>847</v>
      </c>
      <c r="E161" s="151" t="s">
        <v>714</v>
      </c>
      <c r="F161" s="151" t="s">
        <v>814</v>
      </c>
      <c r="G161" s="795">
        <v>10</v>
      </c>
      <c r="H161" s="795">
        <v>30</v>
      </c>
      <c r="I161" s="24"/>
      <c r="J161" s="24"/>
      <c r="K161" s="797">
        <v>186</v>
      </c>
      <c r="L161" s="797">
        <v>22</v>
      </c>
      <c r="M161" s="151" t="s">
        <v>696</v>
      </c>
    </row>
    <row r="162" ht="16.5" spans="2:13">
      <c r="B162" s="151" t="s">
        <v>138</v>
      </c>
      <c r="C162" s="151" t="s">
        <v>139</v>
      </c>
      <c r="D162" s="151" t="s">
        <v>848</v>
      </c>
      <c r="E162" s="151" t="s">
        <v>773</v>
      </c>
      <c r="F162" s="151" t="s">
        <v>849</v>
      </c>
      <c r="G162" s="795">
        <v>0.001</v>
      </c>
      <c r="H162" s="795">
        <v>8</v>
      </c>
      <c r="I162" s="24"/>
      <c r="J162" s="24"/>
      <c r="K162" s="795">
        <v>171</v>
      </c>
      <c r="L162" s="795">
        <v>26</v>
      </c>
      <c r="M162" s="151" t="s">
        <v>696</v>
      </c>
    </row>
    <row r="163" ht="30" spans="2:13">
      <c r="B163" s="793" t="s">
        <v>661</v>
      </c>
      <c r="C163" s="793" t="s">
        <v>688</v>
      </c>
      <c r="D163" s="793" t="s">
        <v>691</v>
      </c>
      <c r="E163" s="793" t="s">
        <v>850</v>
      </c>
      <c r="F163" s="793" t="s">
        <v>851</v>
      </c>
      <c r="G163" s="793"/>
      <c r="H163" s="24" t="str">
        <f t="shared" ref="H134:H163" si="0">RIGHT(F163,5)</f>
        <v>首重价格</v>
      </c>
      <c r="I163" s="801"/>
      <c r="J163" s="24"/>
      <c r="K163" s="24"/>
      <c r="L163" s="24"/>
      <c r="M163" s="793" t="s">
        <v>852</v>
      </c>
    </row>
    <row r="164" ht="16.5" customHeight="1" spans="2:13">
      <c r="B164" s="794" t="s">
        <v>90</v>
      </c>
      <c r="C164" s="151" t="s">
        <v>91</v>
      </c>
      <c r="D164" s="151" t="s">
        <v>769</v>
      </c>
      <c r="E164" s="151" t="s">
        <v>853</v>
      </c>
      <c r="F164" s="151" t="s">
        <v>777</v>
      </c>
      <c r="G164" s="151">
        <v>0.001</v>
      </c>
      <c r="H164" s="151">
        <v>2</v>
      </c>
      <c r="I164" s="802"/>
      <c r="J164" s="24"/>
      <c r="K164" s="797">
        <v>31</v>
      </c>
      <c r="L164" s="797">
        <v>5</v>
      </c>
      <c r="M164" s="151" t="s">
        <v>853</v>
      </c>
    </row>
    <row r="165" ht="33" spans="2:13">
      <c r="B165" s="794" t="s">
        <v>90</v>
      </c>
      <c r="C165" s="151" t="s">
        <v>91</v>
      </c>
      <c r="D165" s="151" t="s">
        <v>836</v>
      </c>
      <c r="E165" s="151" t="s">
        <v>853</v>
      </c>
      <c r="F165" s="151" t="s">
        <v>777</v>
      </c>
      <c r="G165" s="151">
        <v>2.001</v>
      </c>
      <c r="H165" s="151">
        <v>10</v>
      </c>
      <c r="I165" s="802"/>
      <c r="J165" s="24"/>
      <c r="K165" s="797">
        <v>31</v>
      </c>
      <c r="L165" s="797">
        <v>6</v>
      </c>
      <c r="M165" s="151" t="s">
        <v>853</v>
      </c>
    </row>
    <row r="166" ht="30" spans="2:13">
      <c r="B166" s="793" t="s">
        <v>661</v>
      </c>
      <c r="C166" s="793" t="s">
        <v>854</v>
      </c>
      <c r="D166" s="793" t="s">
        <v>689</v>
      </c>
      <c r="E166" s="793" t="s">
        <v>690</v>
      </c>
      <c r="F166" s="793" t="s">
        <v>691</v>
      </c>
      <c r="G166" s="24"/>
      <c r="H166" s="24"/>
      <c r="I166" s="24"/>
      <c r="J166" s="24"/>
      <c r="K166" s="24"/>
      <c r="L166" s="24"/>
      <c r="M166" s="793" t="s">
        <v>692</v>
      </c>
    </row>
    <row r="167" ht="33" customHeight="1" spans="2:13">
      <c r="B167" s="151" t="s">
        <v>106</v>
      </c>
      <c r="C167" s="151" t="s">
        <v>107</v>
      </c>
      <c r="D167" s="151" t="s">
        <v>855</v>
      </c>
      <c r="E167" s="151" t="s">
        <v>734</v>
      </c>
      <c r="F167" s="151" t="s">
        <v>723</v>
      </c>
      <c r="G167" s="151">
        <v>0.001</v>
      </c>
      <c r="H167" s="24">
        <v>0.5</v>
      </c>
      <c r="I167" s="24"/>
      <c r="J167" s="24"/>
      <c r="K167" s="797">
        <v>51</v>
      </c>
      <c r="L167" s="797">
        <v>55</v>
      </c>
      <c r="M167" s="151" t="s">
        <v>738</v>
      </c>
    </row>
    <row r="168" ht="16.5" spans="2:13">
      <c r="B168" s="151" t="s">
        <v>106</v>
      </c>
      <c r="C168" s="151" t="s">
        <v>107</v>
      </c>
      <c r="D168" s="151" t="s">
        <v>855</v>
      </c>
      <c r="E168" s="151" t="s">
        <v>789</v>
      </c>
      <c r="F168" s="151" t="s">
        <v>824</v>
      </c>
      <c r="G168" s="24">
        <v>0.501</v>
      </c>
      <c r="H168" s="24">
        <v>2</v>
      </c>
      <c r="I168" s="24"/>
      <c r="J168" s="24"/>
      <c r="K168" s="797">
        <v>51</v>
      </c>
      <c r="L168" s="797">
        <v>95</v>
      </c>
      <c r="M168" s="151" t="s">
        <v>738</v>
      </c>
    </row>
    <row r="169" ht="16.5" spans="2:13">
      <c r="B169" s="151" t="s">
        <v>106</v>
      </c>
      <c r="C169" s="151" t="s">
        <v>107</v>
      </c>
      <c r="D169" s="151" t="s">
        <v>855</v>
      </c>
      <c r="E169" s="151" t="s">
        <v>856</v>
      </c>
      <c r="F169" s="151" t="s">
        <v>825</v>
      </c>
      <c r="G169" s="24">
        <v>2.001</v>
      </c>
      <c r="H169" s="24">
        <v>5</v>
      </c>
      <c r="I169" s="24"/>
      <c r="J169" s="24"/>
      <c r="K169" s="797">
        <v>51</v>
      </c>
      <c r="L169" s="797">
        <v>117</v>
      </c>
      <c r="M169" s="151" t="s">
        <v>738</v>
      </c>
    </row>
    <row r="170" ht="33" spans="2:13">
      <c r="B170" s="151" t="s">
        <v>106</v>
      </c>
      <c r="C170" s="151" t="s">
        <v>107</v>
      </c>
      <c r="D170" s="151" t="s">
        <v>855</v>
      </c>
      <c r="E170" s="151" t="s">
        <v>766</v>
      </c>
      <c r="F170" s="151" t="s">
        <v>857</v>
      </c>
      <c r="G170" s="24">
        <v>5.001</v>
      </c>
      <c r="H170" s="24">
        <v>10</v>
      </c>
      <c r="I170" s="24"/>
      <c r="J170" s="24"/>
      <c r="K170" s="797">
        <v>51</v>
      </c>
      <c r="L170" s="797">
        <v>132</v>
      </c>
      <c r="M170" s="151" t="s">
        <v>738</v>
      </c>
    </row>
    <row r="171" ht="33" spans="2:13">
      <c r="B171" s="151" t="s">
        <v>106</v>
      </c>
      <c r="C171" s="151" t="s">
        <v>107</v>
      </c>
      <c r="D171" s="151" t="s">
        <v>855</v>
      </c>
      <c r="E171" s="151" t="s">
        <v>858</v>
      </c>
      <c r="F171" s="151" t="s">
        <v>859</v>
      </c>
      <c r="G171" s="24">
        <v>10.001</v>
      </c>
      <c r="H171" s="24">
        <v>22</v>
      </c>
      <c r="I171" s="24"/>
      <c r="J171" s="24"/>
      <c r="K171" s="797">
        <v>51</v>
      </c>
      <c r="L171" s="797">
        <v>155</v>
      </c>
      <c r="M171" s="151" t="s">
        <v>738</v>
      </c>
    </row>
    <row r="172" ht="22.5" customHeight="1" spans="2:13">
      <c r="B172" s="799"/>
      <c r="C172" s="799"/>
      <c r="D172" s="799"/>
      <c r="E172" s="799"/>
      <c r="F172" s="799"/>
      <c r="G172" s="799"/>
      <c r="H172" s="799"/>
      <c r="I172" s="799"/>
      <c r="J172" s="799"/>
      <c r="K172" s="799"/>
      <c r="L172" s="799"/>
      <c r="M172" s="799"/>
    </row>
    <row r="173" ht="49.5" customHeight="1" spans="2:13">
      <c r="B173" s="800" t="s">
        <v>860</v>
      </c>
      <c r="C173" s="800"/>
      <c r="D173" s="800"/>
      <c r="E173" s="800"/>
      <c r="F173" s="800"/>
      <c r="G173" s="800"/>
      <c r="H173" s="800"/>
      <c r="I173" s="800"/>
      <c r="J173" s="800"/>
      <c r="K173" s="800"/>
      <c r="L173" s="800"/>
      <c r="M173" s="800"/>
    </row>
    <row r="174" ht="16.5" customHeight="1" spans="2:13">
      <c r="B174" s="800" t="s">
        <v>861</v>
      </c>
      <c r="C174" s="800"/>
      <c r="D174" s="800"/>
      <c r="E174" s="800"/>
      <c r="F174" s="800"/>
      <c r="G174" s="800"/>
      <c r="H174" s="800"/>
      <c r="I174" s="800"/>
      <c r="J174" s="800"/>
      <c r="K174" s="800"/>
      <c r="L174" s="800"/>
      <c r="M174" s="800"/>
    </row>
    <row r="175" ht="16.5" customHeight="1" spans="2:13">
      <c r="B175" s="800" t="s">
        <v>862</v>
      </c>
      <c r="C175" s="800"/>
      <c r="D175" s="800"/>
      <c r="E175" s="800"/>
      <c r="F175" s="800"/>
      <c r="G175" s="800"/>
      <c r="H175" s="800"/>
      <c r="I175" s="800"/>
      <c r="J175" s="800"/>
      <c r="K175" s="800"/>
      <c r="L175" s="800"/>
      <c r="M175" s="800"/>
    </row>
    <row r="176" ht="33" customHeight="1" spans="2:13">
      <c r="B176" s="800" t="s">
        <v>863</v>
      </c>
      <c r="C176" s="800"/>
      <c r="D176" s="800"/>
      <c r="E176" s="800"/>
      <c r="F176" s="800"/>
      <c r="G176" s="800"/>
      <c r="H176" s="800"/>
      <c r="I176" s="800"/>
      <c r="J176" s="800"/>
      <c r="K176" s="800"/>
      <c r="L176" s="800"/>
      <c r="M176" s="800"/>
    </row>
    <row r="177" ht="16.5" customHeight="1" spans="2:13">
      <c r="B177" s="800" t="s">
        <v>864</v>
      </c>
      <c r="C177" s="800"/>
      <c r="D177" s="800"/>
      <c r="E177" s="800"/>
      <c r="F177" s="800"/>
      <c r="G177" s="800"/>
      <c r="H177" s="800"/>
      <c r="I177" s="800"/>
      <c r="J177" s="800"/>
      <c r="K177" s="800"/>
      <c r="L177" s="800"/>
      <c r="M177" s="800"/>
    </row>
    <row r="178" ht="33" customHeight="1" spans="2:13">
      <c r="B178" s="800" t="s">
        <v>865</v>
      </c>
      <c r="C178" s="800"/>
      <c r="D178" s="800"/>
      <c r="E178" s="800"/>
      <c r="F178" s="800"/>
      <c r="G178" s="800"/>
      <c r="H178" s="800"/>
      <c r="I178" s="800"/>
      <c r="J178" s="800"/>
      <c r="K178" s="800"/>
      <c r="L178" s="800"/>
      <c r="M178" s="800"/>
    </row>
    <row r="179" ht="16.5" customHeight="1" spans="2:13">
      <c r="B179" s="800" t="s">
        <v>866</v>
      </c>
      <c r="C179" s="800"/>
      <c r="D179" s="800"/>
      <c r="E179" s="800"/>
      <c r="F179" s="800"/>
      <c r="G179" s="800"/>
      <c r="H179" s="800"/>
      <c r="I179" s="800"/>
      <c r="J179" s="800"/>
      <c r="K179" s="800"/>
      <c r="L179" s="800"/>
      <c r="M179" s="800"/>
    </row>
    <row r="180" ht="16.5" customHeight="1" spans="2:13">
      <c r="B180" s="800" t="s">
        <v>867</v>
      </c>
      <c r="C180" s="800"/>
      <c r="D180" s="800"/>
      <c r="E180" s="800"/>
      <c r="F180" s="800"/>
      <c r="G180" s="800"/>
      <c r="H180" s="800"/>
      <c r="I180" s="800"/>
      <c r="J180" s="800"/>
      <c r="K180" s="800"/>
      <c r="L180" s="800"/>
      <c r="M180" s="800"/>
    </row>
    <row r="181" ht="16.5" customHeight="1" spans="2:13">
      <c r="B181" s="800" t="s">
        <v>868</v>
      </c>
      <c r="C181" s="800"/>
      <c r="D181" s="800"/>
      <c r="E181" s="800"/>
      <c r="F181" s="800"/>
      <c r="G181" s="800"/>
      <c r="H181" s="800"/>
      <c r="I181" s="800"/>
      <c r="J181" s="800"/>
      <c r="K181" s="800"/>
      <c r="L181" s="800"/>
      <c r="M181" s="800"/>
    </row>
    <row r="182" ht="16.5" customHeight="1" spans="2:13">
      <c r="B182" s="800" t="s">
        <v>869</v>
      </c>
      <c r="C182" s="800"/>
      <c r="D182" s="800"/>
      <c r="E182" s="800"/>
      <c r="F182" s="800"/>
      <c r="G182" s="800"/>
      <c r="H182" s="800"/>
      <c r="I182" s="800"/>
      <c r="J182" s="800"/>
      <c r="K182" s="800"/>
      <c r="L182" s="800"/>
      <c r="M182" s="800"/>
    </row>
    <row r="183" ht="16.5" customHeight="1" spans="2:13">
      <c r="B183" s="800" t="s">
        <v>870</v>
      </c>
      <c r="C183" s="800"/>
      <c r="D183" s="800"/>
      <c r="E183" s="800"/>
      <c r="F183" s="800"/>
      <c r="G183" s="800"/>
      <c r="H183" s="800"/>
      <c r="I183" s="800"/>
      <c r="J183" s="800"/>
      <c r="K183" s="800"/>
      <c r="L183" s="800"/>
      <c r="M183" s="800"/>
    </row>
    <row r="184" ht="33" customHeight="1" spans="2:13">
      <c r="B184" s="800" t="s">
        <v>871</v>
      </c>
      <c r="C184" s="800"/>
      <c r="D184" s="800"/>
      <c r="E184" s="800"/>
      <c r="F184" s="800"/>
      <c r="G184" s="800"/>
      <c r="H184" s="800"/>
      <c r="I184" s="800"/>
      <c r="J184" s="800"/>
      <c r="K184" s="800"/>
      <c r="L184" s="800"/>
      <c r="M184" s="800"/>
    </row>
    <row r="185" ht="16.5" customHeight="1" spans="2:13">
      <c r="B185" s="800" t="s">
        <v>872</v>
      </c>
      <c r="C185" s="800"/>
      <c r="D185" s="800"/>
      <c r="E185" s="800"/>
      <c r="F185" s="800"/>
      <c r="G185" s="800"/>
      <c r="H185" s="800"/>
      <c r="I185" s="800"/>
      <c r="J185" s="800"/>
      <c r="K185" s="800"/>
      <c r="L185" s="800"/>
      <c r="M185" s="800"/>
    </row>
    <row r="186" ht="16.5" customHeight="1" spans="2:13">
      <c r="B186" s="800" t="s">
        <v>873</v>
      </c>
      <c r="C186" s="800"/>
      <c r="D186" s="800"/>
      <c r="E186" s="800"/>
      <c r="F186" s="800"/>
      <c r="G186" s="800"/>
      <c r="H186" s="800"/>
      <c r="I186" s="800"/>
      <c r="J186" s="800"/>
      <c r="K186" s="800"/>
      <c r="L186" s="800"/>
      <c r="M186" s="800"/>
    </row>
    <row r="187" ht="49.5" customHeight="1" spans="2:13">
      <c r="B187" s="800" t="s">
        <v>874</v>
      </c>
      <c r="C187" s="800"/>
      <c r="D187" s="800"/>
      <c r="E187" s="800"/>
      <c r="F187" s="800"/>
      <c r="G187" s="800"/>
      <c r="H187" s="800"/>
      <c r="I187" s="800"/>
      <c r="J187" s="800"/>
      <c r="K187" s="800"/>
      <c r="L187" s="800"/>
      <c r="M187" s="800"/>
    </row>
    <row r="188" ht="16.5" customHeight="1" spans="2:13">
      <c r="B188" s="800" t="s">
        <v>875</v>
      </c>
      <c r="C188" s="800"/>
      <c r="D188" s="800"/>
      <c r="E188" s="800"/>
      <c r="F188" s="800"/>
      <c r="G188" s="800"/>
      <c r="H188" s="800"/>
      <c r="I188" s="800"/>
      <c r="J188" s="800"/>
      <c r="K188" s="800"/>
      <c r="L188" s="800"/>
      <c r="M188" s="800"/>
    </row>
    <row r="189" ht="16.5" customHeight="1" spans="2:13">
      <c r="B189" s="800" t="s">
        <v>876</v>
      </c>
      <c r="C189" s="800"/>
      <c r="D189" s="800"/>
      <c r="E189" s="800"/>
      <c r="F189" s="800"/>
      <c r="G189" s="800"/>
      <c r="H189" s="800"/>
      <c r="I189" s="800"/>
      <c r="J189" s="800"/>
      <c r="K189" s="800"/>
      <c r="L189" s="800"/>
      <c r="M189" s="800"/>
    </row>
    <row r="190" ht="16.5" customHeight="1" spans="2:13">
      <c r="B190" s="800" t="s">
        <v>877</v>
      </c>
      <c r="C190" s="800"/>
      <c r="D190" s="800"/>
      <c r="E190" s="800"/>
      <c r="F190" s="800"/>
      <c r="G190" s="800"/>
      <c r="H190" s="800"/>
      <c r="I190" s="800"/>
      <c r="J190" s="800"/>
      <c r="K190" s="800"/>
      <c r="L190" s="800"/>
      <c r="M190" s="800"/>
    </row>
    <row r="191" ht="16.5" customHeight="1" spans="2:13">
      <c r="B191" s="800" t="s">
        <v>878</v>
      </c>
      <c r="C191" s="800"/>
      <c r="D191" s="800"/>
      <c r="E191" s="800"/>
      <c r="F191" s="800"/>
      <c r="G191" s="800"/>
      <c r="H191" s="800"/>
      <c r="I191" s="800"/>
      <c r="J191" s="800"/>
      <c r="K191" s="800"/>
      <c r="L191" s="800"/>
      <c r="M191" s="800"/>
    </row>
    <row r="192" ht="33" customHeight="1" spans="2:13">
      <c r="B192" s="800" t="s">
        <v>879</v>
      </c>
      <c r="C192" s="800"/>
      <c r="D192" s="800"/>
      <c r="E192" s="800"/>
      <c r="F192" s="800"/>
      <c r="G192" s="800"/>
      <c r="H192" s="800"/>
      <c r="I192" s="800"/>
      <c r="J192" s="800"/>
      <c r="K192" s="800"/>
      <c r="L192" s="800"/>
      <c r="M192" s="800"/>
    </row>
    <row r="193" ht="33" customHeight="1" spans="2:13">
      <c r="B193" s="800" t="s">
        <v>880</v>
      </c>
      <c r="C193" s="800"/>
      <c r="D193" s="800"/>
      <c r="E193" s="800"/>
      <c r="F193" s="800"/>
      <c r="G193" s="800"/>
      <c r="H193" s="800"/>
      <c r="I193" s="800"/>
      <c r="J193" s="800"/>
      <c r="K193" s="800"/>
      <c r="L193" s="800"/>
      <c r="M193" s="800"/>
    </row>
    <row r="194" ht="33" customHeight="1" spans="2:13">
      <c r="B194" s="800" t="s">
        <v>881</v>
      </c>
      <c r="C194" s="800"/>
      <c r="D194" s="800"/>
      <c r="E194" s="800"/>
      <c r="F194" s="800"/>
      <c r="G194" s="800"/>
      <c r="H194" s="800"/>
      <c r="I194" s="800"/>
      <c r="J194" s="800"/>
      <c r="K194" s="800"/>
      <c r="L194" s="800"/>
      <c r="M194" s="800"/>
    </row>
    <row r="195" ht="33" customHeight="1" spans="2:13">
      <c r="B195" s="800" t="s">
        <v>881</v>
      </c>
      <c r="C195" s="800"/>
      <c r="D195" s="800"/>
      <c r="E195" s="800"/>
      <c r="F195" s="800"/>
      <c r="G195" s="800"/>
      <c r="H195" s="800"/>
      <c r="I195" s="800"/>
      <c r="J195" s="800"/>
      <c r="K195" s="800"/>
      <c r="L195" s="800"/>
      <c r="M195" s="800"/>
    </row>
    <row r="196" ht="16.5" customHeight="1" spans="2:13">
      <c r="B196" s="800" t="s">
        <v>882</v>
      </c>
      <c r="C196" s="800"/>
      <c r="D196" s="800"/>
      <c r="E196" s="800"/>
      <c r="F196" s="800"/>
      <c r="G196" s="800"/>
      <c r="H196" s="800"/>
      <c r="I196" s="800"/>
      <c r="J196" s="800"/>
      <c r="K196" s="800"/>
      <c r="L196" s="800"/>
      <c r="M196" s="800"/>
    </row>
    <row r="197" ht="16.5" customHeight="1" spans="2:13">
      <c r="B197" s="800" t="s">
        <v>883</v>
      </c>
      <c r="C197" s="800"/>
      <c r="D197" s="800"/>
      <c r="E197" s="800"/>
      <c r="F197" s="800"/>
      <c r="G197" s="800"/>
      <c r="H197" s="800"/>
      <c r="I197" s="800"/>
      <c r="J197" s="800"/>
      <c r="K197" s="800"/>
      <c r="L197" s="800"/>
      <c r="M197" s="800"/>
    </row>
    <row r="198" ht="33" customHeight="1" spans="2:13">
      <c r="B198" s="800" t="s">
        <v>881</v>
      </c>
      <c r="C198" s="800"/>
      <c r="D198" s="800"/>
      <c r="E198" s="800"/>
      <c r="F198" s="800"/>
      <c r="G198" s="800"/>
      <c r="H198" s="800"/>
      <c r="I198" s="800"/>
      <c r="J198" s="800"/>
      <c r="K198" s="800"/>
      <c r="L198" s="800"/>
      <c r="M198" s="800"/>
    </row>
    <row r="199" ht="33" customHeight="1" spans="2:13">
      <c r="B199" s="800" t="s">
        <v>884</v>
      </c>
      <c r="C199" s="800"/>
      <c r="D199" s="800"/>
      <c r="E199" s="800"/>
      <c r="F199" s="800"/>
      <c r="G199" s="800"/>
      <c r="H199" s="800"/>
      <c r="I199" s="800"/>
      <c r="J199" s="800"/>
      <c r="K199" s="800"/>
      <c r="L199" s="800"/>
      <c r="M199" s="800"/>
    </row>
    <row r="200" ht="16.5" customHeight="1" spans="2:13">
      <c r="B200" s="800" t="s">
        <v>885</v>
      </c>
      <c r="C200" s="800"/>
      <c r="D200" s="800"/>
      <c r="E200" s="800"/>
      <c r="F200" s="800"/>
      <c r="G200" s="800"/>
      <c r="H200" s="800"/>
      <c r="I200" s="800"/>
      <c r="J200" s="800"/>
      <c r="K200" s="800"/>
      <c r="L200" s="800"/>
      <c r="M200" s="800"/>
    </row>
    <row r="201" ht="16.5" customHeight="1" spans="2:13">
      <c r="B201" s="800" t="s">
        <v>886</v>
      </c>
      <c r="C201" s="800"/>
      <c r="D201" s="800"/>
      <c r="E201" s="800"/>
      <c r="F201" s="800"/>
      <c r="G201" s="800"/>
      <c r="H201" s="800"/>
      <c r="I201" s="800"/>
      <c r="J201" s="800"/>
      <c r="K201" s="800"/>
      <c r="L201" s="800"/>
      <c r="M201" s="800"/>
    </row>
    <row r="202" ht="16.5" customHeight="1" spans="2:13">
      <c r="B202" s="800" t="s">
        <v>887</v>
      </c>
      <c r="C202" s="800"/>
      <c r="D202" s="800"/>
      <c r="E202" s="800"/>
      <c r="F202" s="800"/>
      <c r="G202" s="800"/>
      <c r="H202" s="800"/>
      <c r="I202" s="800"/>
      <c r="J202" s="800"/>
      <c r="K202" s="800"/>
      <c r="L202" s="800"/>
      <c r="M202" s="800"/>
    </row>
    <row r="203" ht="33" customHeight="1" spans="2:13">
      <c r="B203" s="800" t="s">
        <v>888</v>
      </c>
      <c r="C203" s="800"/>
      <c r="D203" s="800"/>
      <c r="E203" s="800"/>
      <c r="F203" s="800"/>
      <c r="G203" s="800"/>
      <c r="H203" s="800"/>
      <c r="I203" s="800"/>
      <c r="J203" s="800"/>
      <c r="K203" s="800"/>
      <c r="L203" s="800"/>
      <c r="M203" s="800"/>
    </row>
    <row r="204" ht="16.5" customHeight="1" spans="2:13">
      <c r="B204" s="800" t="s">
        <v>889</v>
      </c>
      <c r="C204" s="800"/>
      <c r="D204" s="800"/>
      <c r="E204" s="800"/>
      <c r="F204" s="800"/>
      <c r="G204" s="800"/>
      <c r="H204" s="800"/>
      <c r="I204" s="800"/>
      <c r="J204" s="800"/>
      <c r="K204" s="800"/>
      <c r="L204" s="800"/>
      <c r="M204" s="800"/>
    </row>
    <row r="205" ht="16.5" customHeight="1" spans="2:13">
      <c r="B205" s="800" t="s">
        <v>890</v>
      </c>
      <c r="C205" s="800"/>
      <c r="D205" s="800"/>
      <c r="E205" s="800"/>
      <c r="F205" s="800"/>
      <c r="G205" s="800"/>
      <c r="H205" s="800"/>
      <c r="I205" s="800"/>
      <c r="J205" s="800"/>
      <c r="K205" s="800"/>
      <c r="L205" s="800"/>
      <c r="M205" s="800"/>
    </row>
    <row r="206" ht="16.5" customHeight="1" spans="2:13">
      <c r="B206" s="800" t="s">
        <v>891</v>
      </c>
      <c r="C206" s="800"/>
      <c r="D206" s="800"/>
      <c r="E206" s="800"/>
      <c r="F206" s="800"/>
      <c r="G206" s="800"/>
      <c r="H206" s="800"/>
      <c r="I206" s="800"/>
      <c r="J206" s="800"/>
      <c r="K206" s="800"/>
      <c r="L206" s="800"/>
      <c r="M206" s="800"/>
    </row>
    <row r="207" ht="16.5" customHeight="1" spans="2:13">
      <c r="B207" s="800" t="s">
        <v>892</v>
      </c>
      <c r="C207" s="800"/>
      <c r="D207" s="800"/>
      <c r="E207" s="800"/>
      <c r="F207" s="800"/>
      <c r="G207" s="800"/>
      <c r="H207" s="800"/>
      <c r="I207" s="800"/>
      <c r="J207" s="800"/>
      <c r="K207" s="800"/>
      <c r="L207" s="800"/>
      <c r="M207" s="800"/>
    </row>
    <row r="208" ht="16.5" customHeight="1" spans="2:13">
      <c r="B208" s="800" t="s">
        <v>893</v>
      </c>
      <c r="C208" s="800"/>
      <c r="D208" s="800"/>
      <c r="E208" s="800"/>
      <c r="F208" s="800"/>
      <c r="G208" s="800"/>
      <c r="H208" s="800"/>
      <c r="I208" s="800"/>
      <c r="J208" s="800"/>
      <c r="K208" s="800"/>
      <c r="L208" s="800"/>
      <c r="M208" s="800"/>
    </row>
    <row r="209" ht="16.5" customHeight="1" spans="2:13">
      <c r="B209" s="800" t="s">
        <v>894</v>
      </c>
      <c r="C209" s="800"/>
      <c r="D209" s="800"/>
      <c r="E209" s="800"/>
      <c r="F209" s="800"/>
      <c r="G209" s="800"/>
      <c r="H209" s="800"/>
      <c r="I209" s="800"/>
      <c r="J209" s="800"/>
      <c r="K209" s="800"/>
      <c r="L209" s="800"/>
      <c r="M209" s="800"/>
    </row>
    <row r="210" ht="16.5" customHeight="1" spans="2:13">
      <c r="B210" s="800" t="s">
        <v>895</v>
      </c>
      <c r="C210" s="800"/>
      <c r="D210" s="800"/>
      <c r="E210" s="800"/>
      <c r="F210" s="800"/>
      <c r="G210" s="800"/>
      <c r="H210" s="800"/>
      <c r="I210" s="800"/>
      <c r="J210" s="800"/>
      <c r="K210" s="800"/>
      <c r="L210" s="800"/>
      <c r="M210" s="800"/>
    </row>
    <row r="211" ht="16.5" customHeight="1" spans="2:13">
      <c r="B211" s="800" t="s">
        <v>896</v>
      </c>
      <c r="C211" s="800"/>
      <c r="D211" s="800"/>
      <c r="E211" s="800"/>
      <c r="F211" s="800"/>
      <c r="G211" s="800"/>
      <c r="H211" s="800"/>
      <c r="I211" s="800"/>
      <c r="J211" s="800"/>
      <c r="K211" s="800"/>
      <c r="L211" s="800"/>
      <c r="M211" s="800"/>
    </row>
    <row r="212" ht="33" customHeight="1" spans="2:13">
      <c r="B212" s="800" t="s">
        <v>897</v>
      </c>
      <c r="C212" s="800"/>
      <c r="D212" s="800"/>
      <c r="E212" s="800"/>
      <c r="F212" s="800"/>
      <c r="G212" s="800"/>
      <c r="H212" s="800"/>
      <c r="I212" s="800"/>
      <c r="J212" s="800"/>
      <c r="K212" s="800"/>
      <c r="L212" s="800"/>
      <c r="M212" s="800"/>
    </row>
    <row r="213" ht="16.5" customHeight="1" spans="2:13">
      <c r="B213" s="800" t="s">
        <v>898</v>
      </c>
      <c r="C213" s="800"/>
      <c r="D213" s="800"/>
      <c r="E213" s="800"/>
      <c r="F213" s="800"/>
      <c r="G213" s="800"/>
      <c r="H213" s="800"/>
      <c r="I213" s="800"/>
      <c r="J213" s="800"/>
      <c r="K213" s="800"/>
      <c r="L213" s="800"/>
      <c r="M213" s="800"/>
    </row>
    <row r="214" ht="16.5" customHeight="1" spans="2:13">
      <c r="B214" s="800" t="s">
        <v>899</v>
      </c>
      <c r="C214" s="800"/>
      <c r="D214" s="800"/>
      <c r="E214" s="800"/>
      <c r="F214" s="800"/>
      <c r="G214" s="800"/>
      <c r="H214" s="800"/>
      <c r="I214" s="800"/>
      <c r="J214" s="800"/>
      <c r="K214" s="800"/>
      <c r="L214" s="800"/>
      <c r="M214" s="800"/>
    </row>
    <row r="215" ht="16.5" customHeight="1" spans="2:13">
      <c r="B215" s="800" t="s">
        <v>900</v>
      </c>
      <c r="C215" s="800"/>
      <c r="D215" s="800"/>
      <c r="E215" s="800"/>
      <c r="F215" s="800"/>
      <c r="G215" s="800"/>
      <c r="H215" s="800"/>
      <c r="I215" s="800"/>
      <c r="J215" s="800"/>
      <c r="K215" s="800"/>
      <c r="L215" s="800"/>
      <c r="M215" s="800"/>
    </row>
    <row r="216" ht="33" customHeight="1" spans="2:13">
      <c r="B216" s="800" t="s">
        <v>901</v>
      </c>
      <c r="C216" s="800"/>
      <c r="D216" s="800"/>
      <c r="E216" s="800"/>
      <c r="F216" s="800"/>
      <c r="G216" s="800"/>
      <c r="H216" s="800"/>
      <c r="I216" s="800"/>
      <c r="J216" s="800"/>
      <c r="K216" s="800"/>
      <c r="L216" s="800"/>
      <c r="M216" s="800"/>
    </row>
    <row r="217" ht="33" customHeight="1" spans="2:13">
      <c r="B217" s="800" t="s">
        <v>902</v>
      </c>
      <c r="C217" s="800"/>
      <c r="D217" s="800"/>
      <c r="E217" s="800"/>
      <c r="F217" s="800"/>
      <c r="G217" s="800"/>
      <c r="H217" s="800"/>
      <c r="I217" s="800"/>
      <c r="J217" s="800"/>
      <c r="K217" s="800"/>
      <c r="L217" s="800"/>
      <c r="M217" s="800"/>
    </row>
    <row r="218" ht="16.5" customHeight="1" spans="2:13">
      <c r="B218" s="800" t="s">
        <v>903</v>
      </c>
      <c r="C218" s="800"/>
      <c r="D218" s="800"/>
      <c r="E218" s="800"/>
      <c r="F218" s="800"/>
      <c r="G218" s="800"/>
      <c r="H218" s="800"/>
      <c r="I218" s="800"/>
      <c r="J218" s="800"/>
      <c r="K218" s="800"/>
      <c r="L218" s="800"/>
      <c r="M218" s="800"/>
    </row>
    <row r="219" ht="16.5" customHeight="1" spans="2:13">
      <c r="B219" s="800" t="s">
        <v>904</v>
      </c>
      <c r="C219" s="800"/>
      <c r="D219" s="800"/>
      <c r="E219" s="800"/>
      <c r="F219" s="800"/>
      <c r="G219" s="800"/>
      <c r="H219" s="800"/>
      <c r="I219" s="800"/>
      <c r="J219" s="800"/>
      <c r="K219" s="800"/>
      <c r="L219" s="800"/>
      <c r="M219" s="800"/>
    </row>
    <row r="220" ht="16.5" customHeight="1" spans="2:13">
      <c r="B220" s="800" t="s">
        <v>905</v>
      </c>
      <c r="C220" s="800"/>
      <c r="D220" s="800"/>
      <c r="E220" s="800"/>
      <c r="F220" s="800"/>
      <c r="G220" s="800"/>
      <c r="H220" s="800"/>
      <c r="I220" s="800"/>
      <c r="J220" s="800"/>
      <c r="K220" s="800"/>
      <c r="L220" s="800"/>
      <c r="M220" s="800"/>
    </row>
    <row r="221" ht="33" customHeight="1" spans="2:13">
      <c r="B221" s="800" t="s">
        <v>906</v>
      </c>
      <c r="C221" s="800"/>
      <c r="D221" s="800"/>
      <c r="E221" s="800"/>
      <c r="F221" s="800"/>
      <c r="G221" s="800"/>
      <c r="H221" s="800"/>
      <c r="I221" s="800"/>
      <c r="J221" s="800"/>
      <c r="K221" s="800"/>
      <c r="L221" s="800"/>
      <c r="M221" s="800"/>
    </row>
    <row r="222" ht="16.5" customHeight="1" spans="2:13">
      <c r="B222" s="800" t="s">
        <v>907</v>
      </c>
      <c r="C222" s="800"/>
      <c r="D222" s="800"/>
      <c r="E222" s="800"/>
      <c r="F222" s="800"/>
      <c r="G222" s="800"/>
      <c r="H222" s="800"/>
      <c r="I222" s="800"/>
      <c r="J222" s="800"/>
      <c r="K222" s="800"/>
      <c r="L222" s="800"/>
      <c r="M222" s="800"/>
    </row>
    <row r="223" ht="16.5" customHeight="1" spans="2:13">
      <c r="B223" s="800" t="s">
        <v>908</v>
      </c>
      <c r="C223" s="800"/>
      <c r="D223" s="800"/>
      <c r="E223" s="800"/>
      <c r="F223" s="800"/>
      <c r="G223" s="800"/>
      <c r="H223" s="800"/>
      <c r="I223" s="800"/>
      <c r="J223" s="800"/>
      <c r="K223" s="800"/>
      <c r="L223" s="800"/>
      <c r="M223" s="800"/>
    </row>
    <row r="224" ht="33" customHeight="1" spans="2:13">
      <c r="B224" s="800" t="s">
        <v>909</v>
      </c>
      <c r="C224" s="800"/>
      <c r="D224" s="800"/>
      <c r="E224" s="800"/>
      <c r="F224" s="800"/>
      <c r="G224" s="800"/>
      <c r="H224" s="800"/>
      <c r="I224" s="800"/>
      <c r="J224" s="800"/>
      <c r="K224" s="800"/>
      <c r="L224" s="800"/>
      <c r="M224" s="800"/>
    </row>
    <row r="225" ht="16.5" customHeight="1" spans="2:13">
      <c r="B225" s="800" t="s">
        <v>910</v>
      </c>
      <c r="C225" s="800"/>
      <c r="D225" s="800"/>
      <c r="E225" s="800"/>
      <c r="F225" s="800"/>
      <c r="G225" s="800"/>
      <c r="H225" s="800"/>
      <c r="I225" s="800"/>
      <c r="J225" s="800"/>
      <c r="K225" s="800"/>
      <c r="L225" s="800"/>
      <c r="M225" s="800"/>
    </row>
    <row r="226" ht="33" customHeight="1" spans="2:13">
      <c r="B226" s="800" t="s">
        <v>911</v>
      </c>
      <c r="C226" s="800"/>
      <c r="D226" s="800"/>
      <c r="E226" s="800"/>
      <c r="F226" s="800"/>
      <c r="G226" s="800"/>
      <c r="H226" s="800"/>
      <c r="I226" s="800"/>
      <c r="J226" s="800"/>
      <c r="K226" s="800"/>
      <c r="L226" s="800"/>
      <c r="M226" s="800"/>
    </row>
    <row r="227" ht="16.5" customHeight="1" spans="2:13">
      <c r="B227" s="800" t="s">
        <v>912</v>
      </c>
      <c r="C227" s="800"/>
      <c r="D227" s="800"/>
      <c r="E227" s="800"/>
      <c r="F227" s="800"/>
      <c r="G227" s="800"/>
      <c r="H227" s="800"/>
      <c r="I227" s="800"/>
      <c r="J227" s="800"/>
      <c r="K227" s="800"/>
      <c r="L227" s="800"/>
      <c r="M227" s="800"/>
    </row>
    <row r="228" ht="33" customHeight="1" spans="2:13">
      <c r="B228" s="800" t="s">
        <v>913</v>
      </c>
      <c r="C228" s="800"/>
      <c r="D228" s="800"/>
      <c r="E228" s="800"/>
      <c r="F228" s="800"/>
      <c r="G228" s="800"/>
      <c r="H228" s="800"/>
      <c r="I228" s="800"/>
      <c r="J228" s="800"/>
      <c r="K228" s="800"/>
      <c r="L228" s="800"/>
      <c r="M228" s="800"/>
    </row>
    <row r="229" ht="16.5" customHeight="1" spans="2:13">
      <c r="B229" s="800" t="s">
        <v>914</v>
      </c>
      <c r="C229" s="800"/>
      <c r="D229" s="800"/>
      <c r="E229" s="800"/>
      <c r="F229" s="800"/>
      <c r="G229" s="800"/>
      <c r="H229" s="800"/>
      <c r="I229" s="800"/>
      <c r="J229" s="800"/>
      <c r="K229" s="800"/>
      <c r="L229" s="800"/>
      <c r="M229" s="800"/>
    </row>
    <row r="230" ht="16.5" customHeight="1" spans="2:13">
      <c r="B230" s="800" t="s">
        <v>915</v>
      </c>
      <c r="C230" s="800"/>
      <c r="D230" s="800"/>
      <c r="E230" s="800"/>
      <c r="F230" s="800"/>
      <c r="G230" s="800"/>
      <c r="H230" s="800"/>
      <c r="I230" s="800"/>
      <c r="J230" s="800"/>
      <c r="K230" s="800"/>
      <c r="L230" s="800"/>
      <c r="M230" s="800"/>
    </row>
    <row r="231" ht="33" customHeight="1" spans="2:13">
      <c r="B231" s="800" t="s">
        <v>916</v>
      </c>
      <c r="C231" s="800"/>
      <c r="D231" s="800"/>
      <c r="E231" s="800"/>
      <c r="F231" s="800"/>
      <c r="G231" s="800"/>
      <c r="H231" s="800"/>
      <c r="I231" s="800"/>
      <c r="J231" s="800"/>
      <c r="K231" s="800"/>
      <c r="L231" s="800"/>
      <c r="M231" s="800"/>
    </row>
    <row r="232" ht="22.5" customHeight="1" spans="2:13">
      <c r="B232" s="799"/>
      <c r="C232" s="799"/>
      <c r="D232" s="799"/>
      <c r="E232" s="799"/>
      <c r="F232" s="799"/>
      <c r="G232" s="799"/>
      <c r="H232" s="799"/>
      <c r="I232" s="799"/>
      <c r="J232" s="799"/>
      <c r="K232" s="799"/>
      <c r="L232" s="24"/>
      <c r="M232" s="799"/>
    </row>
    <row r="233" ht="30" spans="2:13">
      <c r="B233" s="793" t="s">
        <v>661</v>
      </c>
      <c r="C233" s="793" t="s">
        <v>917</v>
      </c>
      <c r="D233" s="793" t="s">
        <v>918</v>
      </c>
      <c r="E233" s="793" t="s">
        <v>919</v>
      </c>
      <c r="F233" s="793" t="s">
        <v>920</v>
      </c>
      <c r="G233" s="793" t="s">
        <v>921</v>
      </c>
      <c r="H233" s="793" t="s">
        <v>922</v>
      </c>
      <c r="I233" s="793"/>
      <c r="J233" s="793" t="s">
        <v>923</v>
      </c>
      <c r="K233" s="793" t="s">
        <v>924</v>
      </c>
      <c r="L233" s="24"/>
      <c r="M233" s="793" t="s">
        <v>925</v>
      </c>
    </row>
    <row r="234" ht="409.5" customHeight="1" spans="2:13">
      <c r="B234" s="151" t="s">
        <v>24</v>
      </c>
      <c r="C234" s="151" t="s">
        <v>25</v>
      </c>
      <c r="D234" s="151" t="s">
        <v>926</v>
      </c>
      <c r="E234" s="151" t="s">
        <v>927</v>
      </c>
      <c r="F234" s="151" t="s">
        <v>928</v>
      </c>
      <c r="G234" s="151" t="s">
        <v>929</v>
      </c>
      <c r="H234" s="151" t="s">
        <v>930</v>
      </c>
      <c r="I234" s="151"/>
      <c r="J234" s="151" t="s">
        <v>931</v>
      </c>
      <c r="K234" s="151" t="s">
        <v>932</v>
      </c>
      <c r="L234" s="24"/>
      <c r="M234" s="151" t="s">
        <v>933</v>
      </c>
    </row>
    <row r="235" ht="409.5" spans="2:13">
      <c r="B235" s="151" t="s">
        <v>78</v>
      </c>
      <c r="C235" s="151" t="s">
        <v>79</v>
      </c>
      <c r="D235" s="151" t="s">
        <v>934</v>
      </c>
      <c r="E235" s="151" t="s">
        <v>935</v>
      </c>
      <c r="F235" s="151" t="s">
        <v>936</v>
      </c>
      <c r="G235" s="151" t="s">
        <v>929</v>
      </c>
      <c r="H235" s="151" t="s">
        <v>937</v>
      </c>
      <c r="I235" s="151"/>
      <c r="J235" s="151" t="s">
        <v>938</v>
      </c>
      <c r="K235" s="151" t="s">
        <v>939</v>
      </c>
      <c r="L235" s="24"/>
      <c r="M235" s="151" t="s">
        <v>940</v>
      </c>
    </row>
    <row r="236" ht="409.5" spans="2:13">
      <c r="B236" s="151" t="s">
        <v>94</v>
      </c>
      <c r="C236" s="151" t="s">
        <v>95</v>
      </c>
      <c r="D236" s="151" t="s">
        <v>941</v>
      </c>
      <c r="E236" s="151" t="s">
        <v>942</v>
      </c>
      <c r="F236" s="151" t="s">
        <v>943</v>
      </c>
      <c r="G236" s="151" t="s">
        <v>944</v>
      </c>
      <c r="H236" s="151" t="s">
        <v>945</v>
      </c>
      <c r="I236" s="151"/>
      <c r="J236" s="151" t="s">
        <v>946</v>
      </c>
      <c r="K236" s="151" t="s">
        <v>947</v>
      </c>
      <c r="L236" s="24"/>
      <c r="M236" s="151" t="s">
        <v>948</v>
      </c>
    </row>
    <row r="237" ht="409.5" spans="2:13">
      <c r="B237" s="151" t="s">
        <v>184</v>
      </c>
      <c r="C237" s="151" t="s">
        <v>185</v>
      </c>
      <c r="D237" s="151" t="s">
        <v>949</v>
      </c>
      <c r="E237" s="151" t="s">
        <v>927</v>
      </c>
      <c r="F237" s="151" t="s">
        <v>928</v>
      </c>
      <c r="G237" s="151" t="s">
        <v>929</v>
      </c>
      <c r="H237" s="151" t="s">
        <v>950</v>
      </c>
      <c r="I237" s="151"/>
      <c r="J237" s="151" t="s">
        <v>951</v>
      </c>
      <c r="K237" s="151" t="s">
        <v>952</v>
      </c>
      <c r="L237" s="24"/>
      <c r="M237" s="151" t="s">
        <v>933</v>
      </c>
    </row>
    <row r="238" ht="409.5" spans="2:13">
      <c r="B238" s="151" t="s">
        <v>735</v>
      </c>
      <c r="C238" s="151" t="s">
        <v>953</v>
      </c>
      <c r="D238" s="151" t="s">
        <v>949</v>
      </c>
      <c r="E238" s="151" t="s">
        <v>927</v>
      </c>
      <c r="F238" s="151" t="s">
        <v>928</v>
      </c>
      <c r="G238" s="151" t="s">
        <v>929</v>
      </c>
      <c r="H238" s="151" t="s">
        <v>950</v>
      </c>
      <c r="I238" s="151"/>
      <c r="J238" s="151" t="s">
        <v>954</v>
      </c>
      <c r="K238" s="151" t="s">
        <v>952</v>
      </c>
      <c r="L238" s="24"/>
      <c r="M238" s="151" t="s">
        <v>955</v>
      </c>
    </row>
    <row r="239" ht="409.5" customHeight="1" spans="2:13">
      <c r="B239" s="151" t="s">
        <v>26</v>
      </c>
      <c r="C239" s="151" t="s">
        <v>956</v>
      </c>
      <c r="D239" s="151" t="s">
        <v>957</v>
      </c>
      <c r="E239" s="151" t="s">
        <v>958</v>
      </c>
      <c r="F239" s="151" t="s">
        <v>959</v>
      </c>
      <c r="G239" s="151" t="s">
        <v>960</v>
      </c>
      <c r="H239" s="151" t="s">
        <v>961</v>
      </c>
      <c r="I239" s="151"/>
      <c r="J239" s="151" t="s">
        <v>962</v>
      </c>
      <c r="K239" s="151" t="s">
        <v>963</v>
      </c>
      <c r="L239" s="24"/>
      <c r="M239" s="151" t="s">
        <v>964</v>
      </c>
    </row>
    <row r="240" ht="409.5" spans="2:13">
      <c r="B240" s="151" t="s">
        <v>28</v>
      </c>
      <c r="C240" s="151" t="s">
        <v>29</v>
      </c>
      <c r="D240" s="151" t="s">
        <v>965</v>
      </c>
      <c r="E240" s="151" t="s">
        <v>966</v>
      </c>
      <c r="F240" s="151" t="s">
        <v>967</v>
      </c>
      <c r="G240" s="151" t="s">
        <v>929</v>
      </c>
      <c r="H240" s="151" t="s">
        <v>968</v>
      </c>
      <c r="I240" s="151"/>
      <c r="J240" s="151" t="s">
        <v>969</v>
      </c>
      <c r="K240" s="151" t="s">
        <v>970</v>
      </c>
      <c r="L240" s="24"/>
      <c r="M240" s="151" t="s">
        <v>971</v>
      </c>
    </row>
    <row r="241" ht="409.5" spans="2:13">
      <c r="B241" s="151" t="s">
        <v>72</v>
      </c>
      <c r="C241" s="151" t="s">
        <v>73</v>
      </c>
      <c r="D241" s="151" t="s">
        <v>957</v>
      </c>
      <c r="E241" s="151" t="s">
        <v>972</v>
      </c>
      <c r="F241" s="151" t="s">
        <v>967</v>
      </c>
      <c r="G241" s="151" t="s">
        <v>929</v>
      </c>
      <c r="H241" s="151" t="s">
        <v>973</v>
      </c>
      <c r="I241" s="151"/>
      <c r="J241" s="151" t="s">
        <v>974</v>
      </c>
      <c r="K241" s="151" t="s">
        <v>975</v>
      </c>
      <c r="L241" s="24"/>
      <c r="M241" s="151" t="s">
        <v>976</v>
      </c>
    </row>
    <row r="242" ht="409.5" spans="2:13">
      <c r="B242" s="151" t="s">
        <v>32</v>
      </c>
      <c r="C242" s="151" t="s">
        <v>33</v>
      </c>
      <c r="D242" s="151" t="s">
        <v>977</v>
      </c>
      <c r="E242" s="151" t="s">
        <v>978</v>
      </c>
      <c r="F242" s="151" t="s">
        <v>979</v>
      </c>
      <c r="G242" s="151" t="s">
        <v>929</v>
      </c>
      <c r="H242" s="151" t="s">
        <v>980</v>
      </c>
      <c r="I242" s="151"/>
      <c r="J242" s="151" t="s">
        <v>981</v>
      </c>
      <c r="K242" s="151" t="s">
        <v>982</v>
      </c>
      <c r="L242" s="24"/>
      <c r="M242" s="151" t="s">
        <v>983</v>
      </c>
    </row>
    <row r="243" ht="409.5" spans="2:13">
      <c r="B243" s="151" t="s">
        <v>34</v>
      </c>
      <c r="C243" s="151" t="s">
        <v>35</v>
      </c>
      <c r="D243" s="151" t="s">
        <v>984</v>
      </c>
      <c r="E243" s="151" t="s">
        <v>985</v>
      </c>
      <c r="F243" s="151" t="s">
        <v>986</v>
      </c>
      <c r="G243" s="151" t="s">
        <v>929</v>
      </c>
      <c r="H243" s="151" t="s">
        <v>987</v>
      </c>
      <c r="I243" s="151"/>
      <c r="J243" s="151" t="s">
        <v>988</v>
      </c>
      <c r="K243" s="151" t="s">
        <v>952</v>
      </c>
      <c r="L243" s="24"/>
      <c r="M243" s="151" t="s">
        <v>983</v>
      </c>
    </row>
    <row r="244" ht="409.5" spans="2:13">
      <c r="B244" s="151" t="s">
        <v>92</v>
      </c>
      <c r="C244" s="151" t="s">
        <v>93</v>
      </c>
      <c r="D244" s="151" t="s">
        <v>977</v>
      </c>
      <c r="E244" s="151" t="s">
        <v>989</v>
      </c>
      <c r="F244" s="151" t="s">
        <v>967</v>
      </c>
      <c r="G244" s="151" t="s">
        <v>929</v>
      </c>
      <c r="H244" s="151" t="s">
        <v>990</v>
      </c>
      <c r="I244" s="151"/>
      <c r="J244" s="151" t="s">
        <v>991</v>
      </c>
      <c r="K244" s="151" t="s">
        <v>952</v>
      </c>
      <c r="L244" s="24"/>
      <c r="M244" s="151" t="s">
        <v>983</v>
      </c>
    </row>
    <row r="245" ht="409.5" spans="2:13">
      <c r="B245" s="151" t="s">
        <v>30</v>
      </c>
      <c r="C245" s="151" t="s">
        <v>31</v>
      </c>
      <c r="D245" s="151" t="s">
        <v>992</v>
      </c>
      <c r="E245" s="151" t="s">
        <v>993</v>
      </c>
      <c r="F245" s="151" t="s">
        <v>979</v>
      </c>
      <c r="G245" s="151" t="s">
        <v>929</v>
      </c>
      <c r="H245" s="151" t="s">
        <v>994</v>
      </c>
      <c r="I245" s="151"/>
      <c r="J245" s="151" t="s">
        <v>995</v>
      </c>
      <c r="K245" s="151" t="s">
        <v>996</v>
      </c>
      <c r="L245" s="24"/>
      <c r="M245" s="151" t="s">
        <v>983</v>
      </c>
    </row>
    <row r="246" ht="409.5" spans="2:13">
      <c r="B246" s="151" t="s">
        <v>36</v>
      </c>
      <c r="C246" s="151" t="s">
        <v>37</v>
      </c>
      <c r="D246" s="151" t="s">
        <v>977</v>
      </c>
      <c r="E246" s="151" t="s">
        <v>997</v>
      </c>
      <c r="F246" s="151" t="s">
        <v>979</v>
      </c>
      <c r="G246" s="151" t="s">
        <v>929</v>
      </c>
      <c r="H246" s="151" t="s">
        <v>998</v>
      </c>
      <c r="I246" s="151"/>
      <c r="J246" s="151" t="s">
        <v>999</v>
      </c>
      <c r="K246" s="151" t="s">
        <v>1000</v>
      </c>
      <c r="L246" s="24"/>
      <c r="M246" s="151" t="s">
        <v>983</v>
      </c>
    </row>
    <row r="247" ht="409.5" spans="2:13">
      <c r="B247" s="151" t="s">
        <v>44</v>
      </c>
      <c r="C247" s="151" t="s">
        <v>45</v>
      </c>
      <c r="D247" s="151" t="s">
        <v>1001</v>
      </c>
      <c r="E247" s="151" t="s">
        <v>958</v>
      </c>
      <c r="F247" s="151" t="s">
        <v>1002</v>
      </c>
      <c r="G247" s="151" t="s">
        <v>929</v>
      </c>
      <c r="H247" s="151" t="s">
        <v>1003</v>
      </c>
      <c r="I247" s="151"/>
      <c r="J247" s="151" t="s">
        <v>1004</v>
      </c>
      <c r="K247" s="151" t="s">
        <v>1005</v>
      </c>
      <c r="L247" s="24"/>
      <c r="M247" s="151" t="s">
        <v>1006</v>
      </c>
    </row>
    <row r="248" ht="409.5" spans="2:13">
      <c r="B248" s="151" t="s">
        <v>38</v>
      </c>
      <c r="C248" s="151" t="s">
        <v>39</v>
      </c>
      <c r="D248" s="151" t="s">
        <v>977</v>
      </c>
      <c r="E248" s="151" t="s">
        <v>1007</v>
      </c>
      <c r="F248" s="151" t="s">
        <v>1008</v>
      </c>
      <c r="G248" s="151" t="s">
        <v>929</v>
      </c>
      <c r="H248" s="151" t="s">
        <v>1009</v>
      </c>
      <c r="I248" s="151"/>
      <c r="J248" s="151" t="s">
        <v>1010</v>
      </c>
      <c r="K248" s="151" t="s">
        <v>1011</v>
      </c>
      <c r="L248" s="24"/>
      <c r="M248" s="151" t="s">
        <v>1012</v>
      </c>
    </row>
    <row r="249" ht="409.5" spans="2:13">
      <c r="B249" s="151" t="s">
        <v>108</v>
      </c>
      <c r="C249" s="151" t="s">
        <v>109</v>
      </c>
      <c r="D249" s="151" t="s">
        <v>1001</v>
      </c>
      <c r="E249" s="151" t="s">
        <v>958</v>
      </c>
      <c r="F249" s="151" t="s">
        <v>1013</v>
      </c>
      <c r="G249" s="151" t="s">
        <v>1014</v>
      </c>
      <c r="H249" s="151" t="s">
        <v>1015</v>
      </c>
      <c r="I249" s="151"/>
      <c r="J249" s="151" t="s">
        <v>958</v>
      </c>
      <c r="K249" s="151" t="s">
        <v>1016</v>
      </c>
      <c r="L249" s="24"/>
      <c r="M249" s="151" t="s">
        <v>1006</v>
      </c>
    </row>
    <row r="250" ht="409.5" spans="2:13">
      <c r="B250" s="151" t="s">
        <v>48</v>
      </c>
      <c r="C250" s="151" t="s">
        <v>49</v>
      </c>
      <c r="D250" s="151" t="s">
        <v>1001</v>
      </c>
      <c r="E250" s="151" t="s">
        <v>958</v>
      </c>
      <c r="F250" s="151" t="s">
        <v>1002</v>
      </c>
      <c r="G250" s="151" t="s">
        <v>1014</v>
      </c>
      <c r="H250" s="151" t="s">
        <v>1017</v>
      </c>
      <c r="I250" s="151"/>
      <c r="J250" s="151" t="s">
        <v>1018</v>
      </c>
      <c r="K250" s="151" t="s">
        <v>1019</v>
      </c>
      <c r="L250" s="24"/>
      <c r="M250" s="151" t="s">
        <v>983</v>
      </c>
    </row>
    <row r="251" ht="409.5" spans="2:13">
      <c r="B251" s="151" t="s">
        <v>74</v>
      </c>
      <c r="C251" s="151" t="s">
        <v>75</v>
      </c>
      <c r="D251" s="151" t="s">
        <v>1001</v>
      </c>
      <c r="E251" s="151" t="s">
        <v>1020</v>
      </c>
      <c r="F251" s="151" t="s">
        <v>979</v>
      </c>
      <c r="G251" s="151" t="s">
        <v>1014</v>
      </c>
      <c r="H251" s="151" t="s">
        <v>1021</v>
      </c>
      <c r="I251" s="151"/>
      <c r="J251" s="151" t="s">
        <v>1022</v>
      </c>
      <c r="K251" s="151" t="s">
        <v>952</v>
      </c>
      <c r="L251" s="24"/>
      <c r="M251" s="151" t="s">
        <v>983</v>
      </c>
    </row>
    <row r="252" ht="409.5" spans="2:13">
      <c r="B252" s="151" t="s">
        <v>50</v>
      </c>
      <c r="C252" s="151" t="s">
        <v>51</v>
      </c>
      <c r="D252" s="151" t="s">
        <v>1001</v>
      </c>
      <c r="E252" s="151" t="s">
        <v>958</v>
      </c>
      <c r="F252" s="151" t="s">
        <v>1002</v>
      </c>
      <c r="G252" s="151" t="s">
        <v>929</v>
      </c>
      <c r="H252" s="151" t="s">
        <v>1023</v>
      </c>
      <c r="I252" s="151"/>
      <c r="J252" s="151" t="s">
        <v>1024</v>
      </c>
      <c r="K252" s="151" t="s">
        <v>1025</v>
      </c>
      <c r="L252" s="24"/>
      <c r="M252" s="151" t="s">
        <v>1006</v>
      </c>
    </row>
    <row r="253" ht="409.5" spans="2:13">
      <c r="B253" s="151" t="s">
        <v>52</v>
      </c>
      <c r="C253" s="151" t="s">
        <v>53</v>
      </c>
      <c r="D253" s="151" t="s">
        <v>1001</v>
      </c>
      <c r="E253" s="151" t="s">
        <v>1026</v>
      </c>
      <c r="F253" s="151" t="s">
        <v>979</v>
      </c>
      <c r="G253" s="151" t="s">
        <v>960</v>
      </c>
      <c r="H253" s="151" t="s">
        <v>1027</v>
      </c>
      <c r="I253" s="151"/>
      <c r="J253" s="151" t="s">
        <v>1028</v>
      </c>
      <c r="K253" s="151" t="s">
        <v>1029</v>
      </c>
      <c r="L253" s="24"/>
      <c r="M253" s="151" t="s">
        <v>983</v>
      </c>
    </row>
    <row r="254" ht="409.5" spans="2:13">
      <c r="B254" s="151" t="s">
        <v>76</v>
      </c>
      <c r="C254" s="151" t="s">
        <v>77</v>
      </c>
      <c r="D254" s="151" t="s">
        <v>1001</v>
      </c>
      <c r="E254" s="151" t="s">
        <v>1030</v>
      </c>
      <c r="F254" s="151" t="s">
        <v>979</v>
      </c>
      <c r="G254" s="151" t="s">
        <v>929</v>
      </c>
      <c r="H254" s="151" t="s">
        <v>1031</v>
      </c>
      <c r="I254" s="151"/>
      <c r="J254" s="151" t="s">
        <v>1032</v>
      </c>
      <c r="K254" s="151" t="s">
        <v>1033</v>
      </c>
      <c r="L254" s="24"/>
      <c r="M254" s="151" t="s">
        <v>983</v>
      </c>
    </row>
    <row r="255" ht="409.5" spans="2:13">
      <c r="B255" s="151" t="s">
        <v>46</v>
      </c>
      <c r="C255" s="151" t="s">
        <v>1034</v>
      </c>
      <c r="D255" s="151" t="s">
        <v>1001</v>
      </c>
      <c r="E255" s="151" t="s">
        <v>958</v>
      </c>
      <c r="F255" s="151" t="s">
        <v>1002</v>
      </c>
      <c r="G255" s="151" t="s">
        <v>929</v>
      </c>
      <c r="H255" s="151" t="s">
        <v>1017</v>
      </c>
      <c r="I255" s="151"/>
      <c r="J255" s="151" t="s">
        <v>1035</v>
      </c>
      <c r="K255" s="151" t="s">
        <v>1036</v>
      </c>
      <c r="L255" s="24"/>
      <c r="M255" s="151" t="s">
        <v>1006</v>
      </c>
    </row>
    <row r="256" ht="409.5" spans="2:13">
      <c r="B256" s="151" t="s">
        <v>54</v>
      </c>
      <c r="C256" s="151" t="s">
        <v>55</v>
      </c>
      <c r="D256" s="151" t="s">
        <v>1001</v>
      </c>
      <c r="E256" s="151"/>
      <c r="F256" s="151" t="s">
        <v>1037</v>
      </c>
      <c r="G256" s="151" t="s">
        <v>929</v>
      </c>
      <c r="H256" s="151" t="s">
        <v>1003</v>
      </c>
      <c r="I256" s="151"/>
      <c r="J256" s="151" t="s">
        <v>958</v>
      </c>
      <c r="K256" s="151" t="s">
        <v>952</v>
      </c>
      <c r="L256" s="24"/>
      <c r="M256" s="151" t="s">
        <v>983</v>
      </c>
    </row>
    <row r="257" ht="409.5" spans="2:13">
      <c r="B257" s="151" t="s">
        <v>42</v>
      </c>
      <c r="C257" s="151" t="s">
        <v>43</v>
      </c>
      <c r="D257" s="151" t="s">
        <v>1001</v>
      </c>
      <c r="E257" s="151" t="s">
        <v>958</v>
      </c>
      <c r="F257" s="151" t="s">
        <v>1038</v>
      </c>
      <c r="G257" s="151" t="s">
        <v>960</v>
      </c>
      <c r="H257" s="151" t="s">
        <v>1039</v>
      </c>
      <c r="I257" s="151"/>
      <c r="J257" s="151" t="s">
        <v>1040</v>
      </c>
      <c r="K257" s="151" t="s">
        <v>952</v>
      </c>
      <c r="L257" s="24"/>
      <c r="M257" s="151" t="s">
        <v>983</v>
      </c>
    </row>
    <row r="258" ht="409.5" spans="2:13">
      <c r="B258" s="151" t="s">
        <v>58</v>
      </c>
      <c r="C258" s="151" t="s">
        <v>59</v>
      </c>
      <c r="D258" s="151" t="s">
        <v>1001</v>
      </c>
      <c r="E258" s="151" t="s">
        <v>958</v>
      </c>
      <c r="F258" s="151" t="s">
        <v>1037</v>
      </c>
      <c r="G258" s="151" t="s">
        <v>929</v>
      </c>
      <c r="H258" s="151" t="s">
        <v>1041</v>
      </c>
      <c r="I258" s="151"/>
      <c r="J258" s="151" t="s">
        <v>1042</v>
      </c>
      <c r="K258" s="151" t="s">
        <v>1043</v>
      </c>
      <c r="L258" s="24"/>
      <c r="M258" s="151" t="s">
        <v>1006</v>
      </c>
    </row>
    <row r="259" ht="409.5" spans="2:13">
      <c r="B259" s="151" t="s">
        <v>40</v>
      </c>
      <c r="C259" s="151" t="s">
        <v>41</v>
      </c>
      <c r="D259" s="151" t="s">
        <v>977</v>
      </c>
      <c r="E259" s="151" t="s">
        <v>958</v>
      </c>
      <c r="F259" s="151" t="s">
        <v>979</v>
      </c>
      <c r="G259" s="151" t="s">
        <v>929</v>
      </c>
      <c r="H259" s="151" t="s">
        <v>1044</v>
      </c>
      <c r="I259" s="151"/>
      <c r="J259" s="151" t="s">
        <v>1045</v>
      </c>
      <c r="K259" s="151" t="s">
        <v>952</v>
      </c>
      <c r="L259" s="24"/>
      <c r="M259" s="151" t="s">
        <v>983</v>
      </c>
    </row>
    <row r="260" ht="409.5" spans="2:13">
      <c r="B260" s="151" t="s">
        <v>56</v>
      </c>
      <c r="C260" s="151" t="s">
        <v>57</v>
      </c>
      <c r="D260" s="151" t="s">
        <v>1001</v>
      </c>
      <c r="E260" s="151" t="s">
        <v>958</v>
      </c>
      <c r="F260" s="151" t="s">
        <v>1002</v>
      </c>
      <c r="G260" s="151" t="s">
        <v>929</v>
      </c>
      <c r="H260" s="151" t="s">
        <v>1023</v>
      </c>
      <c r="I260" s="151"/>
      <c r="J260" s="151" t="s">
        <v>1046</v>
      </c>
      <c r="K260" s="151" t="s">
        <v>1047</v>
      </c>
      <c r="L260" s="24"/>
      <c r="M260" s="151" t="s">
        <v>1006</v>
      </c>
    </row>
    <row r="261" ht="409.5" spans="2:13">
      <c r="B261" s="151" t="s">
        <v>142</v>
      </c>
      <c r="C261" s="151" t="s">
        <v>1048</v>
      </c>
      <c r="D261" s="151" t="s">
        <v>1001</v>
      </c>
      <c r="E261" s="151" t="s">
        <v>1049</v>
      </c>
      <c r="F261" s="151" t="s">
        <v>979</v>
      </c>
      <c r="G261" s="151" t="s">
        <v>960</v>
      </c>
      <c r="H261" s="151" t="s">
        <v>1050</v>
      </c>
      <c r="I261" s="151"/>
      <c r="J261" s="151" t="s">
        <v>958</v>
      </c>
      <c r="K261" s="151" t="s">
        <v>1051</v>
      </c>
      <c r="L261" s="24"/>
      <c r="M261" s="151" t="s">
        <v>983</v>
      </c>
    </row>
    <row r="262" ht="409.5" spans="2:13">
      <c r="B262" s="151" t="s">
        <v>80</v>
      </c>
      <c r="C262" s="151" t="s">
        <v>81</v>
      </c>
      <c r="D262" s="151" t="s">
        <v>1001</v>
      </c>
      <c r="E262" s="151" t="s">
        <v>1052</v>
      </c>
      <c r="F262" s="151" t="s">
        <v>1053</v>
      </c>
      <c r="G262" s="151" t="s">
        <v>944</v>
      </c>
      <c r="H262" s="151" t="s">
        <v>1054</v>
      </c>
      <c r="I262" s="151"/>
      <c r="J262" s="151" t="s">
        <v>1055</v>
      </c>
      <c r="K262" s="151" t="s">
        <v>1056</v>
      </c>
      <c r="L262" s="24"/>
      <c r="M262" s="151"/>
    </row>
    <row r="263" ht="409.5" spans="2:13">
      <c r="B263" s="151" t="s">
        <v>60</v>
      </c>
      <c r="C263" s="151" t="s">
        <v>61</v>
      </c>
      <c r="D263" s="151" t="s">
        <v>984</v>
      </c>
      <c r="E263" s="151" t="s">
        <v>958</v>
      </c>
      <c r="F263" s="151" t="s">
        <v>1002</v>
      </c>
      <c r="G263" s="151" t="s">
        <v>960</v>
      </c>
      <c r="H263" s="151" t="s">
        <v>1057</v>
      </c>
      <c r="I263" s="151"/>
      <c r="J263" s="151" t="s">
        <v>1058</v>
      </c>
      <c r="K263" s="151" t="s">
        <v>952</v>
      </c>
      <c r="L263" s="24"/>
      <c r="M263" s="151" t="s">
        <v>983</v>
      </c>
    </row>
    <row r="264" ht="409.5" spans="2:13">
      <c r="B264" s="151" t="s">
        <v>62</v>
      </c>
      <c r="C264" s="151" t="s">
        <v>63</v>
      </c>
      <c r="D264" s="151" t="s">
        <v>984</v>
      </c>
      <c r="E264" s="151" t="s">
        <v>985</v>
      </c>
      <c r="F264" s="151" t="s">
        <v>979</v>
      </c>
      <c r="G264" s="151" t="s">
        <v>929</v>
      </c>
      <c r="H264" s="151" t="s">
        <v>1059</v>
      </c>
      <c r="I264" s="151"/>
      <c r="J264" s="151" t="s">
        <v>1060</v>
      </c>
      <c r="K264" s="151" t="s">
        <v>952</v>
      </c>
      <c r="L264" s="24"/>
      <c r="M264" s="151" t="s">
        <v>983</v>
      </c>
    </row>
    <row r="265" ht="409.5" spans="2:13">
      <c r="B265" s="151" t="s">
        <v>64</v>
      </c>
      <c r="C265" s="151" t="s">
        <v>65</v>
      </c>
      <c r="D265" s="151" t="s">
        <v>1001</v>
      </c>
      <c r="E265" s="151" t="s">
        <v>958</v>
      </c>
      <c r="F265" s="151" t="s">
        <v>1002</v>
      </c>
      <c r="G265" s="151" t="s">
        <v>929</v>
      </c>
      <c r="H265" s="151" t="s">
        <v>1003</v>
      </c>
      <c r="I265" s="151"/>
      <c r="J265" s="151" t="s">
        <v>1061</v>
      </c>
      <c r="K265" s="151" t="s">
        <v>1062</v>
      </c>
      <c r="L265" s="24"/>
      <c r="M265" s="151" t="s">
        <v>1063</v>
      </c>
    </row>
    <row r="266" ht="409.5" spans="2:13">
      <c r="B266" s="151" t="s">
        <v>70</v>
      </c>
      <c r="C266" s="151" t="s">
        <v>1064</v>
      </c>
      <c r="D266" s="151" t="s">
        <v>1001</v>
      </c>
      <c r="E266" s="151" t="s">
        <v>1065</v>
      </c>
      <c r="F266" s="151" t="s">
        <v>979</v>
      </c>
      <c r="G266" s="151" t="s">
        <v>960</v>
      </c>
      <c r="H266" s="151" t="s">
        <v>1066</v>
      </c>
      <c r="I266" s="151"/>
      <c r="J266" s="151"/>
      <c r="K266" s="151" t="s">
        <v>1067</v>
      </c>
      <c r="L266" s="24"/>
      <c r="M266" s="151" t="s">
        <v>983</v>
      </c>
    </row>
    <row r="267" ht="409.5" spans="2:13">
      <c r="B267" s="151" t="s">
        <v>68</v>
      </c>
      <c r="C267" s="151" t="s">
        <v>69</v>
      </c>
      <c r="D267" s="151" t="s">
        <v>1001</v>
      </c>
      <c r="E267" s="151" t="s">
        <v>958</v>
      </c>
      <c r="F267" s="151" t="s">
        <v>1037</v>
      </c>
      <c r="G267" s="151" t="s">
        <v>929</v>
      </c>
      <c r="H267" s="151" t="s">
        <v>1068</v>
      </c>
      <c r="I267" s="151"/>
      <c r="J267" s="151" t="s">
        <v>1069</v>
      </c>
      <c r="K267" s="151" t="s">
        <v>1070</v>
      </c>
      <c r="L267" s="24"/>
      <c r="M267" s="151" t="s">
        <v>1063</v>
      </c>
    </row>
    <row r="268" ht="409.5" spans="2:13">
      <c r="B268" s="151" t="s">
        <v>66</v>
      </c>
      <c r="C268" s="151" t="s">
        <v>67</v>
      </c>
      <c r="D268" s="151" t="s">
        <v>1001</v>
      </c>
      <c r="E268" s="151" t="s">
        <v>958</v>
      </c>
      <c r="F268" s="151" t="s">
        <v>1037</v>
      </c>
      <c r="G268" s="151" t="s">
        <v>929</v>
      </c>
      <c r="H268" s="151" t="s">
        <v>1003</v>
      </c>
      <c r="I268" s="151"/>
      <c r="J268" s="151" t="s">
        <v>1071</v>
      </c>
      <c r="K268" s="151" t="s">
        <v>952</v>
      </c>
      <c r="L268" s="24"/>
      <c r="M268" s="151" t="s">
        <v>1072</v>
      </c>
    </row>
    <row r="269" ht="181.5" spans="2:13">
      <c r="B269" s="151" t="s">
        <v>182</v>
      </c>
      <c r="C269" s="151" t="s">
        <v>183</v>
      </c>
      <c r="D269" s="151" t="s">
        <v>1001</v>
      </c>
      <c r="E269" s="151" t="s">
        <v>1073</v>
      </c>
      <c r="F269" s="151" t="s">
        <v>1074</v>
      </c>
      <c r="G269" s="151" t="s">
        <v>929</v>
      </c>
      <c r="H269" s="151" t="s">
        <v>1075</v>
      </c>
      <c r="I269" s="151"/>
      <c r="J269" s="151" t="s">
        <v>1076</v>
      </c>
      <c r="K269" s="151" t="s">
        <v>1077</v>
      </c>
      <c r="L269" s="24"/>
      <c r="M269" s="151" t="s">
        <v>1078</v>
      </c>
    </row>
    <row r="270" ht="409.5" customHeight="1" spans="2:13">
      <c r="B270" s="151" t="s">
        <v>150</v>
      </c>
      <c r="C270" s="151" t="s">
        <v>151</v>
      </c>
      <c r="D270" s="151" t="s">
        <v>1079</v>
      </c>
      <c r="E270" s="151" t="s">
        <v>1080</v>
      </c>
      <c r="F270" s="151" t="s">
        <v>1081</v>
      </c>
      <c r="G270" s="151" t="s">
        <v>944</v>
      </c>
      <c r="H270" s="151" t="s">
        <v>1082</v>
      </c>
      <c r="I270" s="151"/>
      <c r="J270" s="151" t="s">
        <v>1083</v>
      </c>
      <c r="K270" s="151" t="s">
        <v>1084</v>
      </c>
      <c r="L270" s="24"/>
      <c r="M270" s="151" t="s">
        <v>1085</v>
      </c>
    </row>
    <row r="271" ht="409.5" spans="2:13">
      <c r="B271" s="151" t="s">
        <v>172</v>
      </c>
      <c r="C271" s="151" t="s">
        <v>173</v>
      </c>
      <c r="D271" s="151" t="s">
        <v>1086</v>
      </c>
      <c r="E271" s="151" t="s">
        <v>1087</v>
      </c>
      <c r="F271" s="151" t="s">
        <v>1088</v>
      </c>
      <c r="G271" s="151" t="s">
        <v>944</v>
      </c>
      <c r="H271" s="151" t="s">
        <v>1089</v>
      </c>
      <c r="I271" s="151"/>
      <c r="J271" s="151" t="s">
        <v>1090</v>
      </c>
      <c r="K271" s="151" t="s">
        <v>1091</v>
      </c>
      <c r="L271" s="24"/>
      <c r="M271" s="151" t="s">
        <v>1092</v>
      </c>
    </row>
    <row r="272" ht="409.5" spans="2:13">
      <c r="B272" s="151" t="s">
        <v>174</v>
      </c>
      <c r="C272" s="151" t="s">
        <v>175</v>
      </c>
      <c r="D272" s="151" t="s">
        <v>941</v>
      </c>
      <c r="E272" s="151" t="s">
        <v>1093</v>
      </c>
      <c r="F272" s="151" t="s">
        <v>1094</v>
      </c>
      <c r="G272" s="151" t="s">
        <v>1095</v>
      </c>
      <c r="H272" s="151" t="s">
        <v>1096</v>
      </c>
      <c r="I272" s="151"/>
      <c r="J272" s="151" t="s">
        <v>958</v>
      </c>
      <c r="K272" s="151" t="s">
        <v>1097</v>
      </c>
      <c r="L272" s="24"/>
      <c r="M272" s="151" t="s">
        <v>1098</v>
      </c>
    </row>
    <row r="273" ht="198" spans="2:13">
      <c r="B273" s="151" t="s">
        <v>122</v>
      </c>
      <c r="C273" s="151" t="s">
        <v>123</v>
      </c>
      <c r="D273" s="151" t="s">
        <v>1099</v>
      </c>
      <c r="E273" s="151" t="s">
        <v>958</v>
      </c>
      <c r="F273" s="151" t="s">
        <v>1100</v>
      </c>
      <c r="G273" s="151" t="s">
        <v>1014</v>
      </c>
      <c r="H273" s="151" t="s">
        <v>1101</v>
      </c>
      <c r="I273" s="151"/>
      <c r="J273" s="151" t="s">
        <v>1102</v>
      </c>
      <c r="K273" s="151" t="s">
        <v>952</v>
      </c>
      <c r="L273" s="24"/>
      <c r="M273" s="151" t="s">
        <v>1103</v>
      </c>
    </row>
    <row r="274" ht="409.5" customHeight="1" spans="2:13">
      <c r="B274" s="151" t="s">
        <v>106</v>
      </c>
      <c r="C274" s="151" t="s">
        <v>107</v>
      </c>
      <c r="D274" s="151" t="s">
        <v>926</v>
      </c>
      <c r="E274" s="151" t="s">
        <v>1104</v>
      </c>
      <c r="F274" s="151" t="s">
        <v>1105</v>
      </c>
      <c r="G274" s="151" t="s">
        <v>1106</v>
      </c>
      <c r="H274" s="151" t="s">
        <v>1107</v>
      </c>
      <c r="I274" s="151"/>
      <c r="J274" s="151" t="s">
        <v>1108</v>
      </c>
      <c r="K274" s="151" t="s">
        <v>1109</v>
      </c>
      <c r="L274" s="24"/>
      <c r="M274" s="151" t="s">
        <v>1110</v>
      </c>
    </row>
    <row r="275" ht="409.5" spans="2:13">
      <c r="B275" s="151" t="s">
        <v>84</v>
      </c>
      <c r="C275" s="151" t="s">
        <v>85</v>
      </c>
      <c r="D275" s="151" t="s">
        <v>926</v>
      </c>
      <c r="E275" s="151" t="s">
        <v>1111</v>
      </c>
      <c r="F275" s="151" t="s">
        <v>1112</v>
      </c>
      <c r="G275" s="151" t="s">
        <v>1113</v>
      </c>
      <c r="H275" s="151" t="s">
        <v>1114</v>
      </c>
      <c r="I275" s="151"/>
      <c r="J275" s="151" t="s">
        <v>1115</v>
      </c>
      <c r="K275" s="151" t="s">
        <v>1116</v>
      </c>
      <c r="L275" s="24"/>
      <c r="M275" s="151" t="s">
        <v>1117</v>
      </c>
    </row>
    <row r="276" ht="409.5" customHeight="1" spans="2:13">
      <c r="B276" s="151" t="s">
        <v>90</v>
      </c>
      <c r="C276" s="151" t="s">
        <v>91</v>
      </c>
      <c r="D276" s="151" t="s">
        <v>1118</v>
      </c>
      <c r="E276" s="151" t="s">
        <v>1119</v>
      </c>
      <c r="F276" s="151" t="s">
        <v>1120</v>
      </c>
      <c r="G276" s="151" t="s">
        <v>1121</v>
      </c>
      <c r="H276" s="151" t="s">
        <v>1122</v>
      </c>
      <c r="I276" s="151"/>
      <c r="J276" s="151" t="s">
        <v>1123</v>
      </c>
      <c r="K276" s="151" t="s">
        <v>1124</v>
      </c>
      <c r="L276" s="24"/>
      <c r="M276" s="151" t="s">
        <v>1125</v>
      </c>
    </row>
    <row r="277" ht="409.5" spans="2:13">
      <c r="B277" s="151" t="s">
        <v>178</v>
      </c>
      <c r="C277" s="151" t="s">
        <v>179</v>
      </c>
      <c r="D277" s="151" t="s">
        <v>1126</v>
      </c>
      <c r="E277" s="151" t="s">
        <v>1127</v>
      </c>
      <c r="F277" s="151" t="s">
        <v>958</v>
      </c>
      <c r="G277" s="151" t="s">
        <v>960</v>
      </c>
      <c r="H277" s="151" t="s">
        <v>1128</v>
      </c>
      <c r="I277" s="151"/>
      <c r="J277" s="151" t="s">
        <v>1129</v>
      </c>
      <c r="K277" s="151" t="s">
        <v>1130</v>
      </c>
      <c r="L277" s="24"/>
      <c r="M277" s="151"/>
    </row>
    <row r="278" ht="409.5" spans="2:13">
      <c r="B278" s="151" t="s">
        <v>180</v>
      </c>
      <c r="C278" s="151" t="s">
        <v>181</v>
      </c>
      <c r="D278" s="151" t="s">
        <v>1131</v>
      </c>
      <c r="E278" s="151" t="s">
        <v>1132</v>
      </c>
      <c r="F278" s="151" t="s">
        <v>1133</v>
      </c>
      <c r="G278" s="151" t="s">
        <v>929</v>
      </c>
      <c r="H278" s="151" t="s">
        <v>1134</v>
      </c>
      <c r="I278" s="151"/>
      <c r="J278" s="151" t="s">
        <v>958</v>
      </c>
      <c r="K278" s="151" t="s">
        <v>1135</v>
      </c>
      <c r="L278" s="24"/>
      <c r="M278" s="151" t="s">
        <v>1136</v>
      </c>
    </row>
    <row r="279" ht="409.5" spans="2:13">
      <c r="B279" s="151" t="s">
        <v>152</v>
      </c>
      <c r="C279" s="151" t="s">
        <v>153</v>
      </c>
      <c r="D279" s="151" t="s">
        <v>1137</v>
      </c>
      <c r="E279" s="151" t="s">
        <v>1138</v>
      </c>
      <c r="F279" s="151" t="s">
        <v>1139</v>
      </c>
      <c r="G279" s="151" t="s">
        <v>960</v>
      </c>
      <c r="H279" s="151" t="s">
        <v>1140</v>
      </c>
      <c r="I279" s="151"/>
      <c r="J279" s="151" t="s">
        <v>1141</v>
      </c>
      <c r="K279" s="151" t="s">
        <v>1142</v>
      </c>
      <c r="L279" s="24"/>
      <c r="M279" s="151" t="s">
        <v>1143</v>
      </c>
    </row>
    <row r="280" ht="409.5" spans="2:13">
      <c r="B280" s="151" t="s">
        <v>134</v>
      </c>
      <c r="C280" s="151" t="s">
        <v>135</v>
      </c>
      <c r="D280" s="151" t="s">
        <v>1144</v>
      </c>
      <c r="E280" s="151" t="s">
        <v>1145</v>
      </c>
      <c r="F280" s="151" t="s">
        <v>1146</v>
      </c>
      <c r="G280" s="151" t="s">
        <v>929</v>
      </c>
      <c r="H280" s="151" t="s">
        <v>1147</v>
      </c>
      <c r="I280" s="151"/>
      <c r="J280" s="151" t="s">
        <v>958</v>
      </c>
      <c r="K280" s="151" t="s">
        <v>1148</v>
      </c>
      <c r="L280" s="24"/>
      <c r="M280" s="151" t="s">
        <v>1149</v>
      </c>
    </row>
    <row r="281" ht="409.5" spans="2:13">
      <c r="B281" s="151" t="s">
        <v>132</v>
      </c>
      <c r="C281" s="151" t="s">
        <v>133</v>
      </c>
      <c r="D281" s="151" t="s">
        <v>1144</v>
      </c>
      <c r="E281" s="151" t="s">
        <v>1150</v>
      </c>
      <c r="F281" s="151" t="s">
        <v>1151</v>
      </c>
      <c r="G281" s="151" t="s">
        <v>929</v>
      </c>
      <c r="H281" s="151" t="s">
        <v>1134</v>
      </c>
      <c r="I281" s="151"/>
      <c r="J281" s="151" t="s">
        <v>958</v>
      </c>
      <c r="K281" s="151" t="s">
        <v>1152</v>
      </c>
      <c r="L281" s="24"/>
      <c r="M281" s="151" t="s">
        <v>1153</v>
      </c>
    </row>
    <row r="282" ht="247.5" spans="2:13">
      <c r="B282" s="151" t="s">
        <v>104</v>
      </c>
      <c r="C282" s="151" t="s">
        <v>105</v>
      </c>
      <c r="D282" s="151" t="s">
        <v>1154</v>
      </c>
      <c r="E282" s="151" t="s">
        <v>1155</v>
      </c>
      <c r="F282" s="151" t="s">
        <v>1156</v>
      </c>
      <c r="G282" s="151" t="s">
        <v>929</v>
      </c>
      <c r="H282" s="151" t="s">
        <v>1157</v>
      </c>
      <c r="I282" s="151"/>
      <c r="J282" s="151" t="s">
        <v>958</v>
      </c>
      <c r="K282" s="151" t="s">
        <v>1158</v>
      </c>
      <c r="L282" s="24"/>
      <c r="M282" s="151" t="s">
        <v>1159</v>
      </c>
    </row>
    <row r="283" ht="409.5" spans="2:13">
      <c r="B283" s="151" t="s">
        <v>88</v>
      </c>
      <c r="C283" s="151" t="s">
        <v>1160</v>
      </c>
      <c r="D283" s="151" t="s">
        <v>1161</v>
      </c>
      <c r="E283" s="151" t="s">
        <v>1162</v>
      </c>
      <c r="F283" s="151" t="s">
        <v>1163</v>
      </c>
      <c r="G283" s="151" t="s">
        <v>929</v>
      </c>
      <c r="H283" s="151" t="s">
        <v>1164</v>
      </c>
      <c r="I283" s="151"/>
      <c r="J283" s="151" t="s">
        <v>1165</v>
      </c>
      <c r="K283" s="151" t="s">
        <v>1166</v>
      </c>
      <c r="L283" s="24"/>
      <c r="M283" s="151" t="s">
        <v>1167</v>
      </c>
    </row>
    <row r="284" ht="409.5" spans="2:13">
      <c r="B284" s="151" t="s">
        <v>176</v>
      </c>
      <c r="C284" s="151" t="s">
        <v>177</v>
      </c>
      <c r="D284" s="151" t="s">
        <v>1168</v>
      </c>
      <c r="E284" s="151" t="s">
        <v>1169</v>
      </c>
      <c r="F284" s="151" t="s">
        <v>1170</v>
      </c>
      <c r="G284" s="151" t="s">
        <v>960</v>
      </c>
      <c r="H284" s="151" t="s">
        <v>1171</v>
      </c>
      <c r="I284" s="151"/>
      <c r="J284" s="151" t="s">
        <v>958</v>
      </c>
      <c r="K284" s="151" t="s">
        <v>1172</v>
      </c>
      <c r="L284" s="24"/>
      <c r="M284" s="151" t="s">
        <v>1173</v>
      </c>
    </row>
    <row r="285" ht="409.5" customHeight="1" spans="2:13">
      <c r="B285" s="151" t="s">
        <v>187</v>
      </c>
      <c r="C285" s="151" t="s">
        <v>1174</v>
      </c>
      <c r="D285" s="151" t="s">
        <v>926</v>
      </c>
      <c r="E285" s="151" t="s">
        <v>1175</v>
      </c>
      <c r="F285" s="151" t="s">
        <v>1176</v>
      </c>
      <c r="G285" s="151" t="s">
        <v>929</v>
      </c>
      <c r="H285" s="151" t="s">
        <v>1177</v>
      </c>
      <c r="I285" s="151"/>
      <c r="J285" s="151" t="s">
        <v>1178</v>
      </c>
      <c r="K285" s="151" t="s">
        <v>1179</v>
      </c>
      <c r="L285" s="24"/>
      <c r="M285" s="151" t="s">
        <v>1176</v>
      </c>
    </row>
    <row r="286" ht="409.5" spans="2:13">
      <c r="B286" s="151" t="s">
        <v>102</v>
      </c>
      <c r="C286" s="151" t="s">
        <v>103</v>
      </c>
      <c r="D286" s="151" t="s">
        <v>1180</v>
      </c>
      <c r="E286" s="151" t="s">
        <v>1181</v>
      </c>
      <c r="F286" s="151" t="s">
        <v>1182</v>
      </c>
      <c r="G286" s="151" t="s">
        <v>1183</v>
      </c>
      <c r="H286" s="151" t="s">
        <v>1184</v>
      </c>
      <c r="I286" s="151"/>
      <c r="J286" s="151" t="s">
        <v>1185</v>
      </c>
      <c r="K286" s="151" t="s">
        <v>1186</v>
      </c>
      <c r="L286" s="24"/>
      <c r="M286" s="151" t="s">
        <v>1187</v>
      </c>
    </row>
    <row r="287" ht="409.5" spans="2:13">
      <c r="B287" s="151" t="s">
        <v>82</v>
      </c>
      <c r="C287" s="151" t="s">
        <v>83</v>
      </c>
      <c r="D287" s="151" t="s">
        <v>926</v>
      </c>
      <c r="E287" s="151" t="s">
        <v>1188</v>
      </c>
      <c r="F287" s="151" t="s">
        <v>1189</v>
      </c>
      <c r="G287" s="151" t="s">
        <v>944</v>
      </c>
      <c r="H287" s="151" t="s">
        <v>1190</v>
      </c>
      <c r="I287" s="151"/>
      <c r="J287" s="151" t="s">
        <v>1191</v>
      </c>
      <c r="K287" s="151" t="s">
        <v>1192</v>
      </c>
      <c r="L287" s="24"/>
      <c r="M287" s="151" t="s">
        <v>1193</v>
      </c>
    </row>
    <row r="288" ht="409.5" spans="2:13">
      <c r="B288" s="151" t="s">
        <v>144</v>
      </c>
      <c r="C288" s="151" t="s">
        <v>145</v>
      </c>
      <c r="D288" s="151" t="s">
        <v>1194</v>
      </c>
      <c r="E288" s="151" t="s">
        <v>1181</v>
      </c>
      <c r="F288" s="151" t="s">
        <v>1195</v>
      </c>
      <c r="G288" s="151" t="s">
        <v>1196</v>
      </c>
      <c r="H288" s="151" t="s">
        <v>1184</v>
      </c>
      <c r="I288" s="151"/>
      <c r="J288" s="151" t="s">
        <v>1185</v>
      </c>
      <c r="K288" s="151" t="s">
        <v>1197</v>
      </c>
      <c r="L288" s="24"/>
      <c r="M288" s="151" t="s">
        <v>1198</v>
      </c>
    </row>
    <row r="289" ht="409.5" spans="2:13">
      <c r="B289" s="151" t="s">
        <v>186</v>
      </c>
      <c r="C289" s="151" t="s">
        <v>1199</v>
      </c>
      <c r="D289" s="151" t="s">
        <v>1200</v>
      </c>
      <c r="E289" s="151" t="s">
        <v>1181</v>
      </c>
      <c r="F289" s="151" t="s">
        <v>1201</v>
      </c>
      <c r="G289" s="151" t="s">
        <v>1202</v>
      </c>
      <c r="H289" s="151" t="s">
        <v>1184</v>
      </c>
      <c r="I289" s="151"/>
      <c r="J289" s="151" t="s">
        <v>1185</v>
      </c>
      <c r="K289" s="151" t="s">
        <v>1203</v>
      </c>
      <c r="L289" s="24"/>
      <c r="M289" s="151" t="s">
        <v>1204</v>
      </c>
    </row>
    <row r="290" ht="409.5" spans="2:13">
      <c r="B290" s="151" t="s">
        <v>100</v>
      </c>
      <c r="C290" s="151" t="s">
        <v>101</v>
      </c>
      <c r="D290" s="151" t="s">
        <v>934</v>
      </c>
      <c r="E290" s="151" t="s">
        <v>1181</v>
      </c>
      <c r="F290" s="151" t="s">
        <v>1205</v>
      </c>
      <c r="G290" s="151" t="s">
        <v>1206</v>
      </c>
      <c r="H290" s="151" t="s">
        <v>1184</v>
      </c>
      <c r="I290" s="151"/>
      <c r="J290" s="151" t="s">
        <v>1185</v>
      </c>
      <c r="K290" s="151" t="s">
        <v>1207</v>
      </c>
      <c r="L290" s="24"/>
      <c r="M290" s="151" t="s">
        <v>1208</v>
      </c>
    </row>
    <row r="291" ht="409.5" spans="2:13">
      <c r="B291" s="151" t="s">
        <v>96</v>
      </c>
      <c r="C291" s="151" t="s">
        <v>97</v>
      </c>
      <c r="D291" s="151" t="s">
        <v>926</v>
      </c>
      <c r="E291" s="151" t="s">
        <v>1209</v>
      </c>
      <c r="F291" s="151" t="s">
        <v>1210</v>
      </c>
      <c r="G291" s="151" t="s">
        <v>929</v>
      </c>
      <c r="H291" s="151" t="s">
        <v>1211</v>
      </c>
      <c r="I291" s="151"/>
      <c r="J291" s="151" t="s">
        <v>1212</v>
      </c>
      <c r="K291" s="151" t="s">
        <v>1213</v>
      </c>
      <c r="L291" s="24"/>
      <c r="M291" s="151" t="s">
        <v>1214</v>
      </c>
    </row>
    <row r="292" ht="409.5" spans="2:13">
      <c r="B292" s="151" t="s">
        <v>148</v>
      </c>
      <c r="C292" s="151" t="s">
        <v>149</v>
      </c>
      <c r="D292" s="151" t="s">
        <v>1001</v>
      </c>
      <c r="E292" s="151" t="s">
        <v>1215</v>
      </c>
      <c r="F292" s="151" t="s">
        <v>1216</v>
      </c>
      <c r="G292" s="151" t="s">
        <v>1121</v>
      </c>
      <c r="H292" s="151" t="s">
        <v>1217</v>
      </c>
      <c r="I292" s="151"/>
      <c r="J292" s="151" t="s">
        <v>1218</v>
      </c>
      <c r="K292" s="151" t="s">
        <v>1219</v>
      </c>
      <c r="L292" s="24"/>
      <c r="M292" s="151" t="s">
        <v>1220</v>
      </c>
    </row>
    <row r="293" ht="379.5" spans="2:13">
      <c r="B293" s="151" t="s">
        <v>170</v>
      </c>
      <c r="C293" s="151" t="s">
        <v>171</v>
      </c>
      <c r="D293" s="151" t="s">
        <v>1221</v>
      </c>
      <c r="E293" s="151" t="s">
        <v>958</v>
      </c>
      <c r="F293" s="151" t="s">
        <v>1222</v>
      </c>
      <c r="G293" s="151" t="s">
        <v>929</v>
      </c>
      <c r="H293" s="151" t="s">
        <v>1223</v>
      </c>
      <c r="I293" s="151"/>
      <c r="J293" s="151" t="s">
        <v>1224</v>
      </c>
      <c r="K293" s="151" t="s">
        <v>1225</v>
      </c>
      <c r="L293" s="24"/>
      <c r="M293" s="151" t="s">
        <v>1226</v>
      </c>
    </row>
    <row r="294" ht="409.5" customHeight="1" spans="2:13">
      <c r="B294" s="151" t="s">
        <v>166</v>
      </c>
      <c r="C294" s="151" t="s">
        <v>1227</v>
      </c>
      <c r="D294" s="151" t="s">
        <v>1228</v>
      </c>
      <c r="E294" s="151" t="s">
        <v>1229</v>
      </c>
      <c r="F294" s="151"/>
      <c r="G294" s="151" t="s">
        <v>1230</v>
      </c>
      <c r="H294" s="151" t="s">
        <v>1231</v>
      </c>
      <c r="I294" s="151"/>
      <c r="J294" s="151" t="s">
        <v>1232</v>
      </c>
      <c r="K294" s="151" t="s">
        <v>1233</v>
      </c>
      <c r="L294" s="24"/>
      <c r="M294" s="151"/>
    </row>
    <row r="295" ht="409.5" spans="2:13">
      <c r="B295" s="151" t="s">
        <v>156</v>
      </c>
      <c r="C295" s="151" t="s">
        <v>1234</v>
      </c>
      <c r="D295" s="151" t="s">
        <v>1235</v>
      </c>
      <c r="E295" s="151" t="s">
        <v>1236</v>
      </c>
      <c r="F295" s="151"/>
      <c r="G295" s="151" t="s">
        <v>1206</v>
      </c>
      <c r="H295" s="151" t="s">
        <v>1231</v>
      </c>
      <c r="I295" s="151"/>
      <c r="J295" s="151" t="s">
        <v>1232</v>
      </c>
      <c r="K295" s="151" t="s">
        <v>1233</v>
      </c>
      <c r="L295" s="24"/>
      <c r="M295" s="151"/>
    </row>
    <row r="296" ht="409.5" spans="2:13">
      <c r="B296" s="151" t="s">
        <v>160</v>
      </c>
      <c r="C296" s="151" t="s">
        <v>161</v>
      </c>
      <c r="D296" s="151" t="s">
        <v>1235</v>
      </c>
      <c r="E296" s="151" t="s">
        <v>1237</v>
      </c>
      <c r="F296" s="151"/>
      <c r="G296" s="151" t="s">
        <v>1206</v>
      </c>
      <c r="H296" s="151" t="s">
        <v>1231</v>
      </c>
      <c r="I296" s="151"/>
      <c r="J296" s="151" t="s">
        <v>1238</v>
      </c>
      <c r="K296" s="151" t="s">
        <v>1233</v>
      </c>
      <c r="L296" s="24"/>
      <c r="M296" s="151"/>
    </row>
    <row r="297" ht="409.5" spans="2:13">
      <c r="B297" s="151" t="s">
        <v>128</v>
      </c>
      <c r="C297" s="151" t="s">
        <v>129</v>
      </c>
      <c r="D297" s="151" t="s">
        <v>934</v>
      </c>
      <c r="E297" s="151" t="s">
        <v>1239</v>
      </c>
      <c r="F297" s="151" t="s">
        <v>1240</v>
      </c>
      <c r="G297" s="151" t="s">
        <v>1014</v>
      </c>
      <c r="H297" s="151" t="s">
        <v>1241</v>
      </c>
      <c r="I297" s="151"/>
      <c r="J297" s="151" t="s">
        <v>1242</v>
      </c>
      <c r="K297" s="151" t="s">
        <v>1243</v>
      </c>
      <c r="L297" s="24"/>
      <c r="M297" s="151" t="s">
        <v>1244</v>
      </c>
    </row>
    <row r="298" ht="409.5" spans="2:13">
      <c r="B298" s="151" t="s">
        <v>154</v>
      </c>
      <c r="C298" s="151" t="s">
        <v>155</v>
      </c>
      <c r="D298" s="151" t="s">
        <v>1235</v>
      </c>
      <c r="E298" s="151" t="s">
        <v>1245</v>
      </c>
      <c r="F298" s="151"/>
      <c r="G298" s="151" t="s">
        <v>1206</v>
      </c>
      <c r="H298" s="151" t="s">
        <v>1231</v>
      </c>
      <c r="I298" s="151"/>
      <c r="J298" s="151" t="s">
        <v>1232</v>
      </c>
      <c r="K298" s="151" t="s">
        <v>1233</v>
      </c>
      <c r="L298" s="24"/>
      <c r="M298" s="151"/>
    </row>
    <row r="299" ht="409.5" spans="2:13">
      <c r="B299" s="151" t="s">
        <v>164</v>
      </c>
      <c r="C299" s="151" t="s">
        <v>1246</v>
      </c>
      <c r="D299" s="151" t="s">
        <v>1247</v>
      </c>
      <c r="E299" s="151" t="s">
        <v>1248</v>
      </c>
      <c r="F299" s="151" t="s">
        <v>1249</v>
      </c>
      <c r="G299" s="151" t="s">
        <v>1230</v>
      </c>
      <c r="H299" s="151" t="s">
        <v>1231</v>
      </c>
      <c r="I299" s="151"/>
      <c r="J299" s="151" t="s">
        <v>1232</v>
      </c>
      <c r="K299" s="151" t="s">
        <v>1233</v>
      </c>
      <c r="L299" s="24"/>
      <c r="M299" s="151"/>
    </row>
    <row r="300" ht="409.5" spans="2:13">
      <c r="B300" s="151" t="s">
        <v>162</v>
      </c>
      <c r="C300" s="151" t="s">
        <v>163</v>
      </c>
      <c r="D300" s="151" t="s">
        <v>1228</v>
      </c>
      <c r="E300" s="151" t="s">
        <v>1250</v>
      </c>
      <c r="F300" s="151"/>
      <c r="G300" s="151" t="s">
        <v>1230</v>
      </c>
      <c r="H300" s="151" t="s">
        <v>1231</v>
      </c>
      <c r="I300" s="151"/>
      <c r="J300" s="151" t="s">
        <v>1232</v>
      </c>
      <c r="K300" s="151" t="s">
        <v>1233</v>
      </c>
      <c r="L300" s="24"/>
      <c r="M300" s="151"/>
    </row>
    <row r="301" ht="409.5" spans="2:13">
      <c r="B301" s="151" t="s">
        <v>158</v>
      </c>
      <c r="C301" s="151" t="s">
        <v>1251</v>
      </c>
      <c r="D301" s="151" t="s">
        <v>1235</v>
      </c>
      <c r="E301" s="151" t="s">
        <v>1252</v>
      </c>
      <c r="F301" s="151"/>
      <c r="G301" s="151" t="s">
        <v>1206</v>
      </c>
      <c r="H301" s="151" t="s">
        <v>1231</v>
      </c>
      <c r="I301" s="151"/>
      <c r="J301" s="151" t="s">
        <v>1232</v>
      </c>
      <c r="K301" s="151" t="s">
        <v>1233</v>
      </c>
      <c r="L301" s="24"/>
      <c r="M301" s="151"/>
    </row>
    <row r="302" ht="409.5" spans="2:13">
      <c r="B302" s="151" t="s">
        <v>138</v>
      </c>
      <c r="C302" s="151" t="s">
        <v>139</v>
      </c>
      <c r="D302" s="151" t="s">
        <v>941</v>
      </c>
      <c r="E302" s="151" t="s">
        <v>1253</v>
      </c>
      <c r="F302" s="151" t="s">
        <v>1254</v>
      </c>
      <c r="G302" s="151" t="s">
        <v>1255</v>
      </c>
      <c r="H302" s="151" t="s">
        <v>1256</v>
      </c>
      <c r="I302" s="151"/>
      <c r="J302" s="151" t="s">
        <v>1257</v>
      </c>
      <c r="K302" s="151" t="s">
        <v>1258</v>
      </c>
      <c r="L302" s="24"/>
      <c r="M302" s="151"/>
    </row>
  </sheetData>
  <sheetProtection formatCells="0" formatColumns="0" formatRows="0" insertRows="0" insertColumns="0" insertHyperlinks="0" deleteColumns="0" deleteRows="0" sort="0" autoFilter="0" pivotTables="0"/>
  <autoFilter xmlns:etc="http://www.wps.cn/officeDocument/2017/etCustomData" ref="B4:L302" etc:filterBottomFollowUsedRange="1">
    <extLst/>
  </autoFilter>
  <hyperlinks>
    <hyperlink ref="G1" location="'报价总目录'!D3" display="返回主目录"/>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35"/>
  <sheetViews>
    <sheetView workbookViewId="0">
      <selection activeCell="B319" sqref="B319:B333"/>
    </sheetView>
  </sheetViews>
  <sheetFormatPr defaultColWidth="9" defaultRowHeight="13.5"/>
  <sheetData>
    <row r="1" ht="16.5" customHeight="1" spans="1:20">
      <c r="A1" s="32"/>
      <c r="B1" s="32"/>
      <c r="C1" s="32"/>
      <c r="D1" s="32"/>
      <c r="E1" s="32"/>
      <c r="F1" s="32"/>
      <c r="G1" s="32"/>
      <c r="H1" s="32"/>
      <c r="I1" s="32"/>
      <c r="J1" s="32"/>
      <c r="K1" s="764"/>
      <c r="L1" s="764"/>
      <c r="M1" s="764"/>
      <c r="N1" s="32"/>
      <c r="O1" s="765" t="s">
        <v>1259</v>
      </c>
      <c r="P1" s="32"/>
      <c r="Q1" s="32"/>
      <c r="R1" s="32"/>
      <c r="S1" s="32"/>
      <c r="T1" s="32"/>
    </row>
    <row r="2" ht="33.75" customHeight="1" spans="1:20">
      <c r="A2" s="32"/>
      <c r="B2" s="751"/>
      <c r="C2" s="36" t="s">
        <v>1260</v>
      </c>
      <c r="D2" s="36"/>
      <c r="E2" s="36"/>
      <c r="F2" s="36"/>
      <c r="G2" s="36"/>
      <c r="H2" s="36"/>
      <c r="I2" s="36"/>
      <c r="J2" s="36"/>
      <c r="K2" s="36"/>
      <c r="L2" s="36"/>
      <c r="M2" s="36"/>
      <c r="N2" s="32"/>
      <c r="O2" s="765"/>
      <c r="P2" s="32"/>
      <c r="Q2" s="32"/>
      <c r="R2" s="32"/>
      <c r="S2" s="32"/>
      <c r="T2" s="32"/>
    </row>
    <row r="3" ht="16.5" spans="1:20">
      <c r="A3" s="32"/>
      <c r="B3" s="32"/>
      <c r="C3" s="32"/>
      <c r="D3" s="32"/>
      <c r="E3" s="32"/>
      <c r="F3" s="32"/>
      <c r="G3" s="32"/>
      <c r="H3" s="32"/>
      <c r="I3" s="32"/>
      <c r="J3" s="32"/>
      <c r="K3" s="764"/>
      <c r="L3" s="764"/>
      <c r="M3" s="764"/>
      <c r="N3" s="32"/>
      <c r="O3" s="765"/>
      <c r="P3" s="32"/>
      <c r="Q3" s="32"/>
      <c r="R3" s="32"/>
      <c r="S3" s="32"/>
      <c r="T3" s="32"/>
    </row>
    <row r="4" ht="16.5" spans="1:20">
      <c r="A4" s="32"/>
      <c r="B4" s="32"/>
      <c r="C4" s="752" t="s">
        <v>1261</v>
      </c>
      <c r="D4" s="32"/>
      <c r="E4" s="32"/>
      <c r="F4" s="32"/>
      <c r="G4" s="32"/>
      <c r="H4" s="32"/>
      <c r="I4" s="32"/>
      <c r="J4" s="32"/>
      <c r="K4" s="764"/>
      <c r="L4" s="764"/>
      <c r="M4" s="764"/>
      <c r="N4" s="32"/>
      <c r="O4" s="765"/>
      <c r="P4" s="32"/>
      <c r="Q4" s="32"/>
      <c r="R4" s="32"/>
      <c r="S4" s="32"/>
      <c r="T4" s="32"/>
    </row>
    <row r="5" ht="16.5" spans="1:20">
      <c r="A5" s="32"/>
      <c r="B5" s="32"/>
      <c r="C5" s="32"/>
      <c r="D5" s="32"/>
      <c r="E5" s="32"/>
      <c r="F5" s="32"/>
      <c r="G5" s="32"/>
      <c r="H5" s="32"/>
      <c r="I5" s="32"/>
      <c r="J5" s="32"/>
      <c r="K5" s="764"/>
      <c r="L5" s="764"/>
      <c r="M5" s="764"/>
      <c r="N5" s="32"/>
      <c r="O5" s="765"/>
      <c r="P5" s="32"/>
      <c r="Q5" s="32"/>
      <c r="R5" s="32"/>
      <c r="S5" s="32"/>
      <c r="T5" s="32"/>
    </row>
    <row r="6" ht="18" customHeight="1" spans="1:20">
      <c r="A6" s="32"/>
      <c r="B6" s="753" t="s">
        <v>1262</v>
      </c>
      <c r="C6" s="753"/>
      <c r="D6" s="753"/>
      <c r="E6" s="753"/>
      <c r="F6" s="754"/>
      <c r="G6" s="754"/>
      <c r="H6" s="754"/>
      <c r="I6" s="754"/>
      <c r="J6" s="754"/>
      <c r="K6" s="766" t="s">
        <v>1263</v>
      </c>
      <c r="L6" s="766" t="s">
        <v>690</v>
      </c>
      <c r="M6" s="767" t="s">
        <v>1264</v>
      </c>
      <c r="N6" s="32"/>
      <c r="O6" s="765"/>
      <c r="P6" s="32"/>
      <c r="Q6" s="32"/>
      <c r="R6" s="32"/>
      <c r="S6" s="32"/>
      <c r="T6" s="32"/>
    </row>
    <row r="7" ht="18" customHeight="1" spans="1:20">
      <c r="A7" s="32"/>
      <c r="B7" s="754" t="s">
        <v>1265</v>
      </c>
      <c r="C7" s="754"/>
      <c r="D7" s="755" t="s">
        <v>1266</v>
      </c>
      <c r="E7" s="754" t="s">
        <v>1267</v>
      </c>
      <c r="F7" s="754"/>
      <c r="G7" s="754"/>
      <c r="H7" s="754"/>
      <c r="I7" s="754"/>
      <c r="J7" s="754"/>
      <c r="K7" s="766"/>
      <c r="L7" s="766"/>
      <c r="M7" s="767"/>
      <c r="N7" s="32"/>
      <c r="O7" s="765"/>
      <c r="P7" s="32"/>
      <c r="Q7" s="32"/>
      <c r="R7" s="32"/>
      <c r="S7" s="32"/>
      <c r="T7" s="32"/>
    </row>
    <row r="8" ht="16.5" spans="1:20">
      <c r="A8" s="32"/>
      <c r="B8" s="751"/>
      <c r="C8" s="751"/>
      <c r="D8" s="751"/>
      <c r="E8" s="751"/>
      <c r="F8" s="751"/>
      <c r="G8" s="751"/>
      <c r="H8" s="751"/>
      <c r="I8" s="751"/>
      <c r="J8" s="751"/>
      <c r="K8" s="768"/>
      <c r="L8" s="768"/>
      <c r="M8" s="768"/>
      <c r="N8" s="32"/>
      <c r="O8" s="765"/>
      <c r="P8" s="32"/>
      <c r="Q8" s="32"/>
      <c r="R8" s="32"/>
      <c r="S8" s="32"/>
      <c r="T8" s="32"/>
    </row>
    <row r="9" ht="16.5" customHeight="1" spans="1:20">
      <c r="A9" s="756"/>
      <c r="B9" s="757" t="s">
        <v>1268</v>
      </c>
      <c r="C9" s="758" t="s">
        <v>381</v>
      </c>
      <c r="D9" s="758" t="s">
        <v>381</v>
      </c>
      <c r="E9" s="758" t="s">
        <v>380</v>
      </c>
      <c r="F9" s="758"/>
      <c r="G9" s="758">
        <v>0</v>
      </c>
      <c r="H9" s="758">
        <v>2</v>
      </c>
      <c r="I9" s="758"/>
      <c r="J9" s="758"/>
      <c r="K9" s="769">
        <v>205</v>
      </c>
      <c r="L9" s="769">
        <v>20</v>
      </c>
      <c r="M9" s="770">
        <v>2</v>
      </c>
      <c r="N9" s="771"/>
      <c r="O9" s="756"/>
      <c r="P9" s="32"/>
      <c r="Q9" s="32"/>
      <c r="R9" s="32"/>
      <c r="S9" s="32"/>
      <c r="T9" s="32"/>
    </row>
    <row r="10" ht="16.5" customHeight="1" spans="1:20">
      <c r="A10" s="32"/>
      <c r="B10" s="759" t="s">
        <v>1269</v>
      </c>
      <c r="C10" s="760" t="s">
        <v>193</v>
      </c>
      <c r="D10" s="760" t="s">
        <v>193</v>
      </c>
      <c r="E10" s="760" t="s">
        <v>192</v>
      </c>
      <c r="F10" s="760"/>
      <c r="G10" s="760">
        <v>0</v>
      </c>
      <c r="H10" s="760">
        <v>2</v>
      </c>
      <c r="I10" s="760"/>
      <c r="J10" s="760"/>
      <c r="K10" s="772">
        <v>175</v>
      </c>
      <c r="L10" s="772">
        <v>15</v>
      </c>
      <c r="M10" s="773">
        <v>2</v>
      </c>
      <c r="N10" s="774"/>
      <c r="O10" s="756"/>
      <c r="P10" s="32"/>
      <c r="Q10" s="32"/>
      <c r="R10" s="32"/>
      <c r="S10" s="32"/>
      <c r="T10" s="32"/>
    </row>
    <row r="11" ht="16.5" customHeight="1" spans="1:20">
      <c r="A11" s="32"/>
      <c r="B11" s="761" t="s">
        <v>1270</v>
      </c>
      <c r="C11" s="762" t="s">
        <v>195</v>
      </c>
      <c r="D11" s="762" t="s">
        <v>195</v>
      </c>
      <c r="E11" s="762" t="s">
        <v>194</v>
      </c>
      <c r="F11" s="762"/>
      <c r="G11" s="758">
        <v>0</v>
      </c>
      <c r="H11" s="758">
        <v>2</v>
      </c>
      <c r="I11" s="762"/>
      <c r="J11" s="762"/>
      <c r="K11" s="775">
        <v>195</v>
      </c>
      <c r="L11" s="775">
        <v>14</v>
      </c>
      <c r="M11" s="776">
        <v>2</v>
      </c>
      <c r="N11" s="774"/>
      <c r="O11" s="756"/>
      <c r="P11" s="32"/>
      <c r="Q11" s="32"/>
      <c r="R11" s="32"/>
      <c r="S11" s="32"/>
      <c r="T11" s="32"/>
    </row>
    <row r="12" ht="16.5" customHeight="1" spans="1:20">
      <c r="A12" s="32"/>
      <c r="B12" s="760" t="s">
        <v>1271</v>
      </c>
      <c r="C12" s="760" t="s">
        <v>263</v>
      </c>
      <c r="D12" s="760" t="s">
        <v>263</v>
      </c>
      <c r="E12" s="760" t="s">
        <v>262</v>
      </c>
      <c r="F12" s="760"/>
      <c r="G12" s="760">
        <v>0</v>
      </c>
      <c r="H12" s="760">
        <v>2</v>
      </c>
      <c r="I12" s="760"/>
      <c r="J12" s="760"/>
      <c r="K12" s="772">
        <v>185</v>
      </c>
      <c r="L12" s="772">
        <v>20</v>
      </c>
      <c r="M12" s="777">
        <v>2</v>
      </c>
      <c r="N12" s="771"/>
      <c r="O12" s="756"/>
      <c r="P12" s="32"/>
      <c r="Q12" s="32"/>
      <c r="R12" s="32"/>
      <c r="S12" s="32"/>
      <c r="T12" s="32"/>
    </row>
    <row r="13" ht="16.5" customHeight="1" spans="1:20">
      <c r="A13" s="32"/>
      <c r="B13" s="761" t="s">
        <v>1272</v>
      </c>
      <c r="C13" s="762" t="s">
        <v>443</v>
      </c>
      <c r="D13" s="762" t="s">
        <v>443</v>
      </c>
      <c r="E13" s="762" t="s">
        <v>442</v>
      </c>
      <c r="F13" s="762"/>
      <c r="G13" s="758">
        <v>0</v>
      </c>
      <c r="H13" s="758">
        <v>2</v>
      </c>
      <c r="I13" s="762"/>
      <c r="J13" s="762"/>
      <c r="K13" s="775">
        <v>305</v>
      </c>
      <c r="L13" s="775">
        <v>20</v>
      </c>
      <c r="M13" s="778">
        <v>2</v>
      </c>
      <c r="N13" s="771"/>
      <c r="O13" s="756"/>
      <c r="P13" s="32"/>
      <c r="Q13" s="32"/>
      <c r="R13" s="32"/>
      <c r="S13" s="32"/>
      <c r="T13" s="32"/>
    </row>
    <row r="14" ht="16.5" customHeight="1" spans="1:20">
      <c r="A14" s="32"/>
      <c r="B14" s="759" t="s">
        <v>1273</v>
      </c>
      <c r="C14" s="760" t="s">
        <v>1227</v>
      </c>
      <c r="D14" s="760" t="s">
        <v>1227</v>
      </c>
      <c r="E14" s="760" t="s">
        <v>166</v>
      </c>
      <c r="F14" s="760"/>
      <c r="G14" s="760">
        <v>0</v>
      </c>
      <c r="H14" s="760">
        <v>2</v>
      </c>
      <c r="I14" s="760"/>
      <c r="J14" s="760"/>
      <c r="K14" s="772">
        <v>135</v>
      </c>
      <c r="L14" s="772">
        <v>20</v>
      </c>
      <c r="M14" s="777">
        <v>2</v>
      </c>
      <c r="N14" s="774"/>
      <c r="O14" s="756"/>
      <c r="P14" s="32"/>
      <c r="Q14" s="32"/>
      <c r="R14" s="32"/>
      <c r="S14" s="32"/>
      <c r="T14" s="32"/>
    </row>
    <row r="15" ht="16.5" customHeight="1" spans="1:20">
      <c r="A15" s="32"/>
      <c r="B15" s="762" t="s">
        <v>1274</v>
      </c>
      <c r="C15" s="762" t="s">
        <v>293</v>
      </c>
      <c r="D15" s="762" t="s">
        <v>293</v>
      </c>
      <c r="E15" s="762" t="s">
        <v>1275</v>
      </c>
      <c r="F15" s="762"/>
      <c r="G15" s="758">
        <v>0</v>
      </c>
      <c r="H15" s="758">
        <v>2</v>
      </c>
      <c r="I15" s="762"/>
      <c r="J15" s="762"/>
      <c r="K15" s="775">
        <v>485</v>
      </c>
      <c r="L15" s="775">
        <v>20</v>
      </c>
      <c r="M15" s="778">
        <v>2</v>
      </c>
      <c r="N15" s="771"/>
      <c r="O15" s="756"/>
      <c r="P15" s="32"/>
      <c r="Q15" s="32"/>
      <c r="R15" s="32"/>
      <c r="S15" s="32"/>
      <c r="T15" s="32"/>
    </row>
    <row r="16" ht="16.5" customHeight="1" spans="1:20">
      <c r="A16" s="32"/>
      <c r="B16" s="760" t="s">
        <v>1276</v>
      </c>
      <c r="C16" s="760" t="s">
        <v>291</v>
      </c>
      <c r="D16" s="760" t="s">
        <v>291</v>
      </c>
      <c r="E16" s="760" t="s">
        <v>290</v>
      </c>
      <c r="F16" s="760"/>
      <c r="G16" s="760">
        <v>0</v>
      </c>
      <c r="H16" s="760">
        <v>2</v>
      </c>
      <c r="I16" s="760"/>
      <c r="J16" s="760"/>
      <c r="K16" s="772">
        <v>205</v>
      </c>
      <c r="L16" s="772">
        <v>30</v>
      </c>
      <c r="M16" s="777">
        <v>2</v>
      </c>
      <c r="N16" s="771"/>
      <c r="O16" s="756"/>
      <c r="P16" s="32"/>
      <c r="Q16" s="32"/>
      <c r="R16" s="32"/>
      <c r="S16" s="32"/>
      <c r="T16" s="32"/>
    </row>
    <row r="17" ht="16.5" customHeight="1" spans="1:20">
      <c r="A17" s="758"/>
      <c r="B17" s="761" t="s">
        <v>1277</v>
      </c>
      <c r="C17" s="762" t="s">
        <v>197</v>
      </c>
      <c r="D17" s="762" t="s">
        <v>197</v>
      </c>
      <c r="E17" s="762" t="s">
        <v>196</v>
      </c>
      <c r="F17" s="762"/>
      <c r="G17" s="758">
        <v>0</v>
      </c>
      <c r="H17" s="758">
        <v>2</v>
      </c>
      <c r="I17" s="762"/>
      <c r="J17" s="762"/>
      <c r="K17" s="775">
        <v>255</v>
      </c>
      <c r="L17" s="775">
        <v>14</v>
      </c>
      <c r="M17" s="776">
        <v>2</v>
      </c>
      <c r="N17" s="758"/>
      <c r="O17" s="756"/>
      <c r="P17" s="32"/>
      <c r="Q17" s="32"/>
      <c r="R17" s="32"/>
      <c r="S17" s="32"/>
      <c r="T17" s="32"/>
    </row>
    <row r="18" ht="16.5" customHeight="1" spans="1:20">
      <c r="A18" s="758"/>
      <c r="B18" s="759" t="s">
        <v>1278</v>
      </c>
      <c r="C18" s="760" t="s">
        <v>383</v>
      </c>
      <c r="D18" s="760" t="s">
        <v>383</v>
      </c>
      <c r="E18" s="760" t="s">
        <v>382</v>
      </c>
      <c r="F18" s="760"/>
      <c r="G18" s="760">
        <v>0</v>
      </c>
      <c r="H18" s="760">
        <v>2</v>
      </c>
      <c r="I18" s="760"/>
      <c r="J18" s="760"/>
      <c r="K18" s="772">
        <v>195</v>
      </c>
      <c r="L18" s="772">
        <v>15</v>
      </c>
      <c r="M18" s="773">
        <v>2</v>
      </c>
      <c r="N18" s="758"/>
      <c r="O18" s="756"/>
      <c r="P18" s="32"/>
      <c r="Q18" s="32"/>
      <c r="R18" s="32"/>
      <c r="S18" s="32"/>
      <c r="T18" s="32"/>
    </row>
    <row r="19" ht="16.5" customHeight="1" spans="1:20">
      <c r="A19" s="758"/>
      <c r="B19" s="762" t="s">
        <v>1279</v>
      </c>
      <c r="C19" s="762" t="s">
        <v>323</v>
      </c>
      <c r="D19" s="762" t="s">
        <v>323</v>
      </c>
      <c r="E19" s="762" t="s">
        <v>322</v>
      </c>
      <c r="F19" s="762"/>
      <c r="G19" s="758">
        <v>0</v>
      </c>
      <c r="H19" s="758">
        <v>2</v>
      </c>
      <c r="I19" s="762"/>
      <c r="J19" s="762"/>
      <c r="K19" s="775">
        <v>215</v>
      </c>
      <c r="L19" s="775">
        <v>37</v>
      </c>
      <c r="M19" s="778">
        <v>2</v>
      </c>
      <c r="N19" s="771"/>
      <c r="O19" s="756"/>
      <c r="P19" s="32"/>
      <c r="Q19" s="32"/>
      <c r="R19" s="32"/>
      <c r="S19" s="32"/>
      <c r="T19" s="32"/>
    </row>
    <row r="20" ht="16.5" customHeight="1" spans="1:20">
      <c r="A20" s="758"/>
      <c r="B20" s="760" t="s">
        <v>1280</v>
      </c>
      <c r="C20" s="760" t="s">
        <v>1281</v>
      </c>
      <c r="D20" s="760" t="s">
        <v>1281</v>
      </c>
      <c r="E20" s="760" t="s">
        <v>1282</v>
      </c>
      <c r="F20" s="760"/>
      <c r="G20" s="760">
        <v>0</v>
      </c>
      <c r="H20" s="760">
        <v>2</v>
      </c>
      <c r="I20" s="760"/>
      <c r="J20" s="760"/>
      <c r="K20" s="772">
        <v>485</v>
      </c>
      <c r="L20" s="772">
        <v>20</v>
      </c>
      <c r="M20" s="777">
        <v>2</v>
      </c>
      <c r="N20" s="771"/>
      <c r="O20" s="756"/>
      <c r="P20" s="32"/>
      <c r="Q20" s="32"/>
      <c r="R20" s="32"/>
      <c r="S20" s="32"/>
      <c r="T20" s="32"/>
    </row>
    <row r="21" ht="16.5" customHeight="1" spans="1:20">
      <c r="A21" s="758"/>
      <c r="B21" s="761" t="s">
        <v>1283</v>
      </c>
      <c r="C21" s="762" t="s">
        <v>107</v>
      </c>
      <c r="D21" s="762" t="s">
        <v>107</v>
      </c>
      <c r="E21" s="762" t="s">
        <v>106</v>
      </c>
      <c r="F21" s="762"/>
      <c r="G21" s="758">
        <v>0</v>
      </c>
      <c r="H21" s="758">
        <v>2</v>
      </c>
      <c r="I21" s="762"/>
      <c r="J21" s="762"/>
      <c r="K21" s="775">
        <v>105</v>
      </c>
      <c r="L21" s="775">
        <v>20</v>
      </c>
      <c r="M21" s="776">
        <v>2</v>
      </c>
      <c r="N21" s="758"/>
      <c r="O21" s="756"/>
      <c r="P21" s="32"/>
      <c r="Q21" s="32"/>
      <c r="R21" s="32"/>
      <c r="S21" s="32"/>
      <c r="T21" s="32"/>
    </row>
    <row r="22" ht="16.5" customHeight="1" spans="1:20">
      <c r="A22" s="758"/>
      <c r="B22" s="759" t="s">
        <v>1284</v>
      </c>
      <c r="C22" s="760" t="s">
        <v>31</v>
      </c>
      <c r="D22" s="760" t="s">
        <v>31</v>
      </c>
      <c r="E22" s="760" t="s">
        <v>30</v>
      </c>
      <c r="F22" s="760"/>
      <c r="G22" s="760">
        <v>0</v>
      </c>
      <c r="H22" s="760">
        <v>2</v>
      </c>
      <c r="I22" s="760"/>
      <c r="J22" s="760"/>
      <c r="K22" s="772">
        <v>75</v>
      </c>
      <c r="L22" s="772">
        <v>28</v>
      </c>
      <c r="M22" s="773">
        <v>2</v>
      </c>
      <c r="N22" s="758"/>
      <c r="O22" s="756"/>
      <c r="P22" s="32"/>
      <c r="Q22" s="32"/>
      <c r="R22" s="32"/>
      <c r="S22" s="32"/>
      <c r="T22" s="32"/>
    </row>
    <row r="23" ht="16.5" customHeight="1" spans="1:20">
      <c r="A23" s="758"/>
      <c r="B23" s="761" t="s">
        <v>1285</v>
      </c>
      <c r="C23" s="762" t="s">
        <v>199</v>
      </c>
      <c r="D23" s="762" t="s">
        <v>199</v>
      </c>
      <c r="E23" s="762" t="s">
        <v>198</v>
      </c>
      <c r="F23" s="762"/>
      <c r="G23" s="758">
        <v>0</v>
      </c>
      <c r="H23" s="758">
        <v>2</v>
      </c>
      <c r="I23" s="762"/>
      <c r="J23" s="762"/>
      <c r="K23" s="775">
        <v>175</v>
      </c>
      <c r="L23" s="775">
        <v>15</v>
      </c>
      <c r="M23" s="776">
        <v>2</v>
      </c>
      <c r="N23" s="758"/>
      <c r="O23" s="756"/>
      <c r="P23" s="32"/>
      <c r="Q23" s="32"/>
      <c r="R23" s="32"/>
      <c r="S23" s="32"/>
      <c r="T23" s="32"/>
    </row>
    <row r="24" ht="16.5" customHeight="1" spans="1:20">
      <c r="A24" s="758"/>
      <c r="B24" s="759" t="s">
        <v>1286</v>
      </c>
      <c r="C24" s="760" t="s">
        <v>201</v>
      </c>
      <c r="D24" s="760" t="s">
        <v>201</v>
      </c>
      <c r="E24" s="760" t="s">
        <v>200</v>
      </c>
      <c r="F24" s="760"/>
      <c r="G24" s="760">
        <v>0</v>
      </c>
      <c r="H24" s="760">
        <v>2</v>
      </c>
      <c r="I24" s="760"/>
      <c r="J24" s="760"/>
      <c r="K24" s="772">
        <v>205</v>
      </c>
      <c r="L24" s="772">
        <v>30</v>
      </c>
      <c r="M24" s="777">
        <v>2</v>
      </c>
      <c r="N24" s="763"/>
      <c r="O24" s="756"/>
      <c r="P24" s="32"/>
      <c r="Q24" s="32"/>
      <c r="R24" s="32"/>
      <c r="S24" s="32"/>
      <c r="T24" s="32"/>
    </row>
    <row r="25" ht="16.5" customHeight="1" spans="1:20">
      <c r="A25" s="758"/>
      <c r="B25" s="761" t="s">
        <v>1287</v>
      </c>
      <c r="C25" s="762" t="s">
        <v>103</v>
      </c>
      <c r="D25" s="762" t="s">
        <v>103</v>
      </c>
      <c r="E25" s="762" t="s">
        <v>102</v>
      </c>
      <c r="F25" s="762"/>
      <c r="G25" s="758">
        <v>0</v>
      </c>
      <c r="H25" s="758">
        <v>2</v>
      </c>
      <c r="I25" s="762"/>
      <c r="J25" s="762"/>
      <c r="K25" s="775">
        <v>165</v>
      </c>
      <c r="L25" s="775">
        <v>15</v>
      </c>
      <c r="M25" s="776">
        <v>2</v>
      </c>
      <c r="N25" s="758"/>
      <c r="O25" s="756"/>
      <c r="P25" s="32"/>
      <c r="Q25" s="32"/>
      <c r="R25" s="32"/>
      <c r="S25" s="32"/>
      <c r="T25" s="32"/>
    </row>
    <row r="26" ht="16.5" customHeight="1" spans="1:20">
      <c r="A26" s="758"/>
      <c r="B26" s="759" t="s">
        <v>1288</v>
      </c>
      <c r="C26" s="760" t="s">
        <v>203</v>
      </c>
      <c r="D26" s="760" t="s">
        <v>203</v>
      </c>
      <c r="E26" s="760" t="s">
        <v>202</v>
      </c>
      <c r="F26" s="760"/>
      <c r="G26" s="760">
        <v>0</v>
      </c>
      <c r="H26" s="760">
        <v>2</v>
      </c>
      <c r="I26" s="760"/>
      <c r="J26" s="760"/>
      <c r="K26" s="772">
        <v>145</v>
      </c>
      <c r="L26" s="772">
        <v>14</v>
      </c>
      <c r="M26" s="773">
        <v>2</v>
      </c>
      <c r="N26" s="758"/>
      <c r="O26" s="756"/>
      <c r="P26" s="32"/>
      <c r="Q26" s="32"/>
      <c r="R26" s="32"/>
      <c r="S26" s="32"/>
      <c r="T26" s="32"/>
    </row>
    <row r="27" ht="16.5" customHeight="1" spans="1:20">
      <c r="A27" s="758"/>
      <c r="B27" s="762" t="s">
        <v>1289</v>
      </c>
      <c r="C27" s="762" t="s">
        <v>385</v>
      </c>
      <c r="D27" s="762" t="s">
        <v>385</v>
      </c>
      <c r="E27" s="762" t="s">
        <v>384</v>
      </c>
      <c r="F27" s="762"/>
      <c r="G27" s="758">
        <v>0</v>
      </c>
      <c r="H27" s="758">
        <v>2</v>
      </c>
      <c r="I27" s="762"/>
      <c r="J27" s="762"/>
      <c r="K27" s="775">
        <v>195</v>
      </c>
      <c r="L27" s="775">
        <v>30</v>
      </c>
      <c r="M27" s="778">
        <v>2</v>
      </c>
      <c r="N27" s="771"/>
      <c r="O27" s="756"/>
      <c r="P27" s="32"/>
      <c r="Q27" s="32"/>
      <c r="R27" s="32"/>
      <c r="S27" s="32"/>
      <c r="T27" s="32"/>
    </row>
    <row r="28" ht="16.5" customHeight="1" spans="1:20">
      <c r="A28" s="758"/>
      <c r="B28" s="759" t="s">
        <v>1290</v>
      </c>
      <c r="C28" s="760" t="s">
        <v>387</v>
      </c>
      <c r="D28" s="760" t="s">
        <v>387</v>
      </c>
      <c r="E28" s="760" t="s">
        <v>386</v>
      </c>
      <c r="F28" s="760"/>
      <c r="G28" s="760">
        <v>0</v>
      </c>
      <c r="H28" s="760">
        <v>2</v>
      </c>
      <c r="I28" s="760"/>
      <c r="J28" s="760"/>
      <c r="K28" s="772">
        <v>205</v>
      </c>
      <c r="L28" s="772">
        <v>13</v>
      </c>
      <c r="M28" s="773">
        <v>2</v>
      </c>
      <c r="N28" s="758"/>
      <c r="O28" s="756"/>
      <c r="P28" s="32"/>
      <c r="Q28" s="32"/>
      <c r="R28" s="32"/>
      <c r="S28" s="32"/>
      <c r="T28" s="32"/>
    </row>
    <row r="29" ht="16.5" customHeight="1" spans="1:20">
      <c r="A29" s="758"/>
      <c r="B29" s="761" t="s">
        <v>1291</v>
      </c>
      <c r="C29" s="762" t="s">
        <v>37</v>
      </c>
      <c r="D29" s="762" t="s">
        <v>37</v>
      </c>
      <c r="E29" s="762" t="s">
        <v>36</v>
      </c>
      <c r="F29" s="762"/>
      <c r="G29" s="758">
        <v>0</v>
      </c>
      <c r="H29" s="758">
        <v>2</v>
      </c>
      <c r="I29" s="762"/>
      <c r="J29" s="762"/>
      <c r="K29" s="775">
        <v>105</v>
      </c>
      <c r="L29" s="775">
        <v>21</v>
      </c>
      <c r="M29" s="776">
        <v>2</v>
      </c>
      <c r="N29" s="758"/>
      <c r="O29" s="756"/>
      <c r="P29" s="32"/>
      <c r="Q29" s="32"/>
      <c r="R29" s="32"/>
      <c r="S29" s="32"/>
      <c r="T29" s="32"/>
    </row>
    <row r="30" ht="16.5" customHeight="1" spans="1:20">
      <c r="A30" s="758"/>
      <c r="B30" s="760" t="s">
        <v>1292</v>
      </c>
      <c r="C30" s="760" t="s">
        <v>141</v>
      </c>
      <c r="D30" s="760" t="s">
        <v>141</v>
      </c>
      <c r="E30" s="760" t="s">
        <v>140</v>
      </c>
      <c r="F30" s="760"/>
      <c r="G30" s="760">
        <v>0</v>
      </c>
      <c r="H30" s="760">
        <v>2</v>
      </c>
      <c r="I30" s="760"/>
      <c r="J30" s="760"/>
      <c r="K30" s="772">
        <v>485</v>
      </c>
      <c r="L30" s="772">
        <v>20</v>
      </c>
      <c r="M30" s="777">
        <v>2</v>
      </c>
      <c r="N30" s="771"/>
      <c r="O30" s="756"/>
      <c r="P30" s="32"/>
      <c r="Q30" s="32"/>
      <c r="R30" s="32"/>
      <c r="S30" s="32"/>
      <c r="T30" s="32"/>
    </row>
    <row r="31" ht="16.5" customHeight="1" spans="1:20">
      <c r="A31" s="758"/>
      <c r="B31" s="761" t="s">
        <v>1293</v>
      </c>
      <c r="C31" s="762" t="s">
        <v>327</v>
      </c>
      <c r="D31" s="762" t="s">
        <v>327</v>
      </c>
      <c r="E31" s="762" t="s">
        <v>326</v>
      </c>
      <c r="F31" s="762"/>
      <c r="G31" s="758">
        <v>0</v>
      </c>
      <c r="H31" s="758">
        <v>2</v>
      </c>
      <c r="I31" s="762"/>
      <c r="J31" s="762"/>
      <c r="K31" s="775">
        <v>175</v>
      </c>
      <c r="L31" s="775">
        <v>20</v>
      </c>
      <c r="M31" s="778">
        <v>2</v>
      </c>
      <c r="N31" s="771"/>
      <c r="O31" s="756"/>
      <c r="P31" s="32"/>
      <c r="Q31" s="32"/>
      <c r="R31" s="32"/>
      <c r="S31" s="32"/>
      <c r="T31" s="32"/>
    </row>
    <row r="32" ht="16.5" customHeight="1" spans="1:20">
      <c r="A32" s="758"/>
      <c r="B32" s="760" t="s">
        <v>1294</v>
      </c>
      <c r="C32" s="760" t="s">
        <v>389</v>
      </c>
      <c r="D32" s="760" t="s">
        <v>389</v>
      </c>
      <c r="E32" s="760" t="s">
        <v>1295</v>
      </c>
      <c r="F32" s="760"/>
      <c r="G32" s="760">
        <v>0</v>
      </c>
      <c r="H32" s="760">
        <v>2</v>
      </c>
      <c r="I32" s="760"/>
      <c r="J32" s="760"/>
      <c r="K32" s="772">
        <v>205</v>
      </c>
      <c r="L32" s="772">
        <v>30</v>
      </c>
      <c r="M32" s="777">
        <v>2</v>
      </c>
      <c r="N32" s="771"/>
      <c r="O32" s="756"/>
      <c r="P32" s="32"/>
      <c r="Q32" s="32"/>
      <c r="R32" s="32"/>
      <c r="S32" s="32"/>
      <c r="T32" s="32"/>
    </row>
    <row r="33" ht="16.5" customHeight="1" spans="1:20">
      <c r="A33" s="758"/>
      <c r="B33" s="761" t="s">
        <v>1296</v>
      </c>
      <c r="C33" s="762" t="s">
        <v>205</v>
      </c>
      <c r="D33" s="762" t="s">
        <v>205</v>
      </c>
      <c r="E33" s="762" t="s">
        <v>204</v>
      </c>
      <c r="F33" s="762"/>
      <c r="G33" s="758">
        <v>0</v>
      </c>
      <c r="H33" s="758">
        <v>2</v>
      </c>
      <c r="I33" s="762"/>
      <c r="J33" s="762"/>
      <c r="K33" s="775">
        <v>165</v>
      </c>
      <c r="L33" s="775">
        <v>20</v>
      </c>
      <c r="M33" s="778">
        <v>2</v>
      </c>
      <c r="N33" s="763"/>
      <c r="O33" s="756"/>
      <c r="P33" s="32"/>
      <c r="Q33" s="32"/>
      <c r="R33" s="32"/>
      <c r="S33" s="32"/>
      <c r="T33" s="32"/>
    </row>
    <row r="34" ht="16.5" customHeight="1" spans="1:20">
      <c r="A34" s="758"/>
      <c r="B34" s="759" t="s">
        <v>1297</v>
      </c>
      <c r="C34" s="760" t="s">
        <v>391</v>
      </c>
      <c r="D34" s="760" t="s">
        <v>391</v>
      </c>
      <c r="E34" s="760" t="s">
        <v>390</v>
      </c>
      <c r="F34" s="760"/>
      <c r="G34" s="760">
        <v>0</v>
      </c>
      <c r="H34" s="760">
        <v>2</v>
      </c>
      <c r="I34" s="760"/>
      <c r="J34" s="760"/>
      <c r="K34" s="772">
        <v>335</v>
      </c>
      <c r="L34" s="772">
        <v>20</v>
      </c>
      <c r="M34" s="773">
        <v>2</v>
      </c>
      <c r="N34" s="758"/>
      <c r="O34" s="756"/>
      <c r="P34" s="32"/>
      <c r="Q34" s="32"/>
      <c r="R34" s="32"/>
      <c r="S34" s="32"/>
      <c r="T34" s="32"/>
    </row>
    <row r="35" ht="16.5" customHeight="1" spans="1:20">
      <c r="A35" s="758"/>
      <c r="B35" s="762" t="s">
        <v>1298</v>
      </c>
      <c r="C35" s="762" t="s">
        <v>395</v>
      </c>
      <c r="D35" s="762" t="s">
        <v>395</v>
      </c>
      <c r="E35" s="762" t="s">
        <v>1299</v>
      </c>
      <c r="F35" s="762"/>
      <c r="G35" s="758">
        <v>0</v>
      </c>
      <c r="H35" s="758">
        <v>2</v>
      </c>
      <c r="I35" s="762"/>
      <c r="J35" s="762"/>
      <c r="K35" s="775">
        <v>485</v>
      </c>
      <c r="L35" s="775">
        <v>20</v>
      </c>
      <c r="M35" s="778">
        <v>2</v>
      </c>
      <c r="N35" s="763"/>
      <c r="O35" s="756"/>
      <c r="P35" s="32"/>
      <c r="Q35" s="32"/>
      <c r="R35" s="32"/>
      <c r="S35" s="32"/>
      <c r="T35" s="32"/>
    </row>
    <row r="36" ht="16.5" customHeight="1" spans="1:20">
      <c r="A36" s="758"/>
      <c r="B36" s="759" t="s">
        <v>1300</v>
      </c>
      <c r="C36" s="760" t="s">
        <v>295</v>
      </c>
      <c r="D36" s="760" t="s">
        <v>295</v>
      </c>
      <c r="E36" s="760" t="s">
        <v>294</v>
      </c>
      <c r="F36" s="760"/>
      <c r="G36" s="760">
        <v>0</v>
      </c>
      <c r="H36" s="760">
        <v>2</v>
      </c>
      <c r="I36" s="760"/>
      <c r="J36" s="760"/>
      <c r="K36" s="772">
        <v>125</v>
      </c>
      <c r="L36" s="772">
        <v>18</v>
      </c>
      <c r="M36" s="773">
        <v>2</v>
      </c>
      <c r="N36" s="758"/>
      <c r="O36" s="756"/>
      <c r="P36" s="32"/>
      <c r="Q36" s="32"/>
      <c r="R36" s="32"/>
      <c r="S36" s="32"/>
      <c r="T36" s="32"/>
    </row>
    <row r="37" ht="16.5" customHeight="1" spans="1:20">
      <c r="A37" s="763"/>
      <c r="B37" s="761" t="s">
        <v>1301</v>
      </c>
      <c r="C37" s="762" t="s">
        <v>207</v>
      </c>
      <c r="D37" s="762" t="s">
        <v>207</v>
      </c>
      <c r="E37" s="762" t="s">
        <v>206</v>
      </c>
      <c r="F37" s="762"/>
      <c r="G37" s="758">
        <v>0</v>
      </c>
      <c r="H37" s="758">
        <v>2</v>
      </c>
      <c r="I37" s="762"/>
      <c r="J37" s="762"/>
      <c r="K37" s="775">
        <v>215</v>
      </c>
      <c r="L37" s="775">
        <v>15</v>
      </c>
      <c r="M37" s="776">
        <v>2</v>
      </c>
      <c r="N37" s="758"/>
      <c r="O37" s="756"/>
      <c r="P37" s="32"/>
      <c r="Q37" s="32"/>
      <c r="R37" s="32"/>
      <c r="S37" s="32"/>
      <c r="T37" s="32"/>
    </row>
    <row r="38" ht="16.5" customHeight="1" spans="1:20">
      <c r="A38" s="758"/>
      <c r="B38" s="759" t="s">
        <v>1302</v>
      </c>
      <c r="C38" s="760" t="s">
        <v>151</v>
      </c>
      <c r="D38" s="760" t="s">
        <v>151</v>
      </c>
      <c r="E38" s="760" t="s">
        <v>150</v>
      </c>
      <c r="F38" s="760"/>
      <c r="G38" s="760">
        <v>0</v>
      </c>
      <c r="H38" s="760">
        <v>2</v>
      </c>
      <c r="I38" s="760"/>
      <c r="J38" s="760"/>
      <c r="K38" s="772">
        <v>95</v>
      </c>
      <c r="L38" s="772">
        <v>28</v>
      </c>
      <c r="M38" s="773">
        <v>2</v>
      </c>
      <c r="N38" s="758"/>
      <c r="O38" s="756"/>
      <c r="P38" s="758"/>
      <c r="Q38" s="758"/>
      <c r="R38" s="758"/>
      <c r="S38" s="32"/>
      <c r="T38" s="32"/>
    </row>
    <row r="39" ht="16.5" customHeight="1" spans="1:20">
      <c r="A39" s="758"/>
      <c r="B39" s="761" t="s">
        <v>1303</v>
      </c>
      <c r="C39" s="762" t="s">
        <v>209</v>
      </c>
      <c r="D39" s="762" t="s">
        <v>209</v>
      </c>
      <c r="E39" s="762" t="s">
        <v>208</v>
      </c>
      <c r="F39" s="762"/>
      <c r="G39" s="758">
        <v>0</v>
      </c>
      <c r="H39" s="758">
        <v>2</v>
      </c>
      <c r="I39" s="762"/>
      <c r="J39" s="762"/>
      <c r="K39" s="775">
        <v>55</v>
      </c>
      <c r="L39" s="775">
        <v>15</v>
      </c>
      <c r="M39" s="776">
        <v>2</v>
      </c>
      <c r="N39" s="758"/>
      <c r="O39" s="756"/>
      <c r="P39" s="32"/>
      <c r="Q39" s="32"/>
      <c r="R39" s="32"/>
      <c r="S39" s="32"/>
      <c r="T39" s="32"/>
    </row>
    <row r="40" ht="16.5" customHeight="1" spans="1:20">
      <c r="A40" s="758"/>
      <c r="B40" s="759" t="s">
        <v>1304</v>
      </c>
      <c r="C40" s="760" t="s">
        <v>45</v>
      </c>
      <c r="D40" s="760" t="s">
        <v>45</v>
      </c>
      <c r="E40" s="760" t="s">
        <v>44</v>
      </c>
      <c r="F40" s="760"/>
      <c r="G40" s="760">
        <v>0</v>
      </c>
      <c r="H40" s="760">
        <v>2</v>
      </c>
      <c r="I40" s="760"/>
      <c r="J40" s="760"/>
      <c r="K40" s="772">
        <v>85</v>
      </c>
      <c r="L40" s="772">
        <v>8</v>
      </c>
      <c r="M40" s="773">
        <v>2</v>
      </c>
      <c r="N40" s="758"/>
      <c r="O40" s="756"/>
      <c r="P40" s="32"/>
      <c r="Q40" s="32"/>
      <c r="R40" s="32"/>
      <c r="S40" s="32"/>
      <c r="T40" s="32"/>
    </row>
    <row r="41" ht="16.5" customHeight="1" spans="1:20">
      <c r="A41" s="758"/>
      <c r="B41" s="761" t="s">
        <v>1305</v>
      </c>
      <c r="C41" s="762" t="s">
        <v>325</v>
      </c>
      <c r="D41" s="762" t="s">
        <v>325</v>
      </c>
      <c r="E41" s="762" t="s">
        <v>324</v>
      </c>
      <c r="F41" s="762"/>
      <c r="G41" s="758">
        <v>0</v>
      </c>
      <c r="H41" s="758">
        <v>2</v>
      </c>
      <c r="I41" s="762"/>
      <c r="J41" s="762"/>
      <c r="K41" s="775">
        <v>175</v>
      </c>
      <c r="L41" s="775">
        <v>20</v>
      </c>
      <c r="M41" s="778">
        <v>2</v>
      </c>
      <c r="N41" s="763"/>
      <c r="O41" s="756"/>
      <c r="P41" s="32"/>
      <c r="Q41" s="32"/>
      <c r="R41" s="32"/>
      <c r="S41" s="32"/>
      <c r="T41" s="32"/>
    </row>
    <row r="42" ht="16.5" customHeight="1" spans="1:20">
      <c r="A42" s="758"/>
      <c r="B42" s="759" t="s">
        <v>1306</v>
      </c>
      <c r="C42" s="760" t="s">
        <v>211</v>
      </c>
      <c r="D42" s="760" t="s">
        <v>211</v>
      </c>
      <c r="E42" s="760" t="s">
        <v>210</v>
      </c>
      <c r="F42" s="760"/>
      <c r="G42" s="760">
        <v>0</v>
      </c>
      <c r="H42" s="760">
        <v>2</v>
      </c>
      <c r="I42" s="760"/>
      <c r="J42" s="760"/>
      <c r="K42" s="772">
        <v>165</v>
      </c>
      <c r="L42" s="772">
        <v>20</v>
      </c>
      <c r="M42" s="777">
        <v>2</v>
      </c>
      <c r="N42" s="763"/>
      <c r="O42" s="756"/>
      <c r="P42" s="32"/>
      <c r="Q42" s="32"/>
      <c r="R42" s="32"/>
      <c r="S42" s="32"/>
      <c r="T42" s="32"/>
    </row>
    <row r="43" ht="16.5" customHeight="1" spans="1:20">
      <c r="A43" s="758"/>
      <c r="B43" s="761" t="s">
        <v>1307</v>
      </c>
      <c r="C43" s="762" t="s">
        <v>213</v>
      </c>
      <c r="D43" s="762" t="s">
        <v>213</v>
      </c>
      <c r="E43" s="762" t="s">
        <v>212</v>
      </c>
      <c r="F43" s="762"/>
      <c r="G43" s="758">
        <v>0</v>
      </c>
      <c r="H43" s="758">
        <v>2</v>
      </c>
      <c r="I43" s="762"/>
      <c r="J43" s="762"/>
      <c r="K43" s="775">
        <v>25</v>
      </c>
      <c r="L43" s="775">
        <v>10</v>
      </c>
      <c r="M43" s="776">
        <v>2</v>
      </c>
      <c r="N43" s="758"/>
      <c r="O43" s="756"/>
      <c r="P43" s="32"/>
      <c r="Q43" s="32"/>
      <c r="R43" s="32"/>
      <c r="S43" s="32"/>
      <c r="T43" s="32"/>
    </row>
    <row r="44" ht="16.5" customHeight="1" spans="1:20">
      <c r="A44" s="758"/>
      <c r="B44" s="759" t="s">
        <v>1308</v>
      </c>
      <c r="C44" s="760" t="s">
        <v>335</v>
      </c>
      <c r="D44" s="760" t="s">
        <v>335</v>
      </c>
      <c r="E44" s="760" t="s">
        <v>334</v>
      </c>
      <c r="F44" s="760"/>
      <c r="G44" s="760">
        <v>0</v>
      </c>
      <c r="H44" s="760">
        <v>2</v>
      </c>
      <c r="I44" s="760"/>
      <c r="J44" s="760"/>
      <c r="K44" s="772">
        <v>175</v>
      </c>
      <c r="L44" s="772">
        <v>20</v>
      </c>
      <c r="M44" s="777">
        <v>2</v>
      </c>
      <c r="N44" s="763"/>
      <c r="O44" s="756"/>
      <c r="P44" s="32"/>
      <c r="Q44" s="32"/>
      <c r="R44" s="32"/>
      <c r="S44" s="32"/>
      <c r="T44" s="32"/>
    </row>
    <row r="45" ht="16.5" customHeight="1" spans="1:20">
      <c r="A45" s="758"/>
      <c r="B45" s="761" t="s">
        <v>1309</v>
      </c>
      <c r="C45" s="762" t="s">
        <v>79</v>
      </c>
      <c r="D45" s="762" t="s">
        <v>79</v>
      </c>
      <c r="E45" s="762" t="s">
        <v>78</v>
      </c>
      <c r="F45" s="762"/>
      <c r="G45" s="758">
        <v>0</v>
      </c>
      <c r="H45" s="758">
        <v>2</v>
      </c>
      <c r="I45" s="762"/>
      <c r="J45" s="762"/>
      <c r="K45" s="775">
        <v>75</v>
      </c>
      <c r="L45" s="775">
        <v>22</v>
      </c>
      <c r="M45" s="776">
        <v>2</v>
      </c>
      <c r="N45" s="758"/>
      <c r="O45" s="756"/>
      <c r="P45" s="32"/>
      <c r="Q45" s="32"/>
      <c r="R45" s="32"/>
      <c r="S45" s="32"/>
      <c r="T45" s="32"/>
    </row>
    <row r="46" ht="16.5" customHeight="1" spans="1:20">
      <c r="A46" s="758"/>
      <c r="B46" s="759" t="s">
        <v>1310</v>
      </c>
      <c r="C46" s="760" t="s">
        <v>393</v>
      </c>
      <c r="D46" s="760" t="s">
        <v>393</v>
      </c>
      <c r="E46" s="760" t="s">
        <v>1311</v>
      </c>
      <c r="F46" s="760"/>
      <c r="G46" s="760">
        <v>0</v>
      </c>
      <c r="H46" s="760">
        <v>2</v>
      </c>
      <c r="I46" s="760"/>
      <c r="J46" s="760"/>
      <c r="K46" s="772">
        <v>305</v>
      </c>
      <c r="L46" s="772">
        <v>20</v>
      </c>
      <c r="M46" s="777">
        <v>2</v>
      </c>
      <c r="N46" s="763"/>
      <c r="O46" s="756"/>
      <c r="P46" s="32"/>
      <c r="Q46" s="32"/>
      <c r="R46" s="32"/>
      <c r="S46" s="32"/>
      <c r="T46" s="32"/>
    </row>
    <row r="47" ht="16.5" customHeight="1" spans="1:20">
      <c r="A47" s="758"/>
      <c r="B47" s="762" t="s">
        <v>1312</v>
      </c>
      <c r="C47" s="762" t="s">
        <v>397</v>
      </c>
      <c r="D47" s="762" t="s">
        <v>397</v>
      </c>
      <c r="E47" s="762" t="s">
        <v>396</v>
      </c>
      <c r="F47" s="762"/>
      <c r="G47" s="758">
        <v>0</v>
      </c>
      <c r="H47" s="758">
        <v>2</v>
      </c>
      <c r="I47" s="762"/>
      <c r="J47" s="762"/>
      <c r="K47" s="775">
        <v>235</v>
      </c>
      <c r="L47" s="775">
        <v>37</v>
      </c>
      <c r="M47" s="778">
        <v>2</v>
      </c>
      <c r="N47" s="763"/>
      <c r="O47" s="756"/>
      <c r="P47" s="32"/>
      <c r="Q47" s="32"/>
      <c r="R47" s="32"/>
      <c r="S47" s="32"/>
      <c r="T47" s="32"/>
    </row>
    <row r="48" ht="16.5" customHeight="1" spans="1:20">
      <c r="A48" s="758"/>
      <c r="B48" s="760" t="s">
        <v>1313</v>
      </c>
      <c r="C48" s="760" t="s">
        <v>399</v>
      </c>
      <c r="D48" s="760" t="s">
        <v>399</v>
      </c>
      <c r="E48" s="760" t="s">
        <v>1314</v>
      </c>
      <c r="F48" s="760"/>
      <c r="G48" s="760">
        <v>0</v>
      </c>
      <c r="H48" s="760">
        <v>2</v>
      </c>
      <c r="I48" s="760"/>
      <c r="J48" s="760"/>
      <c r="K48" s="772">
        <v>285</v>
      </c>
      <c r="L48" s="772">
        <v>30</v>
      </c>
      <c r="M48" s="777">
        <v>2</v>
      </c>
      <c r="N48" s="763"/>
      <c r="O48" s="756"/>
      <c r="P48" s="32"/>
      <c r="Q48" s="32"/>
      <c r="R48" s="32"/>
      <c r="S48" s="32"/>
      <c r="T48" s="32"/>
    </row>
    <row r="49" ht="16.5" customHeight="1" spans="1:20">
      <c r="A49" s="758"/>
      <c r="B49" s="761" t="s">
        <v>1315</v>
      </c>
      <c r="C49" s="762" t="s">
        <v>373</v>
      </c>
      <c r="D49" s="762" t="s">
        <v>373</v>
      </c>
      <c r="E49" s="762" t="s">
        <v>372</v>
      </c>
      <c r="F49" s="762"/>
      <c r="G49" s="758">
        <v>0</v>
      </c>
      <c r="H49" s="758">
        <v>2</v>
      </c>
      <c r="I49" s="762"/>
      <c r="J49" s="762"/>
      <c r="K49" s="775">
        <v>215</v>
      </c>
      <c r="L49" s="775">
        <v>20</v>
      </c>
      <c r="M49" s="778">
        <v>2</v>
      </c>
      <c r="N49" s="763"/>
      <c r="O49" s="756"/>
      <c r="P49" s="32"/>
      <c r="Q49" s="32"/>
      <c r="R49" s="32"/>
      <c r="S49" s="32"/>
      <c r="T49" s="32"/>
    </row>
    <row r="50" ht="16.5" customHeight="1" spans="1:20">
      <c r="A50" s="758"/>
      <c r="B50" s="759" t="s">
        <v>1316</v>
      </c>
      <c r="C50" s="760" t="s">
        <v>173</v>
      </c>
      <c r="D50" s="760" t="s">
        <v>173</v>
      </c>
      <c r="E50" s="760" t="s">
        <v>172</v>
      </c>
      <c r="F50" s="760"/>
      <c r="G50" s="760">
        <v>0</v>
      </c>
      <c r="H50" s="760">
        <v>2</v>
      </c>
      <c r="I50" s="760"/>
      <c r="J50" s="760"/>
      <c r="K50" s="772">
        <v>125</v>
      </c>
      <c r="L50" s="772">
        <v>8</v>
      </c>
      <c r="M50" s="773">
        <v>2</v>
      </c>
      <c r="N50" s="758"/>
      <c r="O50" s="756"/>
      <c r="P50" s="32"/>
      <c r="Q50" s="32"/>
      <c r="R50" s="32"/>
      <c r="S50" s="32"/>
      <c r="T50" s="32"/>
    </row>
    <row r="51" ht="16.5" customHeight="1" spans="1:20">
      <c r="A51" s="758"/>
      <c r="B51" s="761" t="s">
        <v>1317</v>
      </c>
      <c r="C51" s="762" t="s">
        <v>175</v>
      </c>
      <c r="D51" s="762" t="s">
        <v>175</v>
      </c>
      <c r="E51" s="762" t="s">
        <v>174</v>
      </c>
      <c r="F51" s="762"/>
      <c r="G51" s="758">
        <v>0</v>
      </c>
      <c r="H51" s="758">
        <v>2</v>
      </c>
      <c r="I51" s="762"/>
      <c r="J51" s="762"/>
      <c r="K51" s="775">
        <v>105</v>
      </c>
      <c r="L51" s="775">
        <v>18</v>
      </c>
      <c r="M51" s="776">
        <v>2</v>
      </c>
      <c r="N51" s="758"/>
      <c r="O51" s="756"/>
      <c r="P51" s="32"/>
      <c r="Q51" s="32"/>
      <c r="R51" s="32"/>
      <c r="S51" s="32"/>
      <c r="T51" s="32"/>
    </row>
    <row r="52" ht="16.5" customHeight="1" spans="1:20">
      <c r="A52" s="758"/>
      <c r="B52" s="760" t="s">
        <v>1318</v>
      </c>
      <c r="C52" s="760" t="s">
        <v>311</v>
      </c>
      <c r="D52" s="760" t="s">
        <v>311</v>
      </c>
      <c r="E52" s="760" t="s">
        <v>310</v>
      </c>
      <c r="F52" s="760"/>
      <c r="G52" s="760">
        <v>0</v>
      </c>
      <c r="H52" s="760">
        <v>2</v>
      </c>
      <c r="I52" s="760"/>
      <c r="J52" s="760"/>
      <c r="K52" s="772">
        <v>175</v>
      </c>
      <c r="L52" s="772">
        <v>20</v>
      </c>
      <c r="M52" s="777">
        <v>2</v>
      </c>
      <c r="N52" s="763"/>
      <c r="O52" s="756"/>
      <c r="P52" s="32"/>
      <c r="Q52" s="32"/>
      <c r="R52" s="32"/>
      <c r="S52" s="32"/>
      <c r="T52" s="32"/>
    </row>
    <row r="53" ht="16.5" customHeight="1" spans="1:20">
      <c r="A53" s="758"/>
      <c r="B53" s="761" t="s">
        <v>1319</v>
      </c>
      <c r="C53" s="762" t="s">
        <v>329</v>
      </c>
      <c r="D53" s="762" t="s">
        <v>329</v>
      </c>
      <c r="E53" s="762" t="s">
        <v>1320</v>
      </c>
      <c r="F53" s="762"/>
      <c r="G53" s="758">
        <v>0</v>
      </c>
      <c r="H53" s="758">
        <v>2</v>
      </c>
      <c r="I53" s="762"/>
      <c r="J53" s="762"/>
      <c r="K53" s="775">
        <v>225</v>
      </c>
      <c r="L53" s="775">
        <v>20</v>
      </c>
      <c r="M53" s="778">
        <v>2</v>
      </c>
      <c r="N53" s="763"/>
      <c r="O53" s="756"/>
      <c r="P53" s="32"/>
      <c r="Q53" s="32"/>
      <c r="R53" s="32"/>
      <c r="S53" s="32"/>
      <c r="T53" s="32"/>
    </row>
    <row r="54" ht="16.5" customHeight="1" spans="1:20">
      <c r="A54" s="758"/>
      <c r="B54" s="759" t="s">
        <v>1321</v>
      </c>
      <c r="C54" s="760" t="s">
        <v>331</v>
      </c>
      <c r="D54" s="760" t="s">
        <v>331</v>
      </c>
      <c r="E54" s="760" t="s">
        <v>1322</v>
      </c>
      <c r="F54" s="760"/>
      <c r="G54" s="760">
        <v>0</v>
      </c>
      <c r="H54" s="760">
        <v>2</v>
      </c>
      <c r="I54" s="760"/>
      <c r="J54" s="760"/>
      <c r="K54" s="772">
        <v>185</v>
      </c>
      <c r="L54" s="772">
        <v>20</v>
      </c>
      <c r="M54" s="777">
        <v>2</v>
      </c>
      <c r="N54" s="763"/>
      <c r="O54" s="756"/>
      <c r="P54" s="32"/>
      <c r="Q54" s="32"/>
      <c r="R54" s="32"/>
      <c r="S54" s="32"/>
      <c r="T54" s="32"/>
    </row>
    <row r="55" ht="16.5" customHeight="1" spans="1:20">
      <c r="A55" s="758"/>
      <c r="B55" s="762" t="s">
        <v>1323</v>
      </c>
      <c r="C55" s="762" t="s">
        <v>333</v>
      </c>
      <c r="D55" s="762" t="s">
        <v>333</v>
      </c>
      <c r="E55" s="762" t="s">
        <v>332</v>
      </c>
      <c r="F55" s="762"/>
      <c r="G55" s="758">
        <v>0</v>
      </c>
      <c r="H55" s="758">
        <v>2</v>
      </c>
      <c r="I55" s="762"/>
      <c r="J55" s="762"/>
      <c r="K55" s="775">
        <v>485</v>
      </c>
      <c r="L55" s="775">
        <v>20</v>
      </c>
      <c r="M55" s="778">
        <v>2</v>
      </c>
      <c r="N55" s="763"/>
      <c r="O55" s="756"/>
      <c r="P55" s="32"/>
      <c r="Q55" s="32"/>
      <c r="R55" s="32"/>
      <c r="S55" s="32"/>
      <c r="T55" s="32"/>
    </row>
    <row r="56" ht="16.5" customHeight="1" spans="1:20">
      <c r="A56" s="758"/>
      <c r="B56" s="759" t="s">
        <v>1324</v>
      </c>
      <c r="C56" s="760" t="s">
        <v>131</v>
      </c>
      <c r="D56" s="760" t="s">
        <v>131</v>
      </c>
      <c r="E56" s="760" t="s">
        <v>130</v>
      </c>
      <c r="F56" s="760"/>
      <c r="G56" s="760">
        <v>0</v>
      </c>
      <c r="H56" s="760">
        <v>2</v>
      </c>
      <c r="I56" s="760"/>
      <c r="J56" s="760"/>
      <c r="K56" s="772">
        <v>265</v>
      </c>
      <c r="L56" s="772">
        <v>14</v>
      </c>
      <c r="M56" s="773">
        <v>2</v>
      </c>
      <c r="N56" s="758"/>
      <c r="O56" s="756"/>
      <c r="P56" s="32"/>
      <c r="Q56" s="32"/>
      <c r="R56" s="32"/>
      <c r="S56" s="32"/>
      <c r="T56" s="32"/>
    </row>
    <row r="57" ht="16.5" customHeight="1" spans="1:20">
      <c r="A57" s="763"/>
      <c r="B57" s="761" t="s">
        <v>1325</v>
      </c>
      <c r="C57" s="762" t="s">
        <v>215</v>
      </c>
      <c r="D57" s="762" t="s">
        <v>215</v>
      </c>
      <c r="E57" s="762" t="s">
        <v>214</v>
      </c>
      <c r="F57" s="762"/>
      <c r="G57" s="758">
        <v>0</v>
      </c>
      <c r="H57" s="758">
        <v>2</v>
      </c>
      <c r="I57" s="762"/>
      <c r="J57" s="762"/>
      <c r="K57" s="775">
        <v>175</v>
      </c>
      <c r="L57" s="775">
        <v>15</v>
      </c>
      <c r="M57" s="776">
        <v>2</v>
      </c>
      <c r="N57" s="758"/>
      <c r="O57" s="756"/>
      <c r="P57" s="32"/>
      <c r="Q57" s="32"/>
      <c r="R57" s="32"/>
      <c r="S57" s="32"/>
      <c r="T57" s="32"/>
    </row>
    <row r="58" ht="16.5" customHeight="1" spans="1:20">
      <c r="A58" s="758"/>
      <c r="B58" s="759" t="s">
        <v>1326</v>
      </c>
      <c r="C58" s="760" t="s">
        <v>1034</v>
      </c>
      <c r="D58" s="760" t="s">
        <v>1034</v>
      </c>
      <c r="E58" s="760" t="s">
        <v>46</v>
      </c>
      <c r="F58" s="760"/>
      <c r="G58" s="760">
        <v>0</v>
      </c>
      <c r="H58" s="760">
        <v>2</v>
      </c>
      <c r="I58" s="760"/>
      <c r="J58" s="760"/>
      <c r="K58" s="772">
        <v>65</v>
      </c>
      <c r="L58" s="772">
        <v>18</v>
      </c>
      <c r="M58" s="773">
        <v>2</v>
      </c>
      <c r="N58" s="758"/>
      <c r="O58" s="756"/>
      <c r="P58" s="763"/>
      <c r="Q58" s="763"/>
      <c r="R58" s="763"/>
      <c r="S58" s="763"/>
      <c r="T58" s="763"/>
    </row>
    <row r="59" ht="16.5" customHeight="1" spans="1:20">
      <c r="A59" s="763"/>
      <c r="B59" s="762" t="s">
        <v>1327</v>
      </c>
      <c r="C59" s="762" t="s">
        <v>337</v>
      </c>
      <c r="D59" s="762" t="s">
        <v>337</v>
      </c>
      <c r="E59" s="762" t="s">
        <v>336</v>
      </c>
      <c r="F59" s="762"/>
      <c r="G59" s="758">
        <v>0</v>
      </c>
      <c r="H59" s="758">
        <v>2</v>
      </c>
      <c r="I59" s="762"/>
      <c r="J59" s="762"/>
      <c r="K59" s="775">
        <v>225</v>
      </c>
      <c r="L59" s="775">
        <v>30</v>
      </c>
      <c r="M59" s="778">
        <v>2</v>
      </c>
      <c r="N59" s="763"/>
      <c r="O59" s="756"/>
      <c r="P59" s="763"/>
      <c r="Q59" s="763"/>
      <c r="R59" s="763"/>
      <c r="S59" s="763"/>
      <c r="T59" s="763"/>
    </row>
    <row r="60" ht="16.5" customHeight="1" spans="1:20">
      <c r="A60" s="763"/>
      <c r="B60" s="760" t="s">
        <v>1328</v>
      </c>
      <c r="C60" s="760" t="s">
        <v>297</v>
      </c>
      <c r="D60" s="760" t="s">
        <v>297</v>
      </c>
      <c r="E60" s="760" t="s">
        <v>296</v>
      </c>
      <c r="F60" s="760"/>
      <c r="G60" s="760">
        <v>0</v>
      </c>
      <c r="H60" s="760">
        <v>2</v>
      </c>
      <c r="I60" s="760"/>
      <c r="J60" s="760"/>
      <c r="K60" s="772">
        <v>225</v>
      </c>
      <c r="L60" s="772">
        <v>37</v>
      </c>
      <c r="M60" s="777">
        <v>2</v>
      </c>
      <c r="N60" s="763"/>
      <c r="O60" s="756"/>
      <c r="P60" s="763"/>
      <c r="Q60" s="763"/>
      <c r="R60" s="763"/>
      <c r="S60" s="763"/>
      <c r="T60" s="763"/>
    </row>
    <row r="61" ht="16.5" customHeight="1" spans="1:20">
      <c r="A61" s="758"/>
      <c r="B61" s="761" t="s">
        <v>1329</v>
      </c>
      <c r="C61" s="762" t="s">
        <v>109</v>
      </c>
      <c r="D61" s="762" t="s">
        <v>109</v>
      </c>
      <c r="E61" s="762" t="s">
        <v>108</v>
      </c>
      <c r="F61" s="762"/>
      <c r="G61" s="758">
        <v>0</v>
      </c>
      <c r="H61" s="758">
        <v>2</v>
      </c>
      <c r="I61" s="762"/>
      <c r="J61" s="762"/>
      <c r="K61" s="775">
        <v>115</v>
      </c>
      <c r="L61" s="775">
        <v>23</v>
      </c>
      <c r="M61" s="776">
        <v>2</v>
      </c>
      <c r="N61" s="758"/>
      <c r="O61" s="756"/>
      <c r="P61" s="763"/>
      <c r="Q61" s="763"/>
      <c r="R61" s="763"/>
      <c r="S61" s="763"/>
      <c r="T61" s="763"/>
    </row>
    <row r="62" ht="16.5" customHeight="1" spans="1:20">
      <c r="A62" s="758"/>
      <c r="B62" s="759" t="s">
        <v>1330</v>
      </c>
      <c r="C62" s="760" t="s">
        <v>49</v>
      </c>
      <c r="D62" s="760" t="s">
        <v>49</v>
      </c>
      <c r="E62" s="760" t="s">
        <v>48</v>
      </c>
      <c r="F62" s="760"/>
      <c r="G62" s="760">
        <v>0</v>
      </c>
      <c r="H62" s="760">
        <v>2</v>
      </c>
      <c r="I62" s="760"/>
      <c r="J62" s="760"/>
      <c r="K62" s="772">
        <v>105</v>
      </c>
      <c r="L62" s="772">
        <v>16</v>
      </c>
      <c r="M62" s="773">
        <v>2</v>
      </c>
      <c r="N62" s="758"/>
      <c r="O62" s="756"/>
      <c r="P62" s="758"/>
      <c r="Q62" s="758"/>
      <c r="R62" s="758"/>
      <c r="S62" s="763"/>
      <c r="T62" s="763"/>
    </row>
    <row r="63" ht="16.5" customHeight="1" spans="1:20">
      <c r="A63" s="758"/>
      <c r="B63" s="761" t="s">
        <v>1331</v>
      </c>
      <c r="C63" s="762" t="s">
        <v>75</v>
      </c>
      <c r="D63" s="762" t="s">
        <v>75</v>
      </c>
      <c r="E63" s="762" t="s">
        <v>74</v>
      </c>
      <c r="F63" s="762"/>
      <c r="G63" s="758">
        <v>0</v>
      </c>
      <c r="H63" s="758">
        <v>2</v>
      </c>
      <c r="I63" s="762"/>
      <c r="J63" s="762"/>
      <c r="K63" s="775">
        <v>95</v>
      </c>
      <c r="L63" s="775">
        <v>28</v>
      </c>
      <c r="M63" s="776">
        <v>2</v>
      </c>
      <c r="N63" s="758"/>
      <c r="O63" s="756"/>
      <c r="P63" s="758"/>
      <c r="Q63" s="758"/>
      <c r="R63" s="758"/>
      <c r="S63" s="763"/>
      <c r="T63" s="763"/>
    </row>
    <row r="64" ht="16.5" customHeight="1" spans="1:20">
      <c r="A64" s="758"/>
      <c r="B64" s="759" t="s">
        <v>1332</v>
      </c>
      <c r="C64" s="760" t="s">
        <v>339</v>
      </c>
      <c r="D64" s="760" t="s">
        <v>339</v>
      </c>
      <c r="E64" s="760" t="s">
        <v>338</v>
      </c>
      <c r="F64" s="760"/>
      <c r="G64" s="760">
        <v>0</v>
      </c>
      <c r="H64" s="760">
        <v>2</v>
      </c>
      <c r="I64" s="760"/>
      <c r="J64" s="760"/>
      <c r="K64" s="772">
        <v>185</v>
      </c>
      <c r="L64" s="772">
        <v>20</v>
      </c>
      <c r="M64" s="773">
        <v>2</v>
      </c>
      <c r="N64" s="758"/>
      <c r="O64" s="756"/>
      <c r="P64" s="763"/>
      <c r="Q64" s="763"/>
      <c r="R64" s="763"/>
      <c r="S64" s="763"/>
      <c r="T64" s="763"/>
    </row>
    <row r="65" ht="16.5" customHeight="1" spans="1:20">
      <c r="A65" s="763"/>
      <c r="B65" s="761" t="s">
        <v>1333</v>
      </c>
      <c r="C65" s="762" t="s">
        <v>341</v>
      </c>
      <c r="D65" s="762" t="s">
        <v>341</v>
      </c>
      <c r="E65" s="762" t="s">
        <v>1334</v>
      </c>
      <c r="F65" s="762"/>
      <c r="G65" s="758">
        <v>0</v>
      </c>
      <c r="H65" s="758">
        <v>2</v>
      </c>
      <c r="I65" s="762"/>
      <c r="J65" s="762"/>
      <c r="K65" s="775">
        <v>485</v>
      </c>
      <c r="L65" s="775">
        <v>20</v>
      </c>
      <c r="M65" s="778">
        <v>2</v>
      </c>
      <c r="N65" s="763"/>
      <c r="O65" s="756"/>
      <c r="P65" s="763"/>
      <c r="Q65" s="763"/>
      <c r="R65" s="763"/>
      <c r="S65" s="763"/>
      <c r="T65" s="763"/>
    </row>
    <row r="66" ht="16.5" customHeight="1" spans="1:20">
      <c r="A66" s="763"/>
      <c r="B66" s="759" t="s">
        <v>1335</v>
      </c>
      <c r="C66" s="760" t="s">
        <v>403</v>
      </c>
      <c r="D66" s="760" t="s">
        <v>403</v>
      </c>
      <c r="E66" s="760" t="s">
        <v>402</v>
      </c>
      <c r="F66" s="760"/>
      <c r="G66" s="760">
        <v>0</v>
      </c>
      <c r="H66" s="760">
        <v>2</v>
      </c>
      <c r="I66" s="760"/>
      <c r="J66" s="760"/>
      <c r="K66" s="772">
        <v>205</v>
      </c>
      <c r="L66" s="772">
        <v>37</v>
      </c>
      <c r="M66" s="777">
        <v>2</v>
      </c>
      <c r="N66" s="763"/>
      <c r="O66" s="756"/>
      <c r="P66" s="763"/>
      <c r="Q66" s="763"/>
      <c r="R66" s="763"/>
      <c r="S66" s="763"/>
      <c r="T66" s="763"/>
    </row>
    <row r="67" ht="16.5" customHeight="1" spans="1:20">
      <c r="A67" s="758"/>
      <c r="B67" s="761" t="s">
        <v>1336</v>
      </c>
      <c r="C67" s="762" t="s">
        <v>217</v>
      </c>
      <c r="D67" s="762" t="s">
        <v>217</v>
      </c>
      <c r="E67" s="762" t="s">
        <v>216</v>
      </c>
      <c r="F67" s="762"/>
      <c r="G67" s="758">
        <v>0</v>
      </c>
      <c r="H67" s="758">
        <v>2</v>
      </c>
      <c r="I67" s="762"/>
      <c r="J67" s="762"/>
      <c r="K67" s="775">
        <v>265</v>
      </c>
      <c r="L67" s="775">
        <v>14</v>
      </c>
      <c r="M67" s="776">
        <v>2</v>
      </c>
      <c r="N67" s="758"/>
      <c r="O67" s="756"/>
      <c r="P67" s="763"/>
      <c r="Q67" s="763"/>
      <c r="R67" s="763"/>
      <c r="S67" s="763"/>
      <c r="T67" s="763"/>
    </row>
    <row r="68" ht="16.5" customHeight="1" spans="1:20">
      <c r="A68" s="758"/>
      <c r="B68" s="759" t="s">
        <v>1337</v>
      </c>
      <c r="C68" s="760" t="s">
        <v>169</v>
      </c>
      <c r="D68" s="760" t="s">
        <v>169</v>
      </c>
      <c r="E68" s="760" t="s">
        <v>168</v>
      </c>
      <c r="F68" s="760"/>
      <c r="G68" s="760">
        <v>0</v>
      </c>
      <c r="H68" s="760">
        <v>2</v>
      </c>
      <c r="I68" s="760"/>
      <c r="J68" s="760"/>
      <c r="K68" s="772">
        <v>85</v>
      </c>
      <c r="L68" s="772">
        <v>12</v>
      </c>
      <c r="M68" s="773">
        <v>2</v>
      </c>
      <c r="N68" s="758"/>
      <c r="O68" s="756"/>
      <c r="P68" s="763"/>
      <c r="Q68" s="763"/>
      <c r="R68" s="763"/>
      <c r="S68" s="763"/>
      <c r="T68" s="763"/>
    </row>
    <row r="69" ht="16.5" customHeight="1" spans="1:20">
      <c r="A69" s="763"/>
      <c r="B69" s="761" t="s">
        <v>1338</v>
      </c>
      <c r="C69" s="762" t="s">
        <v>219</v>
      </c>
      <c r="D69" s="762" t="s">
        <v>219</v>
      </c>
      <c r="E69" s="762" t="s">
        <v>218</v>
      </c>
      <c r="F69" s="762"/>
      <c r="G69" s="758">
        <v>0</v>
      </c>
      <c r="H69" s="758">
        <v>2</v>
      </c>
      <c r="I69" s="762"/>
      <c r="J69" s="762"/>
      <c r="K69" s="775">
        <v>245</v>
      </c>
      <c r="L69" s="775">
        <v>21</v>
      </c>
      <c r="M69" s="778">
        <v>2</v>
      </c>
      <c r="N69" s="763"/>
      <c r="O69" s="756"/>
      <c r="P69" s="763"/>
      <c r="Q69" s="763"/>
      <c r="R69" s="763"/>
      <c r="S69" s="763"/>
      <c r="T69" s="763"/>
    </row>
    <row r="70" ht="16.5" customHeight="1" spans="1:20">
      <c r="A70" s="763"/>
      <c r="B70" s="759" t="s">
        <v>1339</v>
      </c>
      <c r="C70" s="760" t="s">
        <v>349</v>
      </c>
      <c r="D70" s="760" t="s">
        <v>349</v>
      </c>
      <c r="E70" s="760" t="s">
        <v>348</v>
      </c>
      <c r="F70" s="760"/>
      <c r="G70" s="760">
        <v>0</v>
      </c>
      <c r="H70" s="760">
        <v>2</v>
      </c>
      <c r="I70" s="760"/>
      <c r="J70" s="760"/>
      <c r="K70" s="772">
        <v>195</v>
      </c>
      <c r="L70" s="772">
        <v>20</v>
      </c>
      <c r="M70" s="777">
        <v>2</v>
      </c>
      <c r="N70" s="763"/>
      <c r="O70" s="756"/>
      <c r="P70" s="763"/>
      <c r="Q70" s="763"/>
      <c r="R70" s="763"/>
      <c r="S70" s="763"/>
      <c r="T70" s="763"/>
    </row>
    <row r="71" ht="16.5" customHeight="1" spans="1:20">
      <c r="A71" s="763"/>
      <c r="B71" s="761" t="s">
        <v>1340</v>
      </c>
      <c r="C71" s="762" t="s">
        <v>299</v>
      </c>
      <c r="D71" s="762" t="s">
        <v>299</v>
      </c>
      <c r="E71" s="762" t="s">
        <v>298</v>
      </c>
      <c r="F71" s="762"/>
      <c r="G71" s="758">
        <v>0</v>
      </c>
      <c r="H71" s="758">
        <v>2</v>
      </c>
      <c r="I71" s="762"/>
      <c r="J71" s="762"/>
      <c r="K71" s="775">
        <v>185</v>
      </c>
      <c r="L71" s="775">
        <v>20</v>
      </c>
      <c r="M71" s="778">
        <v>2</v>
      </c>
      <c r="N71" s="763"/>
      <c r="O71" s="756"/>
      <c r="P71" s="763"/>
      <c r="Q71" s="763"/>
      <c r="R71" s="763"/>
      <c r="S71" s="763"/>
      <c r="T71" s="763"/>
    </row>
    <row r="72" ht="16.5" customHeight="1" spans="1:20">
      <c r="A72" s="758"/>
      <c r="B72" s="759" t="s">
        <v>1341</v>
      </c>
      <c r="C72" s="760" t="s">
        <v>51</v>
      </c>
      <c r="D72" s="760" t="s">
        <v>51</v>
      </c>
      <c r="E72" s="760" t="s">
        <v>50</v>
      </c>
      <c r="F72" s="760"/>
      <c r="G72" s="760">
        <v>0</v>
      </c>
      <c r="H72" s="760">
        <v>2</v>
      </c>
      <c r="I72" s="760"/>
      <c r="J72" s="760"/>
      <c r="K72" s="772">
        <v>75</v>
      </c>
      <c r="L72" s="772">
        <v>12</v>
      </c>
      <c r="M72" s="773">
        <v>2</v>
      </c>
      <c r="N72" s="758"/>
      <c r="O72" s="756"/>
      <c r="P72" s="763"/>
      <c r="Q72" s="763"/>
      <c r="R72" s="763"/>
      <c r="S72" s="763"/>
      <c r="T72" s="763"/>
    </row>
    <row r="73" ht="16.5" customHeight="1" spans="1:20">
      <c r="A73" s="758"/>
      <c r="B73" s="761" t="s">
        <v>1342</v>
      </c>
      <c r="C73" s="762" t="s">
        <v>221</v>
      </c>
      <c r="D73" s="762" t="s">
        <v>221</v>
      </c>
      <c r="E73" s="762" t="s">
        <v>220</v>
      </c>
      <c r="F73" s="762"/>
      <c r="G73" s="758">
        <v>0</v>
      </c>
      <c r="H73" s="758">
        <v>2</v>
      </c>
      <c r="I73" s="762"/>
      <c r="J73" s="762"/>
      <c r="K73" s="775">
        <v>175</v>
      </c>
      <c r="L73" s="775">
        <v>14</v>
      </c>
      <c r="M73" s="776">
        <v>2</v>
      </c>
      <c r="N73" s="758"/>
      <c r="O73" s="756"/>
      <c r="P73" s="763"/>
      <c r="Q73" s="763"/>
      <c r="R73" s="763"/>
      <c r="S73" s="763"/>
      <c r="T73" s="763"/>
    </row>
    <row r="74" ht="16.5" customHeight="1" spans="1:20">
      <c r="A74" s="763"/>
      <c r="B74" s="759" t="s">
        <v>1343</v>
      </c>
      <c r="C74" s="760" t="s">
        <v>405</v>
      </c>
      <c r="D74" s="760" t="s">
        <v>405</v>
      </c>
      <c r="E74" s="760" t="s">
        <v>1344</v>
      </c>
      <c r="F74" s="760"/>
      <c r="G74" s="760">
        <v>0</v>
      </c>
      <c r="H74" s="760">
        <v>2</v>
      </c>
      <c r="I74" s="760"/>
      <c r="J74" s="760"/>
      <c r="K74" s="772">
        <v>335</v>
      </c>
      <c r="L74" s="772">
        <v>20</v>
      </c>
      <c r="M74" s="777">
        <v>2</v>
      </c>
      <c r="N74" s="763"/>
      <c r="O74" s="756"/>
      <c r="P74" s="763"/>
      <c r="Q74" s="763"/>
      <c r="R74" s="763"/>
      <c r="S74" s="763"/>
      <c r="T74" s="763"/>
    </row>
    <row r="75" ht="16.5" customHeight="1" spans="1:20">
      <c r="A75" s="763"/>
      <c r="B75" s="761" t="s">
        <v>1345</v>
      </c>
      <c r="C75" s="762" t="s">
        <v>117</v>
      </c>
      <c r="D75" s="762" t="s">
        <v>117</v>
      </c>
      <c r="E75" s="762" t="s">
        <v>116</v>
      </c>
      <c r="F75" s="762"/>
      <c r="G75" s="758">
        <v>0</v>
      </c>
      <c r="H75" s="758">
        <v>2</v>
      </c>
      <c r="I75" s="762"/>
      <c r="J75" s="762"/>
      <c r="K75" s="775">
        <v>485</v>
      </c>
      <c r="L75" s="775">
        <v>20</v>
      </c>
      <c r="M75" s="778">
        <v>2</v>
      </c>
      <c r="N75" s="763"/>
      <c r="O75" s="756"/>
      <c r="P75" s="763"/>
      <c r="Q75" s="763"/>
      <c r="R75" s="763"/>
      <c r="S75" s="763"/>
      <c r="T75" s="763"/>
    </row>
    <row r="76" ht="16.5" customHeight="1" spans="1:20">
      <c r="A76" s="758"/>
      <c r="B76" s="759" t="s">
        <v>1346</v>
      </c>
      <c r="C76" s="760" t="s">
        <v>1347</v>
      </c>
      <c r="D76" s="760" t="s">
        <v>1347</v>
      </c>
      <c r="E76" s="760" t="s">
        <v>1348</v>
      </c>
      <c r="F76" s="760"/>
      <c r="G76" s="760">
        <v>0</v>
      </c>
      <c r="H76" s="760">
        <v>2</v>
      </c>
      <c r="I76" s="760"/>
      <c r="J76" s="760"/>
      <c r="K76" s="772">
        <v>265</v>
      </c>
      <c r="L76" s="772">
        <v>20</v>
      </c>
      <c r="M76" s="773">
        <v>2</v>
      </c>
      <c r="N76" s="758"/>
      <c r="O76" s="756"/>
      <c r="P76" s="763"/>
      <c r="Q76" s="763"/>
      <c r="R76" s="763"/>
      <c r="S76" s="763"/>
      <c r="T76" s="763"/>
    </row>
    <row r="77" ht="16.5" customHeight="1" spans="1:20">
      <c r="A77" s="758"/>
      <c r="B77" s="761" t="s">
        <v>1349</v>
      </c>
      <c r="C77" s="762" t="s">
        <v>53</v>
      </c>
      <c r="D77" s="762" t="s">
        <v>53</v>
      </c>
      <c r="E77" s="762" t="s">
        <v>52</v>
      </c>
      <c r="F77" s="762"/>
      <c r="G77" s="758">
        <v>0</v>
      </c>
      <c r="H77" s="758">
        <v>2</v>
      </c>
      <c r="I77" s="762"/>
      <c r="J77" s="762"/>
      <c r="K77" s="775">
        <v>65</v>
      </c>
      <c r="L77" s="775">
        <v>28</v>
      </c>
      <c r="M77" s="776">
        <v>2</v>
      </c>
      <c r="N77" s="758"/>
      <c r="O77" s="756"/>
      <c r="P77" s="763"/>
      <c r="Q77" s="763"/>
      <c r="R77" s="763"/>
      <c r="S77" s="763"/>
      <c r="T77" s="763"/>
    </row>
    <row r="78" ht="16.5" customHeight="1" spans="1:20">
      <c r="A78" s="758"/>
      <c r="B78" s="759" t="s">
        <v>1350</v>
      </c>
      <c r="C78" s="760" t="s">
        <v>29</v>
      </c>
      <c r="D78" s="760" t="s">
        <v>29</v>
      </c>
      <c r="E78" s="760" t="s">
        <v>28</v>
      </c>
      <c r="F78" s="760"/>
      <c r="G78" s="760">
        <v>0</v>
      </c>
      <c r="H78" s="760">
        <v>2</v>
      </c>
      <c r="I78" s="760"/>
      <c r="J78" s="760"/>
      <c r="K78" s="772">
        <v>85</v>
      </c>
      <c r="L78" s="772">
        <v>19</v>
      </c>
      <c r="M78" s="773">
        <v>2</v>
      </c>
      <c r="N78" s="758"/>
      <c r="O78" s="756"/>
      <c r="P78" s="763"/>
      <c r="Q78" s="763"/>
      <c r="R78" s="763"/>
      <c r="S78" s="763"/>
      <c r="T78" s="763"/>
    </row>
    <row r="79" ht="16.5" customHeight="1" spans="1:20">
      <c r="A79" s="758"/>
      <c r="B79" s="762" t="s">
        <v>1351</v>
      </c>
      <c r="C79" s="762" t="s">
        <v>361</v>
      </c>
      <c r="D79" s="762" t="s">
        <v>361</v>
      </c>
      <c r="E79" s="762" t="s">
        <v>360</v>
      </c>
      <c r="F79" s="762"/>
      <c r="G79" s="758">
        <v>0</v>
      </c>
      <c r="H79" s="758">
        <v>2</v>
      </c>
      <c r="I79" s="762"/>
      <c r="J79" s="762"/>
      <c r="K79" s="775">
        <v>225</v>
      </c>
      <c r="L79" s="775">
        <v>20</v>
      </c>
      <c r="M79" s="778">
        <v>2</v>
      </c>
      <c r="N79" s="763"/>
      <c r="O79" s="756"/>
      <c r="P79" s="763"/>
      <c r="Q79" s="763"/>
      <c r="R79" s="763"/>
      <c r="S79" s="763"/>
      <c r="T79" s="763"/>
    </row>
    <row r="80" ht="16.5" customHeight="1" spans="1:20">
      <c r="A80" s="763"/>
      <c r="B80" s="759" t="s">
        <v>1352</v>
      </c>
      <c r="C80" s="760" t="s">
        <v>343</v>
      </c>
      <c r="D80" s="760" t="s">
        <v>343</v>
      </c>
      <c r="E80" s="760" t="s">
        <v>342</v>
      </c>
      <c r="F80" s="760"/>
      <c r="G80" s="760">
        <v>0</v>
      </c>
      <c r="H80" s="760">
        <v>2</v>
      </c>
      <c r="I80" s="760"/>
      <c r="J80" s="760"/>
      <c r="K80" s="772">
        <v>165</v>
      </c>
      <c r="L80" s="772">
        <v>20</v>
      </c>
      <c r="M80" s="773">
        <v>2</v>
      </c>
      <c r="N80" s="763"/>
      <c r="O80" s="756"/>
      <c r="P80" s="763"/>
      <c r="Q80" s="763"/>
      <c r="R80" s="763"/>
      <c r="S80" s="763"/>
      <c r="T80" s="763"/>
    </row>
    <row r="81" ht="16.5" customHeight="1" spans="1:20">
      <c r="A81" s="763"/>
      <c r="B81" s="761" t="s">
        <v>1353</v>
      </c>
      <c r="C81" s="762" t="s">
        <v>303</v>
      </c>
      <c r="D81" s="762" t="s">
        <v>303</v>
      </c>
      <c r="E81" s="762" t="s">
        <v>302</v>
      </c>
      <c r="F81" s="762"/>
      <c r="G81" s="758">
        <v>0</v>
      </c>
      <c r="H81" s="758">
        <v>2</v>
      </c>
      <c r="I81" s="762"/>
      <c r="J81" s="762"/>
      <c r="K81" s="775">
        <v>225</v>
      </c>
      <c r="L81" s="775">
        <v>20</v>
      </c>
      <c r="M81" s="778">
        <v>2</v>
      </c>
      <c r="N81" s="763"/>
      <c r="O81" s="756"/>
      <c r="P81" s="763"/>
      <c r="Q81" s="763"/>
      <c r="R81" s="763"/>
      <c r="S81" s="763"/>
      <c r="T81" s="763"/>
    </row>
    <row r="82" ht="16.5" customHeight="1" spans="1:20">
      <c r="A82" s="763"/>
      <c r="B82" s="759" t="s">
        <v>1354</v>
      </c>
      <c r="C82" s="760" t="s">
        <v>111</v>
      </c>
      <c r="D82" s="760" t="s">
        <v>111</v>
      </c>
      <c r="E82" s="760" t="s">
        <v>110</v>
      </c>
      <c r="F82" s="760"/>
      <c r="G82" s="760">
        <v>0</v>
      </c>
      <c r="H82" s="760">
        <v>2</v>
      </c>
      <c r="I82" s="760"/>
      <c r="J82" s="760"/>
      <c r="K82" s="772">
        <v>95</v>
      </c>
      <c r="L82" s="772">
        <v>9</v>
      </c>
      <c r="M82" s="773">
        <v>2</v>
      </c>
      <c r="N82" s="763"/>
      <c r="O82" s="756"/>
      <c r="P82" s="763"/>
      <c r="Q82" s="763"/>
      <c r="R82" s="763"/>
      <c r="S82" s="763"/>
      <c r="T82" s="763"/>
    </row>
    <row r="83" ht="16.5" customHeight="1" spans="1:20">
      <c r="A83" s="758"/>
      <c r="B83" s="761" t="s">
        <v>1355</v>
      </c>
      <c r="C83" s="762" t="s">
        <v>73</v>
      </c>
      <c r="D83" s="762" t="s">
        <v>73</v>
      </c>
      <c r="E83" s="762" t="s">
        <v>72</v>
      </c>
      <c r="F83" s="762"/>
      <c r="G83" s="758">
        <v>0</v>
      </c>
      <c r="H83" s="758">
        <v>2</v>
      </c>
      <c r="I83" s="762"/>
      <c r="J83" s="762"/>
      <c r="K83" s="775">
        <v>65</v>
      </c>
      <c r="L83" s="775">
        <v>20</v>
      </c>
      <c r="M83" s="776">
        <v>2</v>
      </c>
      <c r="N83" s="758"/>
      <c r="O83" s="756"/>
      <c r="P83" s="758"/>
      <c r="Q83" s="758"/>
      <c r="R83" s="758"/>
      <c r="S83" s="763"/>
      <c r="T83" s="763"/>
    </row>
    <row r="84" ht="16.5" customHeight="1" spans="1:20">
      <c r="A84" s="758"/>
      <c r="B84" s="759" t="s">
        <v>1356</v>
      </c>
      <c r="C84" s="760" t="s">
        <v>1234</v>
      </c>
      <c r="D84" s="760" t="s">
        <v>1234</v>
      </c>
      <c r="E84" s="760" t="s">
        <v>156</v>
      </c>
      <c r="F84" s="760"/>
      <c r="G84" s="760">
        <v>0</v>
      </c>
      <c r="H84" s="760">
        <v>2</v>
      </c>
      <c r="I84" s="760"/>
      <c r="J84" s="760"/>
      <c r="K84" s="772">
        <v>135</v>
      </c>
      <c r="L84" s="772">
        <v>20</v>
      </c>
      <c r="M84" s="773">
        <v>2</v>
      </c>
      <c r="N84" s="758"/>
      <c r="O84" s="756"/>
      <c r="P84" s="763"/>
      <c r="Q84" s="763"/>
      <c r="R84" s="763"/>
      <c r="S84" s="763"/>
      <c r="T84" s="763"/>
    </row>
    <row r="85" ht="16.5" customHeight="1" spans="1:20">
      <c r="A85" s="758"/>
      <c r="B85" s="761" t="s">
        <v>1357</v>
      </c>
      <c r="C85" s="762" t="s">
        <v>345</v>
      </c>
      <c r="D85" s="762" t="s">
        <v>345</v>
      </c>
      <c r="E85" s="762" t="s">
        <v>344</v>
      </c>
      <c r="F85" s="762"/>
      <c r="G85" s="758">
        <v>0</v>
      </c>
      <c r="H85" s="758">
        <v>2</v>
      </c>
      <c r="I85" s="762"/>
      <c r="J85" s="762"/>
      <c r="K85" s="775">
        <v>155</v>
      </c>
      <c r="L85" s="775">
        <v>22</v>
      </c>
      <c r="M85" s="778">
        <v>2</v>
      </c>
      <c r="N85" s="763"/>
      <c r="O85" s="756"/>
      <c r="P85" s="763"/>
      <c r="Q85" s="763"/>
      <c r="R85" s="763"/>
      <c r="S85" s="763"/>
      <c r="T85" s="763"/>
    </row>
    <row r="86" ht="16.5" customHeight="1" spans="1:20">
      <c r="A86" s="758"/>
      <c r="B86" s="759" t="s">
        <v>1358</v>
      </c>
      <c r="C86" s="760" t="s">
        <v>77</v>
      </c>
      <c r="D86" s="760" t="s">
        <v>77</v>
      </c>
      <c r="E86" s="760" t="s">
        <v>76</v>
      </c>
      <c r="F86" s="760"/>
      <c r="G86" s="760">
        <v>0</v>
      </c>
      <c r="H86" s="760">
        <v>2</v>
      </c>
      <c r="I86" s="760"/>
      <c r="J86" s="760"/>
      <c r="K86" s="772">
        <v>75</v>
      </c>
      <c r="L86" s="772">
        <v>17</v>
      </c>
      <c r="M86" s="773">
        <v>2</v>
      </c>
      <c r="N86" s="758"/>
      <c r="O86" s="756"/>
      <c r="P86" s="763"/>
      <c r="Q86" s="763"/>
      <c r="R86" s="763"/>
      <c r="S86" s="763"/>
      <c r="T86" s="763"/>
    </row>
    <row r="87" ht="16.5" customHeight="1" spans="1:20">
      <c r="A87" s="758"/>
      <c r="B87" s="762" t="s">
        <v>1359</v>
      </c>
      <c r="C87" s="762" t="s">
        <v>347</v>
      </c>
      <c r="D87" s="762" t="s">
        <v>347</v>
      </c>
      <c r="E87" s="762" t="s">
        <v>346</v>
      </c>
      <c r="F87" s="762"/>
      <c r="G87" s="758">
        <v>0</v>
      </c>
      <c r="H87" s="758">
        <v>2</v>
      </c>
      <c r="I87" s="762"/>
      <c r="J87" s="762"/>
      <c r="K87" s="775">
        <v>855</v>
      </c>
      <c r="L87" s="775">
        <v>20</v>
      </c>
      <c r="M87" s="778">
        <v>2</v>
      </c>
      <c r="N87" s="763"/>
      <c r="O87" s="756"/>
      <c r="P87" s="763"/>
      <c r="Q87" s="763"/>
      <c r="R87" s="763"/>
      <c r="S87" s="763"/>
      <c r="T87" s="763"/>
    </row>
    <row r="88" ht="16.5" customHeight="1" spans="1:20">
      <c r="A88" s="763"/>
      <c r="B88" s="759" t="s">
        <v>1360</v>
      </c>
      <c r="C88" s="760" t="s">
        <v>223</v>
      </c>
      <c r="D88" s="760" t="s">
        <v>223</v>
      </c>
      <c r="E88" s="760" t="s">
        <v>222</v>
      </c>
      <c r="F88" s="760"/>
      <c r="G88" s="760">
        <v>0</v>
      </c>
      <c r="H88" s="760">
        <v>2</v>
      </c>
      <c r="I88" s="760"/>
      <c r="J88" s="760"/>
      <c r="K88" s="772">
        <v>205</v>
      </c>
      <c r="L88" s="772">
        <v>30</v>
      </c>
      <c r="M88" s="777">
        <v>2</v>
      </c>
      <c r="N88" s="763"/>
      <c r="O88" s="756"/>
      <c r="P88" s="763"/>
      <c r="Q88" s="763"/>
      <c r="R88" s="763"/>
      <c r="S88" s="763"/>
      <c r="T88" s="763"/>
    </row>
    <row r="89" ht="16.5" customHeight="1" spans="1:20">
      <c r="A89" s="763"/>
      <c r="B89" s="762" t="s">
        <v>1361</v>
      </c>
      <c r="C89" s="762" t="s">
        <v>1362</v>
      </c>
      <c r="D89" s="762" t="s">
        <v>1362</v>
      </c>
      <c r="E89" s="762" t="s">
        <v>1363</v>
      </c>
      <c r="F89" s="762"/>
      <c r="G89" s="758">
        <v>0</v>
      </c>
      <c r="H89" s="758">
        <v>2</v>
      </c>
      <c r="I89" s="762"/>
      <c r="J89" s="762"/>
      <c r="K89" s="775">
        <v>485</v>
      </c>
      <c r="L89" s="775">
        <v>20</v>
      </c>
      <c r="M89" s="778">
        <v>2</v>
      </c>
      <c r="N89" s="763"/>
      <c r="O89" s="756"/>
      <c r="P89" s="763"/>
      <c r="Q89" s="763"/>
      <c r="R89" s="763"/>
      <c r="S89" s="763"/>
      <c r="T89" s="763"/>
    </row>
    <row r="90" ht="16.5" customHeight="1" spans="1:20">
      <c r="A90" s="763"/>
      <c r="B90" s="759" t="s">
        <v>1364</v>
      </c>
      <c r="C90" s="760" t="s">
        <v>1365</v>
      </c>
      <c r="D90" s="760" t="s">
        <v>1365</v>
      </c>
      <c r="E90" s="760" t="s">
        <v>1366</v>
      </c>
      <c r="F90" s="760"/>
      <c r="G90" s="760">
        <v>0</v>
      </c>
      <c r="H90" s="760">
        <v>2</v>
      </c>
      <c r="I90" s="760"/>
      <c r="J90" s="760"/>
      <c r="K90" s="772">
        <v>435</v>
      </c>
      <c r="L90" s="772">
        <v>20</v>
      </c>
      <c r="M90" s="777">
        <v>2</v>
      </c>
      <c r="N90" s="763"/>
      <c r="O90" s="756"/>
      <c r="P90" s="763"/>
      <c r="Q90" s="763"/>
      <c r="R90" s="763"/>
      <c r="S90" s="763"/>
      <c r="T90" s="763"/>
    </row>
    <row r="91" ht="16.5" customHeight="1" spans="1:20">
      <c r="A91" s="758"/>
      <c r="B91" s="761" t="s">
        <v>1367</v>
      </c>
      <c r="C91" s="762" t="s">
        <v>225</v>
      </c>
      <c r="D91" s="762" t="s">
        <v>225</v>
      </c>
      <c r="E91" s="762" t="s">
        <v>224</v>
      </c>
      <c r="F91" s="762"/>
      <c r="G91" s="758">
        <v>0</v>
      </c>
      <c r="H91" s="758">
        <v>2</v>
      </c>
      <c r="I91" s="762"/>
      <c r="J91" s="762"/>
      <c r="K91" s="775">
        <v>285</v>
      </c>
      <c r="L91" s="775">
        <v>14</v>
      </c>
      <c r="M91" s="778">
        <v>2</v>
      </c>
      <c r="N91" s="758"/>
      <c r="O91" s="756"/>
      <c r="P91" s="763"/>
      <c r="Q91" s="763"/>
      <c r="R91" s="763"/>
      <c r="S91" s="763"/>
      <c r="T91" s="763"/>
    </row>
    <row r="92" ht="16.5" customHeight="1" spans="1:20">
      <c r="A92" s="763"/>
      <c r="B92" s="760" t="s">
        <v>1368</v>
      </c>
      <c r="C92" s="760" t="s">
        <v>455</v>
      </c>
      <c r="D92" s="760" t="s">
        <v>455</v>
      </c>
      <c r="E92" s="760" t="s">
        <v>1369</v>
      </c>
      <c r="F92" s="760"/>
      <c r="G92" s="760">
        <v>0</v>
      </c>
      <c r="H92" s="760">
        <v>2</v>
      </c>
      <c r="I92" s="760"/>
      <c r="J92" s="760"/>
      <c r="K92" s="772">
        <v>285</v>
      </c>
      <c r="L92" s="772">
        <v>29</v>
      </c>
      <c r="M92" s="777">
        <v>2</v>
      </c>
      <c r="N92" s="763"/>
      <c r="O92" s="756"/>
      <c r="P92" s="763"/>
      <c r="Q92" s="763"/>
      <c r="R92" s="763"/>
      <c r="S92" s="763"/>
      <c r="T92" s="763"/>
    </row>
    <row r="93" ht="16.5" customHeight="1" spans="1:20">
      <c r="A93" s="763"/>
      <c r="B93" s="761" t="s">
        <v>1370</v>
      </c>
      <c r="C93" s="762" t="s">
        <v>227</v>
      </c>
      <c r="D93" s="762" t="s">
        <v>227</v>
      </c>
      <c r="E93" s="762" t="s">
        <v>226</v>
      </c>
      <c r="F93" s="762"/>
      <c r="G93" s="758">
        <v>0</v>
      </c>
      <c r="H93" s="758">
        <v>2</v>
      </c>
      <c r="I93" s="762"/>
      <c r="J93" s="762"/>
      <c r="K93" s="775">
        <v>185</v>
      </c>
      <c r="L93" s="775">
        <v>20</v>
      </c>
      <c r="M93" s="778">
        <v>2</v>
      </c>
      <c r="N93" s="763"/>
      <c r="O93" s="756"/>
      <c r="P93" s="763"/>
      <c r="Q93" s="763"/>
      <c r="R93" s="763"/>
      <c r="S93" s="763"/>
      <c r="T93" s="763"/>
    </row>
    <row r="94" ht="16.5" customHeight="1" spans="1:20">
      <c r="A94" s="763"/>
      <c r="B94" s="759" t="s">
        <v>1371</v>
      </c>
      <c r="C94" s="760" t="s">
        <v>229</v>
      </c>
      <c r="D94" s="760" t="s">
        <v>229</v>
      </c>
      <c r="E94" s="760" t="s">
        <v>228</v>
      </c>
      <c r="F94" s="760"/>
      <c r="G94" s="760">
        <v>0</v>
      </c>
      <c r="H94" s="760">
        <v>2</v>
      </c>
      <c r="I94" s="760"/>
      <c r="J94" s="760"/>
      <c r="K94" s="772">
        <v>485</v>
      </c>
      <c r="L94" s="772">
        <v>20</v>
      </c>
      <c r="M94" s="777">
        <v>2</v>
      </c>
      <c r="N94" s="763"/>
      <c r="O94" s="756"/>
      <c r="P94" s="763"/>
      <c r="Q94" s="763"/>
      <c r="R94" s="763"/>
      <c r="S94" s="763"/>
      <c r="T94" s="763"/>
    </row>
    <row r="95" ht="16.5" customHeight="1" spans="1:20">
      <c r="A95" s="758"/>
      <c r="B95" s="761" t="s">
        <v>1372</v>
      </c>
      <c r="C95" s="762" t="s">
        <v>407</v>
      </c>
      <c r="D95" s="762" t="s">
        <v>407</v>
      </c>
      <c r="E95" s="762" t="s">
        <v>406</v>
      </c>
      <c r="F95" s="762"/>
      <c r="G95" s="758">
        <v>0</v>
      </c>
      <c r="H95" s="758">
        <v>2</v>
      </c>
      <c r="I95" s="762"/>
      <c r="J95" s="762"/>
      <c r="K95" s="775">
        <v>225</v>
      </c>
      <c r="L95" s="775">
        <v>20</v>
      </c>
      <c r="M95" s="776">
        <v>2</v>
      </c>
      <c r="N95" s="758"/>
      <c r="O95" s="756"/>
      <c r="P95" s="763"/>
      <c r="Q95" s="763"/>
      <c r="R95" s="763"/>
      <c r="S95" s="763"/>
      <c r="T95" s="763"/>
    </row>
    <row r="96" ht="16.5" customHeight="1" spans="1:20">
      <c r="A96" s="763"/>
      <c r="B96" s="759" t="s">
        <v>1373</v>
      </c>
      <c r="C96" s="760" t="s">
        <v>179</v>
      </c>
      <c r="D96" s="760" t="s">
        <v>179</v>
      </c>
      <c r="E96" s="760" t="s">
        <v>178</v>
      </c>
      <c r="F96" s="760"/>
      <c r="G96" s="760">
        <v>0</v>
      </c>
      <c r="H96" s="760">
        <v>2</v>
      </c>
      <c r="I96" s="760"/>
      <c r="J96" s="760"/>
      <c r="K96" s="772">
        <v>25</v>
      </c>
      <c r="L96" s="772">
        <v>13</v>
      </c>
      <c r="M96" s="777">
        <v>2</v>
      </c>
      <c r="N96" s="763"/>
      <c r="O96" s="756"/>
      <c r="P96" s="763"/>
      <c r="Q96" s="763"/>
      <c r="R96" s="763"/>
      <c r="S96" s="763"/>
      <c r="T96" s="763"/>
    </row>
    <row r="97" ht="16.5" customHeight="1" spans="1:20">
      <c r="A97" s="758"/>
      <c r="B97" s="761" t="s">
        <v>1374</v>
      </c>
      <c r="C97" s="762" t="s">
        <v>55</v>
      </c>
      <c r="D97" s="762" t="s">
        <v>55</v>
      </c>
      <c r="E97" s="762" t="s">
        <v>54</v>
      </c>
      <c r="F97" s="762"/>
      <c r="G97" s="758">
        <v>0</v>
      </c>
      <c r="H97" s="758">
        <v>2</v>
      </c>
      <c r="I97" s="762"/>
      <c r="J97" s="762"/>
      <c r="K97" s="775">
        <v>75</v>
      </c>
      <c r="L97" s="775">
        <v>17</v>
      </c>
      <c r="M97" s="776">
        <v>2</v>
      </c>
      <c r="N97" s="758"/>
      <c r="O97" s="756"/>
      <c r="P97" s="763"/>
      <c r="Q97" s="763"/>
      <c r="R97" s="763"/>
      <c r="S97" s="763"/>
      <c r="T97" s="763"/>
    </row>
    <row r="98" ht="16.5" customHeight="1" spans="1:20">
      <c r="A98" s="758"/>
      <c r="B98" s="759" t="s">
        <v>1375</v>
      </c>
      <c r="C98" s="760" t="s">
        <v>231</v>
      </c>
      <c r="D98" s="760" t="s">
        <v>231</v>
      </c>
      <c r="E98" s="760" t="s">
        <v>230</v>
      </c>
      <c r="F98" s="760"/>
      <c r="G98" s="760">
        <v>0</v>
      </c>
      <c r="H98" s="760">
        <v>2</v>
      </c>
      <c r="I98" s="760"/>
      <c r="J98" s="760"/>
      <c r="K98" s="772">
        <v>85</v>
      </c>
      <c r="L98" s="772">
        <v>37</v>
      </c>
      <c r="M98" s="773">
        <v>2</v>
      </c>
      <c r="N98" s="758"/>
      <c r="O98" s="756"/>
      <c r="P98" s="763"/>
      <c r="Q98" s="763"/>
      <c r="R98" s="763"/>
      <c r="S98" s="763"/>
      <c r="T98" s="763"/>
    </row>
    <row r="99" ht="16.5" customHeight="1" spans="1:20">
      <c r="A99" s="758"/>
      <c r="B99" s="761" t="s">
        <v>1376</v>
      </c>
      <c r="C99" s="762" t="s">
        <v>181</v>
      </c>
      <c r="D99" s="762" t="s">
        <v>181</v>
      </c>
      <c r="E99" s="762" t="s">
        <v>180</v>
      </c>
      <c r="F99" s="762"/>
      <c r="G99" s="758">
        <v>0</v>
      </c>
      <c r="H99" s="758">
        <v>2</v>
      </c>
      <c r="I99" s="762"/>
      <c r="J99" s="762"/>
      <c r="K99" s="775">
        <v>75</v>
      </c>
      <c r="L99" s="775">
        <v>12</v>
      </c>
      <c r="M99" s="776">
        <v>2</v>
      </c>
      <c r="N99" s="758"/>
      <c r="O99" s="756"/>
      <c r="P99" s="763"/>
      <c r="Q99" s="763"/>
      <c r="R99" s="763"/>
      <c r="S99" s="763"/>
      <c r="T99" s="763"/>
    </row>
    <row r="100" ht="16.5" customHeight="1" spans="1:20">
      <c r="A100" s="758"/>
      <c r="B100" s="759" t="s">
        <v>1377</v>
      </c>
      <c r="C100" s="760" t="s">
        <v>191</v>
      </c>
      <c r="D100" s="760" t="s">
        <v>191</v>
      </c>
      <c r="E100" s="760" t="s">
        <v>190</v>
      </c>
      <c r="F100" s="760"/>
      <c r="G100" s="760">
        <v>0</v>
      </c>
      <c r="H100" s="760">
        <v>2</v>
      </c>
      <c r="I100" s="760"/>
      <c r="J100" s="760"/>
      <c r="K100" s="772">
        <v>75</v>
      </c>
      <c r="L100" s="772">
        <v>13</v>
      </c>
      <c r="M100" s="773">
        <v>2</v>
      </c>
      <c r="N100" s="758"/>
      <c r="O100" s="756"/>
      <c r="P100" s="763"/>
      <c r="Q100" s="763"/>
      <c r="R100" s="763"/>
      <c r="S100" s="763"/>
      <c r="T100" s="763"/>
    </row>
    <row r="101" ht="16.5" customHeight="1" spans="1:20">
      <c r="A101" s="758"/>
      <c r="B101" s="761" t="s">
        <v>1378</v>
      </c>
      <c r="C101" s="762" t="s">
        <v>233</v>
      </c>
      <c r="D101" s="762" t="s">
        <v>233</v>
      </c>
      <c r="E101" s="762" t="s">
        <v>232</v>
      </c>
      <c r="F101" s="762"/>
      <c r="G101" s="758">
        <v>0</v>
      </c>
      <c r="H101" s="758">
        <v>2</v>
      </c>
      <c r="I101" s="762"/>
      <c r="J101" s="762"/>
      <c r="K101" s="775">
        <v>185</v>
      </c>
      <c r="L101" s="775">
        <v>14</v>
      </c>
      <c r="M101" s="776">
        <v>2</v>
      </c>
      <c r="N101" s="758"/>
      <c r="O101" s="756"/>
      <c r="P101" s="763"/>
      <c r="Q101" s="763"/>
      <c r="R101" s="763"/>
      <c r="S101" s="763"/>
      <c r="T101" s="763"/>
    </row>
    <row r="102" ht="16.5" customHeight="1" spans="1:20">
      <c r="A102" s="758"/>
      <c r="B102" s="759" t="s">
        <v>1379</v>
      </c>
      <c r="C102" s="760" t="s">
        <v>235</v>
      </c>
      <c r="D102" s="760" t="s">
        <v>235</v>
      </c>
      <c r="E102" s="760" t="s">
        <v>234</v>
      </c>
      <c r="F102" s="760"/>
      <c r="G102" s="760">
        <v>0</v>
      </c>
      <c r="H102" s="760">
        <v>2</v>
      </c>
      <c r="I102" s="760"/>
      <c r="J102" s="760"/>
      <c r="K102" s="772">
        <v>175</v>
      </c>
      <c r="L102" s="772">
        <v>14</v>
      </c>
      <c r="M102" s="773">
        <v>2</v>
      </c>
      <c r="N102" s="758"/>
      <c r="O102" s="756"/>
      <c r="P102" s="763"/>
      <c r="Q102" s="763"/>
      <c r="R102" s="763"/>
      <c r="S102" s="763"/>
      <c r="T102" s="763"/>
    </row>
    <row r="103" ht="16.5" customHeight="1" spans="1:20">
      <c r="A103" s="758"/>
      <c r="B103" s="761" t="s">
        <v>1380</v>
      </c>
      <c r="C103" s="762" t="s">
        <v>43</v>
      </c>
      <c r="D103" s="762" t="s">
        <v>43</v>
      </c>
      <c r="E103" s="762" t="s">
        <v>42</v>
      </c>
      <c r="F103" s="762"/>
      <c r="G103" s="758">
        <v>0</v>
      </c>
      <c r="H103" s="758">
        <v>2</v>
      </c>
      <c r="I103" s="762"/>
      <c r="J103" s="762"/>
      <c r="K103" s="775">
        <v>65</v>
      </c>
      <c r="L103" s="775">
        <v>25</v>
      </c>
      <c r="M103" s="776">
        <v>2</v>
      </c>
      <c r="N103" s="758"/>
      <c r="O103" s="756"/>
      <c r="P103" s="763"/>
      <c r="Q103" s="763"/>
      <c r="R103" s="763"/>
      <c r="S103" s="763"/>
      <c r="T103" s="763"/>
    </row>
    <row r="104" ht="16.5" customHeight="1" spans="1:20">
      <c r="A104" s="758"/>
      <c r="B104" s="759" t="s">
        <v>1381</v>
      </c>
      <c r="C104" s="760" t="s">
        <v>351</v>
      </c>
      <c r="D104" s="760" t="s">
        <v>351</v>
      </c>
      <c r="E104" s="760" t="s">
        <v>350</v>
      </c>
      <c r="F104" s="760"/>
      <c r="G104" s="760">
        <v>0</v>
      </c>
      <c r="H104" s="760">
        <v>2</v>
      </c>
      <c r="I104" s="760"/>
      <c r="J104" s="760"/>
      <c r="K104" s="772">
        <v>425</v>
      </c>
      <c r="L104" s="772">
        <v>19</v>
      </c>
      <c r="M104" s="777">
        <v>2</v>
      </c>
      <c r="N104" s="763"/>
      <c r="O104" s="756"/>
      <c r="P104" s="758"/>
      <c r="Q104" s="758"/>
      <c r="R104" s="758"/>
      <c r="S104" s="763"/>
      <c r="T104" s="763"/>
    </row>
    <row r="105" ht="16.5" customHeight="1" spans="1:20">
      <c r="A105" s="758"/>
      <c r="B105" s="761" t="s">
        <v>1382</v>
      </c>
      <c r="C105" s="762" t="s">
        <v>83</v>
      </c>
      <c r="D105" s="762" t="s">
        <v>83</v>
      </c>
      <c r="E105" s="762" t="s">
        <v>82</v>
      </c>
      <c r="F105" s="762"/>
      <c r="G105" s="758">
        <v>0</v>
      </c>
      <c r="H105" s="758">
        <v>2</v>
      </c>
      <c r="I105" s="762"/>
      <c r="J105" s="762"/>
      <c r="K105" s="775">
        <v>85</v>
      </c>
      <c r="L105" s="775">
        <v>17</v>
      </c>
      <c r="M105" s="776">
        <v>2</v>
      </c>
      <c r="N105" s="779"/>
      <c r="O105" s="756"/>
      <c r="P105" s="758"/>
      <c r="Q105" s="758"/>
      <c r="R105" s="758"/>
      <c r="S105" s="763"/>
      <c r="T105" s="763"/>
    </row>
    <row r="106" ht="16.5" customHeight="1" spans="1:20">
      <c r="A106" s="758"/>
      <c r="B106" s="759" t="s">
        <v>1383</v>
      </c>
      <c r="C106" s="760" t="s">
        <v>33</v>
      </c>
      <c r="D106" s="760" t="s">
        <v>33</v>
      </c>
      <c r="E106" s="760" t="s">
        <v>32</v>
      </c>
      <c r="F106" s="760"/>
      <c r="G106" s="760">
        <v>0</v>
      </c>
      <c r="H106" s="760">
        <v>2</v>
      </c>
      <c r="I106" s="760"/>
      <c r="J106" s="760"/>
      <c r="K106" s="772">
        <v>65</v>
      </c>
      <c r="L106" s="772">
        <v>26</v>
      </c>
      <c r="M106" s="773">
        <v>2</v>
      </c>
      <c r="N106" s="758"/>
      <c r="O106" s="756"/>
      <c r="P106" s="763"/>
      <c r="Q106" s="763"/>
      <c r="R106" s="763"/>
      <c r="S106" s="763"/>
      <c r="T106" s="763"/>
    </row>
    <row r="107" ht="16.5" customHeight="1" spans="1:20">
      <c r="A107" s="763"/>
      <c r="B107" s="762" t="s">
        <v>1384</v>
      </c>
      <c r="C107" s="762" t="s">
        <v>409</v>
      </c>
      <c r="D107" s="762" t="s">
        <v>409</v>
      </c>
      <c r="E107" s="762" t="s">
        <v>408</v>
      </c>
      <c r="F107" s="762"/>
      <c r="G107" s="758">
        <v>0</v>
      </c>
      <c r="H107" s="758">
        <v>2</v>
      </c>
      <c r="I107" s="762"/>
      <c r="J107" s="762"/>
      <c r="K107" s="775">
        <v>225</v>
      </c>
      <c r="L107" s="775">
        <v>30</v>
      </c>
      <c r="M107" s="778">
        <v>2</v>
      </c>
      <c r="N107" s="763"/>
      <c r="O107" s="756"/>
      <c r="P107" s="763"/>
      <c r="Q107" s="763"/>
      <c r="R107" s="763"/>
      <c r="S107" s="763"/>
      <c r="T107" s="763"/>
    </row>
    <row r="108" ht="16.5" customHeight="1" spans="1:20">
      <c r="A108" s="758"/>
      <c r="B108" s="759" t="s">
        <v>1385</v>
      </c>
      <c r="C108" s="760" t="s">
        <v>91</v>
      </c>
      <c r="D108" s="760" t="s">
        <v>91</v>
      </c>
      <c r="E108" s="760" t="s">
        <v>90</v>
      </c>
      <c r="F108" s="760"/>
      <c r="G108" s="760">
        <v>0</v>
      </c>
      <c r="H108" s="760">
        <v>2</v>
      </c>
      <c r="I108" s="760"/>
      <c r="J108" s="760"/>
      <c r="K108" s="772">
        <v>75</v>
      </c>
      <c r="L108" s="772">
        <v>24</v>
      </c>
      <c r="M108" s="773">
        <v>2</v>
      </c>
      <c r="N108" s="758"/>
      <c r="O108" s="756"/>
      <c r="P108" s="763"/>
      <c r="Q108" s="763"/>
      <c r="R108" s="763"/>
      <c r="S108" s="763"/>
      <c r="T108" s="763"/>
    </row>
    <row r="109" ht="16.5" customHeight="1" spans="1:20">
      <c r="A109" s="758"/>
      <c r="B109" s="761" t="s">
        <v>1386</v>
      </c>
      <c r="C109" s="762" t="s">
        <v>309</v>
      </c>
      <c r="D109" s="762" t="s">
        <v>309</v>
      </c>
      <c r="E109" s="762" t="s">
        <v>308</v>
      </c>
      <c r="F109" s="762"/>
      <c r="G109" s="758">
        <v>0</v>
      </c>
      <c r="H109" s="758">
        <v>2</v>
      </c>
      <c r="I109" s="762"/>
      <c r="J109" s="762"/>
      <c r="K109" s="775">
        <v>485</v>
      </c>
      <c r="L109" s="775">
        <v>20</v>
      </c>
      <c r="M109" s="778">
        <v>2</v>
      </c>
      <c r="N109" s="763"/>
      <c r="O109" s="756"/>
      <c r="P109" s="763"/>
      <c r="Q109" s="763"/>
      <c r="R109" s="763"/>
      <c r="S109" s="763"/>
      <c r="T109" s="763"/>
    </row>
    <row r="110" ht="16.5" customHeight="1" spans="1:20">
      <c r="A110" s="758"/>
      <c r="B110" s="759" t="s">
        <v>1387</v>
      </c>
      <c r="C110" s="760" t="s">
        <v>145</v>
      </c>
      <c r="D110" s="760" t="s">
        <v>145</v>
      </c>
      <c r="E110" s="760" t="s">
        <v>144</v>
      </c>
      <c r="F110" s="760"/>
      <c r="G110" s="760">
        <v>0</v>
      </c>
      <c r="H110" s="760">
        <v>2</v>
      </c>
      <c r="I110" s="760"/>
      <c r="J110" s="760"/>
      <c r="K110" s="772">
        <v>155</v>
      </c>
      <c r="L110" s="772">
        <v>14</v>
      </c>
      <c r="M110" s="773">
        <v>2</v>
      </c>
      <c r="N110" s="758"/>
      <c r="O110" s="756"/>
      <c r="P110" s="763"/>
      <c r="Q110" s="763"/>
      <c r="R110" s="763"/>
      <c r="S110" s="763"/>
      <c r="T110" s="763"/>
    </row>
    <row r="111" ht="16.5" customHeight="1" spans="1:20">
      <c r="A111" s="758"/>
      <c r="B111" s="761" t="s">
        <v>1388</v>
      </c>
      <c r="C111" s="762" t="s">
        <v>189</v>
      </c>
      <c r="D111" s="762" t="s">
        <v>189</v>
      </c>
      <c r="E111" s="762" t="s">
        <v>188</v>
      </c>
      <c r="F111" s="762"/>
      <c r="G111" s="758">
        <v>0</v>
      </c>
      <c r="H111" s="758">
        <v>2</v>
      </c>
      <c r="I111" s="762"/>
      <c r="J111" s="762"/>
      <c r="K111" s="775">
        <v>55</v>
      </c>
      <c r="L111" s="775">
        <v>10</v>
      </c>
      <c r="M111" s="776">
        <v>2</v>
      </c>
      <c r="N111" s="758"/>
      <c r="O111" s="756"/>
      <c r="P111" s="763"/>
      <c r="Q111" s="763"/>
      <c r="R111" s="763"/>
      <c r="S111" s="763"/>
      <c r="T111" s="763"/>
    </row>
    <row r="112" ht="16.5" customHeight="1" spans="1:20">
      <c r="A112" s="758"/>
      <c r="B112" s="759" t="s">
        <v>1389</v>
      </c>
      <c r="C112" s="760" t="s">
        <v>161</v>
      </c>
      <c r="D112" s="760" t="s">
        <v>161</v>
      </c>
      <c r="E112" s="760" t="s">
        <v>160</v>
      </c>
      <c r="F112" s="760"/>
      <c r="G112" s="760">
        <v>0</v>
      </c>
      <c r="H112" s="760">
        <v>2</v>
      </c>
      <c r="I112" s="760"/>
      <c r="J112" s="760"/>
      <c r="K112" s="772">
        <v>115</v>
      </c>
      <c r="L112" s="772">
        <v>20</v>
      </c>
      <c r="M112" s="773">
        <v>2</v>
      </c>
      <c r="N112" s="758"/>
      <c r="O112" s="756"/>
      <c r="P112" s="763"/>
      <c r="Q112" s="763"/>
      <c r="R112" s="763"/>
      <c r="S112" s="763"/>
      <c r="T112" s="763"/>
    </row>
    <row r="113" ht="16.5" customHeight="1" spans="1:20">
      <c r="A113" s="763"/>
      <c r="B113" s="761" t="s">
        <v>1390</v>
      </c>
      <c r="C113" s="762" t="s">
        <v>353</v>
      </c>
      <c r="D113" s="762" t="s">
        <v>353</v>
      </c>
      <c r="E113" s="762" t="s">
        <v>352</v>
      </c>
      <c r="F113" s="762"/>
      <c r="G113" s="758">
        <v>0</v>
      </c>
      <c r="H113" s="758">
        <v>2</v>
      </c>
      <c r="I113" s="762"/>
      <c r="J113" s="762"/>
      <c r="K113" s="775">
        <v>355</v>
      </c>
      <c r="L113" s="775">
        <v>20</v>
      </c>
      <c r="M113" s="778">
        <v>2</v>
      </c>
      <c r="N113" s="763"/>
      <c r="O113" s="756"/>
      <c r="P113" s="763"/>
      <c r="Q113" s="763"/>
      <c r="R113" s="763"/>
      <c r="S113" s="763"/>
      <c r="T113" s="763"/>
    </row>
    <row r="114" ht="16.5" customHeight="1" spans="1:20">
      <c r="A114" s="763"/>
      <c r="B114" s="759" t="s">
        <v>1391</v>
      </c>
      <c r="C114" s="760" t="s">
        <v>1392</v>
      </c>
      <c r="D114" s="760" t="s">
        <v>1392</v>
      </c>
      <c r="E114" s="760" t="s">
        <v>1393</v>
      </c>
      <c r="F114" s="760"/>
      <c r="G114" s="760">
        <v>0</v>
      </c>
      <c r="H114" s="760">
        <v>2</v>
      </c>
      <c r="I114" s="760"/>
      <c r="J114" s="760"/>
      <c r="K114" s="772">
        <v>485</v>
      </c>
      <c r="L114" s="772">
        <v>20</v>
      </c>
      <c r="M114" s="777">
        <v>2</v>
      </c>
      <c r="N114" s="763"/>
      <c r="O114" s="756"/>
      <c r="P114" s="763"/>
      <c r="Q114" s="763"/>
      <c r="R114" s="763"/>
      <c r="S114" s="763"/>
      <c r="T114" s="763"/>
    </row>
    <row r="115" ht="16.5" customHeight="1" spans="1:20">
      <c r="A115" s="758"/>
      <c r="B115" s="761" t="s">
        <v>1394</v>
      </c>
      <c r="C115" s="762" t="s">
        <v>99</v>
      </c>
      <c r="D115" s="762" t="s">
        <v>99</v>
      </c>
      <c r="E115" s="762" t="s">
        <v>98</v>
      </c>
      <c r="F115" s="762"/>
      <c r="G115" s="758">
        <v>0</v>
      </c>
      <c r="H115" s="758">
        <v>2</v>
      </c>
      <c r="I115" s="762"/>
      <c r="J115" s="762"/>
      <c r="K115" s="775">
        <v>185</v>
      </c>
      <c r="L115" s="775">
        <v>14</v>
      </c>
      <c r="M115" s="776">
        <v>2</v>
      </c>
      <c r="N115" s="758"/>
      <c r="O115" s="756"/>
      <c r="P115" s="758"/>
      <c r="Q115" s="758"/>
      <c r="R115" s="758"/>
      <c r="S115" s="758"/>
      <c r="T115" s="758"/>
    </row>
    <row r="116" ht="16.5" customHeight="1" spans="1:20">
      <c r="A116" s="758"/>
      <c r="B116" s="759" t="s">
        <v>1395</v>
      </c>
      <c r="C116" s="760" t="s">
        <v>237</v>
      </c>
      <c r="D116" s="760" t="s">
        <v>237</v>
      </c>
      <c r="E116" s="760" t="s">
        <v>236</v>
      </c>
      <c r="F116" s="760"/>
      <c r="G116" s="760">
        <v>0</v>
      </c>
      <c r="H116" s="760">
        <v>2</v>
      </c>
      <c r="I116" s="760"/>
      <c r="J116" s="760"/>
      <c r="K116" s="772">
        <v>35</v>
      </c>
      <c r="L116" s="772">
        <v>6</v>
      </c>
      <c r="M116" s="773">
        <v>2</v>
      </c>
      <c r="N116" s="758"/>
      <c r="O116" s="756"/>
      <c r="P116" s="758"/>
      <c r="Q116" s="758"/>
      <c r="R116" s="758"/>
      <c r="S116" s="758"/>
      <c r="T116" s="758"/>
    </row>
    <row r="117" ht="16.5" customHeight="1" spans="1:20">
      <c r="A117" s="763"/>
      <c r="B117" s="761" t="s">
        <v>1396</v>
      </c>
      <c r="C117" s="762" t="s">
        <v>239</v>
      </c>
      <c r="D117" s="762" t="s">
        <v>239</v>
      </c>
      <c r="E117" s="762" t="s">
        <v>238</v>
      </c>
      <c r="F117" s="762"/>
      <c r="G117" s="758">
        <v>0</v>
      </c>
      <c r="H117" s="758">
        <v>2</v>
      </c>
      <c r="I117" s="762"/>
      <c r="J117" s="762"/>
      <c r="K117" s="775">
        <v>25</v>
      </c>
      <c r="L117" s="775">
        <v>13</v>
      </c>
      <c r="M117" s="778">
        <v>2</v>
      </c>
      <c r="N117" s="763"/>
      <c r="O117" s="756"/>
      <c r="P117" s="758"/>
      <c r="Q117" s="758"/>
      <c r="R117" s="758"/>
      <c r="S117" s="758"/>
      <c r="T117" s="758"/>
    </row>
    <row r="118" ht="16.5" customHeight="1" spans="1:20">
      <c r="A118" s="758"/>
      <c r="B118" s="759" t="s">
        <v>1397</v>
      </c>
      <c r="C118" s="760" t="s">
        <v>57</v>
      </c>
      <c r="D118" s="760" t="s">
        <v>57</v>
      </c>
      <c r="E118" s="760" t="s">
        <v>56</v>
      </c>
      <c r="F118" s="760"/>
      <c r="G118" s="760">
        <v>0</v>
      </c>
      <c r="H118" s="760">
        <v>2</v>
      </c>
      <c r="I118" s="760"/>
      <c r="J118" s="760"/>
      <c r="K118" s="772">
        <v>75</v>
      </c>
      <c r="L118" s="772">
        <v>12</v>
      </c>
      <c r="M118" s="773">
        <v>2</v>
      </c>
      <c r="N118" s="758"/>
      <c r="O118" s="756"/>
      <c r="P118" s="763"/>
      <c r="Q118" s="763"/>
      <c r="R118" s="763"/>
      <c r="S118" s="763"/>
      <c r="T118" s="763"/>
    </row>
    <row r="119" ht="16.5" customHeight="1" spans="1:20">
      <c r="A119" s="758"/>
      <c r="B119" s="761" t="s">
        <v>1398</v>
      </c>
      <c r="C119" s="762" t="s">
        <v>1399</v>
      </c>
      <c r="D119" s="762" t="s">
        <v>1399</v>
      </c>
      <c r="E119" s="762" t="s">
        <v>146</v>
      </c>
      <c r="F119" s="762"/>
      <c r="G119" s="758">
        <v>0</v>
      </c>
      <c r="H119" s="758">
        <v>2</v>
      </c>
      <c r="I119" s="762"/>
      <c r="J119" s="762"/>
      <c r="K119" s="775">
        <v>175</v>
      </c>
      <c r="L119" s="775">
        <v>13</v>
      </c>
      <c r="M119" s="776">
        <v>2</v>
      </c>
      <c r="N119" s="758"/>
      <c r="O119" s="756"/>
      <c r="P119" s="763"/>
      <c r="Q119" s="763"/>
      <c r="R119" s="763"/>
      <c r="S119" s="763"/>
      <c r="T119" s="763"/>
    </row>
    <row r="120" ht="16.5" customHeight="1" spans="1:20">
      <c r="A120" s="763"/>
      <c r="B120" s="759" t="s">
        <v>1400</v>
      </c>
      <c r="C120" s="760" t="s">
        <v>411</v>
      </c>
      <c r="D120" s="760" t="s">
        <v>411</v>
      </c>
      <c r="E120" s="760" t="s">
        <v>410</v>
      </c>
      <c r="F120" s="760"/>
      <c r="G120" s="760">
        <v>0</v>
      </c>
      <c r="H120" s="760">
        <v>2</v>
      </c>
      <c r="I120" s="760"/>
      <c r="J120" s="760"/>
      <c r="K120" s="772">
        <v>265</v>
      </c>
      <c r="L120" s="772">
        <v>20</v>
      </c>
      <c r="M120" s="777">
        <v>2</v>
      </c>
      <c r="N120" s="763"/>
      <c r="O120" s="756"/>
      <c r="P120" s="758"/>
      <c r="Q120" s="758"/>
      <c r="R120" s="758"/>
      <c r="S120" s="758"/>
      <c r="T120" s="758"/>
    </row>
    <row r="121" ht="16.5" customHeight="1" spans="1:20">
      <c r="A121" s="763"/>
      <c r="B121" s="761" t="s">
        <v>1401</v>
      </c>
      <c r="C121" s="762" t="s">
        <v>413</v>
      </c>
      <c r="D121" s="762" t="s">
        <v>413</v>
      </c>
      <c r="E121" s="762" t="s">
        <v>412</v>
      </c>
      <c r="F121" s="762"/>
      <c r="G121" s="758">
        <v>0</v>
      </c>
      <c r="H121" s="758">
        <v>2</v>
      </c>
      <c r="I121" s="762"/>
      <c r="J121" s="762"/>
      <c r="K121" s="775">
        <v>185</v>
      </c>
      <c r="L121" s="775">
        <v>20</v>
      </c>
      <c r="M121" s="778">
        <v>2</v>
      </c>
      <c r="N121" s="763"/>
      <c r="O121" s="756"/>
      <c r="P121" s="758"/>
      <c r="Q121" s="758"/>
      <c r="R121" s="758"/>
      <c r="S121" s="758"/>
      <c r="T121" s="758"/>
    </row>
    <row r="122" ht="16.5" customHeight="1" spans="1:20">
      <c r="A122" s="758"/>
      <c r="B122" s="759" t="s">
        <v>1402</v>
      </c>
      <c r="C122" s="760" t="s">
        <v>431</v>
      </c>
      <c r="D122" s="760" t="s">
        <v>431</v>
      </c>
      <c r="E122" s="760" t="s">
        <v>430</v>
      </c>
      <c r="F122" s="760"/>
      <c r="G122" s="760">
        <v>0</v>
      </c>
      <c r="H122" s="760">
        <v>2</v>
      </c>
      <c r="I122" s="760"/>
      <c r="J122" s="760"/>
      <c r="K122" s="772">
        <v>185</v>
      </c>
      <c r="L122" s="772">
        <v>20</v>
      </c>
      <c r="M122" s="773">
        <v>2</v>
      </c>
      <c r="N122" s="758"/>
      <c r="O122" s="756"/>
      <c r="P122" s="758"/>
      <c r="Q122" s="758"/>
      <c r="R122" s="758"/>
      <c r="S122" s="758"/>
      <c r="T122" s="758"/>
    </row>
    <row r="123" ht="16.5" customHeight="1" spans="1:20">
      <c r="A123" s="758"/>
      <c r="B123" s="761" t="s">
        <v>1403</v>
      </c>
      <c r="C123" s="762" t="s">
        <v>415</v>
      </c>
      <c r="D123" s="762" t="s">
        <v>415</v>
      </c>
      <c r="E123" s="762" t="s">
        <v>414</v>
      </c>
      <c r="F123" s="762"/>
      <c r="G123" s="758">
        <v>0</v>
      </c>
      <c r="H123" s="758">
        <v>2</v>
      </c>
      <c r="I123" s="762"/>
      <c r="J123" s="762"/>
      <c r="K123" s="775">
        <v>455</v>
      </c>
      <c r="L123" s="775">
        <v>20</v>
      </c>
      <c r="M123" s="778">
        <v>2</v>
      </c>
      <c r="N123" s="763"/>
      <c r="O123" s="756"/>
      <c r="P123" s="758"/>
      <c r="Q123" s="758"/>
      <c r="R123" s="758"/>
      <c r="S123" s="758"/>
      <c r="T123" s="758"/>
    </row>
    <row r="124" ht="16.5" customHeight="1" spans="1:20">
      <c r="A124" s="758"/>
      <c r="B124" s="759" t="s">
        <v>1404</v>
      </c>
      <c r="C124" s="760" t="s">
        <v>59</v>
      </c>
      <c r="D124" s="760" t="s">
        <v>59</v>
      </c>
      <c r="E124" s="760" t="s">
        <v>58</v>
      </c>
      <c r="F124" s="760"/>
      <c r="G124" s="760">
        <v>0</v>
      </c>
      <c r="H124" s="760">
        <v>2</v>
      </c>
      <c r="I124" s="760"/>
      <c r="J124" s="760"/>
      <c r="K124" s="772">
        <v>75</v>
      </c>
      <c r="L124" s="772">
        <v>12</v>
      </c>
      <c r="M124" s="773">
        <v>2</v>
      </c>
      <c r="N124" s="758"/>
      <c r="O124" s="756"/>
      <c r="P124" s="763"/>
      <c r="Q124" s="763"/>
      <c r="R124" s="763"/>
      <c r="S124" s="763"/>
      <c r="T124" s="763"/>
    </row>
    <row r="125" ht="16.5" customHeight="1" spans="1:20">
      <c r="A125" s="758"/>
      <c r="B125" s="761" t="s">
        <v>1405</v>
      </c>
      <c r="C125" s="762" t="s">
        <v>41</v>
      </c>
      <c r="D125" s="762" t="s">
        <v>41</v>
      </c>
      <c r="E125" s="762" t="s">
        <v>40</v>
      </c>
      <c r="F125" s="762"/>
      <c r="G125" s="758">
        <v>0</v>
      </c>
      <c r="H125" s="758">
        <v>2</v>
      </c>
      <c r="I125" s="762"/>
      <c r="J125" s="762"/>
      <c r="K125" s="775">
        <v>75</v>
      </c>
      <c r="L125" s="775">
        <v>28</v>
      </c>
      <c r="M125" s="776">
        <v>2</v>
      </c>
      <c r="N125" s="758"/>
      <c r="O125" s="756"/>
      <c r="P125" s="758"/>
      <c r="Q125" s="758"/>
      <c r="R125" s="758"/>
      <c r="S125" s="758"/>
      <c r="T125" s="758"/>
    </row>
    <row r="126" ht="16.5" customHeight="1" spans="1:20">
      <c r="A126" s="758"/>
      <c r="B126" s="759" t="s">
        <v>1406</v>
      </c>
      <c r="C126" s="760" t="s">
        <v>1407</v>
      </c>
      <c r="D126" s="760" t="s">
        <v>1407</v>
      </c>
      <c r="E126" s="760" t="s">
        <v>1408</v>
      </c>
      <c r="F126" s="760"/>
      <c r="G126" s="760">
        <v>0</v>
      </c>
      <c r="H126" s="760">
        <v>2</v>
      </c>
      <c r="I126" s="760"/>
      <c r="J126" s="760"/>
      <c r="K126" s="772">
        <v>35</v>
      </c>
      <c r="L126" s="772">
        <v>20</v>
      </c>
      <c r="M126" s="777">
        <v>2</v>
      </c>
      <c r="N126" s="763"/>
      <c r="O126" s="756"/>
      <c r="P126" s="758"/>
      <c r="Q126" s="758"/>
      <c r="R126" s="758"/>
      <c r="S126" s="758"/>
      <c r="T126" s="758"/>
    </row>
    <row r="127" ht="16.5" customHeight="1" spans="1:20">
      <c r="A127" s="758"/>
      <c r="B127" s="761" t="s">
        <v>1409</v>
      </c>
      <c r="C127" s="762" t="s">
        <v>315</v>
      </c>
      <c r="D127" s="762" t="s">
        <v>315</v>
      </c>
      <c r="E127" s="762" t="s">
        <v>1410</v>
      </c>
      <c r="F127" s="762"/>
      <c r="G127" s="758">
        <v>0</v>
      </c>
      <c r="H127" s="758">
        <v>2</v>
      </c>
      <c r="I127" s="762"/>
      <c r="J127" s="762"/>
      <c r="K127" s="775">
        <v>105</v>
      </c>
      <c r="L127" s="775">
        <v>17</v>
      </c>
      <c r="M127" s="776">
        <v>2</v>
      </c>
      <c r="N127" s="758"/>
      <c r="O127" s="756"/>
      <c r="P127" s="758"/>
      <c r="Q127" s="758"/>
      <c r="R127" s="758"/>
      <c r="S127" s="758"/>
      <c r="T127" s="758"/>
    </row>
    <row r="128" ht="16.5" customHeight="1" spans="1:20">
      <c r="A128" s="758"/>
      <c r="B128" s="759" t="s">
        <v>1411</v>
      </c>
      <c r="C128" s="760" t="s">
        <v>241</v>
      </c>
      <c r="D128" s="760" t="s">
        <v>241</v>
      </c>
      <c r="E128" s="760" t="s">
        <v>240</v>
      </c>
      <c r="F128" s="760"/>
      <c r="G128" s="760">
        <v>0</v>
      </c>
      <c r="H128" s="760">
        <v>2</v>
      </c>
      <c r="I128" s="760"/>
      <c r="J128" s="760"/>
      <c r="K128" s="772">
        <v>185</v>
      </c>
      <c r="L128" s="772">
        <v>20</v>
      </c>
      <c r="M128" s="777">
        <v>2</v>
      </c>
      <c r="N128" s="763"/>
      <c r="O128" s="756"/>
      <c r="P128" s="758"/>
      <c r="Q128" s="758"/>
      <c r="R128" s="758"/>
      <c r="S128" s="758"/>
      <c r="T128" s="758"/>
    </row>
    <row r="129" ht="16.5" customHeight="1" spans="1:20">
      <c r="A129" s="758"/>
      <c r="B129" s="761" t="s">
        <v>1412</v>
      </c>
      <c r="C129" s="762" t="s">
        <v>317</v>
      </c>
      <c r="D129" s="762" t="s">
        <v>317</v>
      </c>
      <c r="E129" s="762" t="s">
        <v>316</v>
      </c>
      <c r="F129" s="762"/>
      <c r="G129" s="758">
        <v>0</v>
      </c>
      <c r="H129" s="758">
        <v>2</v>
      </c>
      <c r="I129" s="762"/>
      <c r="J129" s="762"/>
      <c r="K129" s="775">
        <v>195</v>
      </c>
      <c r="L129" s="775">
        <v>15</v>
      </c>
      <c r="M129" s="778">
        <v>2</v>
      </c>
      <c r="N129" s="763"/>
      <c r="O129" s="756"/>
      <c r="P129" s="758"/>
      <c r="Q129" s="758"/>
      <c r="R129" s="758"/>
      <c r="S129" s="758"/>
      <c r="T129" s="758"/>
    </row>
    <row r="130" ht="16.5" customHeight="1" spans="1:20">
      <c r="A130" s="758"/>
      <c r="B130" s="759" t="s">
        <v>1413</v>
      </c>
      <c r="C130" s="760" t="s">
        <v>135</v>
      </c>
      <c r="D130" s="760" t="s">
        <v>135</v>
      </c>
      <c r="E130" s="760" t="s">
        <v>134</v>
      </c>
      <c r="F130" s="760"/>
      <c r="G130" s="760">
        <v>0</v>
      </c>
      <c r="H130" s="760">
        <v>2</v>
      </c>
      <c r="I130" s="760"/>
      <c r="J130" s="760"/>
      <c r="K130" s="772">
        <v>35</v>
      </c>
      <c r="L130" s="772">
        <v>10</v>
      </c>
      <c r="M130" s="773">
        <v>2</v>
      </c>
      <c r="N130" s="758"/>
      <c r="O130" s="756"/>
      <c r="P130" s="758"/>
      <c r="Q130" s="758"/>
      <c r="R130" s="758"/>
      <c r="S130" s="763"/>
      <c r="T130" s="763"/>
    </row>
    <row r="131" ht="16.5" customHeight="1" spans="1:20">
      <c r="A131" s="758"/>
      <c r="B131" s="761" t="s">
        <v>1414</v>
      </c>
      <c r="C131" s="762" t="s">
        <v>243</v>
      </c>
      <c r="D131" s="762" t="s">
        <v>243</v>
      </c>
      <c r="E131" s="762" t="s">
        <v>242</v>
      </c>
      <c r="F131" s="762"/>
      <c r="G131" s="758">
        <v>0</v>
      </c>
      <c r="H131" s="758">
        <v>2</v>
      </c>
      <c r="I131" s="762"/>
      <c r="J131" s="762"/>
      <c r="K131" s="775">
        <v>105</v>
      </c>
      <c r="L131" s="775">
        <v>10</v>
      </c>
      <c r="M131" s="776">
        <v>2</v>
      </c>
      <c r="N131" s="758"/>
      <c r="O131" s="756"/>
      <c r="P131" s="32"/>
      <c r="Q131" s="32"/>
      <c r="R131" s="32"/>
      <c r="S131" s="763"/>
      <c r="T131" s="763"/>
    </row>
    <row r="132" ht="16.5" customHeight="1" spans="1:20">
      <c r="A132" s="763"/>
      <c r="B132" s="759" t="s">
        <v>1415</v>
      </c>
      <c r="C132" s="760" t="s">
        <v>245</v>
      </c>
      <c r="D132" s="760" t="s">
        <v>245</v>
      </c>
      <c r="E132" s="760" t="s">
        <v>244</v>
      </c>
      <c r="F132" s="760"/>
      <c r="G132" s="760">
        <v>0</v>
      </c>
      <c r="H132" s="760">
        <v>2</v>
      </c>
      <c r="I132" s="760"/>
      <c r="J132" s="760"/>
      <c r="K132" s="772">
        <v>175</v>
      </c>
      <c r="L132" s="772">
        <v>20</v>
      </c>
      <c r="M132" s="777">
        <v>2</v>
      </c>
      <c r="N132" s="763"/>
      <c r="O132" s="756"/>
      <c r="P132" s="758"/>
      <c r="Q132" s="758"/>
      <c r="R132" s="758"/>
      <c r="S132" s="758"/>
      <c r="T132" s="758"/>
    </row>
    <row r="133" ht="16.5" customHeight="1" spans="1:20">
      <c r="A133" s="758"/>
      <c r="B133" s="761" t="s">
        <v>1416</v>
      </c>
      <c r="C133" s="762" t="s">
        <v>1048</v>
      </c>
      <c r="D133" s="762" t="s">
        <v>1048</v>
      </c>
      <c r="E133" s="762" t="s">
        <v>142</v>
      </c>
      <c r="F133" s="762"/>
      <c r="G133" s="758">
        <v>0</v>
      </c>
      <c r="H133" s="758">
        <v>2</v>
      </c>
      <c r="I133" s="762"/>
      <c r="J133" s="762"/>
      <c r="K133" s="775">
        <v>215</v>
      </c>
      <c r="L133" s="775">
        <v>15</v>
      </c>
      <c r="M133" s="776">
        <v>2</v>
      </c>
      <c r="N133" s="758"/>
      <c r="O133" s="756"/>
      <c r="P133" s="758"/>
      <c r="Q133" s="758"/>
      <c r="R133" s="758"/>
      <c r="S133" s="758"/>
      <c r="T133" s="758"/>
    </row>
    <row r="134" ht="16.5" customHeight="1" spans="1:20">
      <c r="A134" s="758"/>
      <c r="B134" s="759" t="s">
        <v>1417</v>
      </c>
      <c r="C134" s="760" t="s">
        <v>447</v>
      </c>
      <c r="D134" s="760" t="s">
        <v>447</v>
      </c>
      <c r="E134" s="760" t="s">
        <v>446</v>
      </c>
      <c r="F134" s="760"/>
      <c r="G134" s="760">
        <v>0</v>
      </c>
      <c r="H134" s="760">
        <v>2</v>
      </c>
      <c r="I134" s="760"/>
      <c r="J134" s="760"/>
      <c r="K134" s="772">
        <v>805</v>
      </c>
      <c r="L134" s="772">
        <v>20</v>
      </c>
      <c r="M134" s="777">
        <v>2</v>
      </c>
      <c r="N134" s="763"/>
      <c r="O134" s="756"/>
      <c r="P134" s="758"/>
      <c r="Q134" s="758"/>
      <c r="R134" s="758"/>
      <c r="S134" s="758"/>
      <c r="T134" s="758"/>
    </row>
    <row r="135" ht="16.5" customHeight="1" spans="1:20">
      <c r="A135" s="758"/>
      <c r="B135" s="761" t="s">
        <v>1418</v>
      </c>
      <c r="C135" s="762" t="s">
        <v>449</v>
      </c>
      <c r="D135" s="762" t="s">
        <v>449</v>
      </c>
      <c r="E135" s="762" t="s">
        <v>1419</v>
      </c>
      <c r="F135" s="762"/>
      <c r="G135" s="758">
        <v>0</v>
      </c>
      <c r="H135" s="758">
        <v>2</v>
      </c>
      <c r="I135" s="762"/>
      <c r="J135" s="762"/>
      <c r="K135" s="775">
        <v>485</v>
      </c>
      <c r="L135" s="775">
        <v>20</v>
      </c>
      <c r="M135" s="778">
        <v>2</v>
      </c>
      <c r="N135" s="763"/>
      <c r="O135" s="756"/>
      <c r="P135" s="758"/>
      <c r="Q135" s="758"/>
      <c r="R135" s="758"/>
      <c r="S135" s="758"/>
      <c r="T135" s="758"/>
    </row>
    <row r="136" ht="16.5" customHeight="1" spans="1:20">
      <c r="A136" s="758"/>
      <c r="B136" s="759" t="s">
        <v>1420</v>
      </c>
      <c r="C136" s="760" t="s">
        <v>119</v>
      </c>
      <c r="D136" s="760" t="s">
        <v>119</v>
      </c>
      <c r="E136" s="760" t="s">
        <v>118</v>
      </c>
      <c r="F136" s="760"/>
      <c r="G136" s="760">
        <v>0</v>
      </c>
      <c r="H136" s="760">
        <v>2</v>
      </c>
      <c r="I136" s="760"/>
      <c r="J136" s="760"/>
      <c r="K136" s="772">
        <v>145</v>
      </c>
      <c r="L136" s="772">
        <v>13</v>
      </c>
      <c r="M136" s="773">
        <v>2</v>
      </c>
      <c r="N136" s="758"/>
      <c r="O136" s="756"/>
      <c r="P136" s="763"/>
      <c r="Q136" s="763"/>
      <c r="R136" s="763"/>
      <c r="S136" s="763"/>
      <c r="T136" s="763"/>
    </row>
    <row r="137" ht="16.5" customHeight="1" spans="1:20">
      <c r="A137" s="758"/>
      <c r="B137" s="761" t="s">
        <v>1421</v>
      </c>
      <c r="C137" s="762" t="s">
        <v>95</v>
      </c>
      <c r="D137" s="762" t="s">
        <v>95</v>
      </c>
      <c r="E137" s="762" t="s">
        <v>94</v>
      </c>
      <c r="F137" s="762"/>
      <c r="G137" s="758">
        <v>0</v>
      </c>
      <c r="H137" s="758">
        <v>2</v>
      </c>
      <c r="I137" s="762"/>
      <c r="J137" s="762"/>
      <c r="K137" s="775">
        <v>125</v>
      </c>
      <c r="L137" s="775">
        <v>8</v>
      </c>
      <c r="M137" s="776">
        <v>2</v>
      </c>
      <c r="N137" s="758"/>
      <c r="O137" s="756"/>
      <c r="P137" s="763"/>
      <c r="Q137" s="763"/>
      <c r="R137" s="763"/>
      <c r="S137" s="763"/>
      <c r="T137" s="763"/>
    </row>
    <row r="138" ht="16.5" customHeight="1" spans="1:20">
      <c r="A138" s="758"/>
      <c r="B138" s="759" t="s">
        <v>1422</v>
      </c>
      <c r="C138" s="760" t="s">
        <v>249</v>
      </c>
      <c r="D138" s="760" t="s">
        <v>249</v>
      </c>
      <c r="E138" s="760" t="s">
        <v>248</v>
      </c>
      <c r="F138" s="760"/>
      <c r="G138" s="760">
        <v>0</v>
      </c>
      <c r="H138" s="760">
        <v>2</v>
      </c>
      <c r="I138" s="760"/>
      <c r="J138" s="760"/>
      <c r="K138" s="772">
        <v>135</v>
      </c>
      <c r="L138" s="772">
        <v>7</v>
      </c>
      <c r="M138" s="773">
        <v>2</v>
      </c>
      <c r="N138" s="758"/>
      <c r="O138" s="756"/>
      <c r="P138" s="763"/>
      <c r="Q138" s="763"/>
      <c r="R138" s="763"/>
      <c r="S138" s="763"/>
      <c r="T138" s="763"/>
    </row>
    <row r="139" ht="16.5" customHeight="1" spans="1:20">
      <c r="A139" s="763"/>
      <c r="B139" s="761" t="s">
        <v>1423</v>
      </c>
      <c r="C139" s="762" t="s">
        <v>417</v>
      </c>
      <c r="D139" s="762" t="s">
        <v>417</v>
      </c>
      <c r="E139" s="762" t="s">
        <v>416</v>
      </c>
      <c r="F139" s="762"/>
      <c r="G139" s="758">
        <v>0</v>
      </c>
      <c r="H139" s="758">
        <v>2</v>
      </c>
      <c r="I139" s="762"/>
      <c r="J139" s="762"/>
      <c r="K139" s="775">
        <v>295</v>
      </c>
      <c r="L139" s="775">
        <v>20</v>
      </c>
      <c r="M139" s="778">
        <v>2</v>
      </c>
      <c r="N139" s="763"/>
      <c r="O139" s="756"/>
      <c r="P139" s="763"/>
      <c r="Q139" s="763"/>
      <c r="R139" s="763"/>
      <c r="S139" s="763"/>
      <c r="T139" s="763"/>
    </row>
    <row r="140" ht="16.5" customHeight="1" spans="1:20">
      <c r="A140" s="763"/>
      <c r="B140" s="759" t="s">
        <v>1424</v>
      </c>
      <c r="C140" s="760" t="s">
        <v>251</v>
      </c>
      <c r="D140" s="760" t="s">
        <v>251</v>
      </c>
      <c r="E140" s="760" t="s">
        <v>250</v>
      </c>
      <c r="F140" s="760"/>
      <c r="G140" s="760">
        <v>0</v>
      </c>
      <c r="H140" s="760">
        <v>2</v>
      </c>
      <c r="I140" s="760"/>
      <c r="J140" s="760"/>
      <c r="K140" s="772">
        <v>255</v>
      </c>
      <c r="L140" s="772">
        <v>20</v>
      </c>
      <c r="M140" s="777">
        <v>2</v>
      </c>
      <c r="N140" s="763"/>
      <c r="O140" s="756"/>
      <c r="P140" s="763"/>
      <c r="Q140" s="763"/>
      <c r="R140" s="763"/>
      <c r="S140" s="763"/>
      <c r="T140" s="763"/>
    </row>
    <row r="141" ht="16.5" customHeight="1" spans="1:20">
      <c r="A141" s="758"/>
      <c r="B141" s="761" t="s">
        <v>1425</v>
      </c>
      <c r="C141" s="762" t="s">
        <v>313</v>
      </c>
      <c r="D141" s="762" t="s">
        <v>313</v>
      </c>
      <c r="E141" s="762" t="s">
        <v>312</v>
      </c>
      <c r="F141" s="762"/>
      <c r="G141" s="758">
        <v>0</v>
      </c>
      <c r="H141" s="758">
        <v>2</v>
      </c>
      <c r="I141" s="762"/>
      <c r="J141" s="762"/>
      <c r="K141" s="775">
        <v>95</v>
      </c>
      <c r="L141" s="775">
        <v>16</v>
      </c>
      <c r="M141" s="776">
        <v>2</v>
      </c>
      <c r="N141" s="758"/>
      <c r="O141" s="756"/>
      <c r="P141" s="763"/>
      <c r="Q141" s="763"/>
      <c r="R141" s="763"/>
      <c r="S141" s="763"/>
      <c r="T141" s="763"/>
    </row>
    <row r="142" ht="16.5" customHeight="1" spans="1:20">
      <c r="A142" s="763"/>
      <c r="B142" s="760" t="s">
        <v>1426</v>
      </c>
      <c r="C142" s="760" t="s">
        <v>1427</v>
      </c>
      <c r="D142" s="760" t="s">
        <v>1427</v>
      </c>
      <c r="E142" s="760" t="s">
        <v>1428</v>
      </c>
      <c r="F142" s="760"/>
      <c r="G142" s="760">
        <v>0</v>
      </c>
      <c r="H142" s="760">
        <v>2</v>
      </c>
      <c r="I142" s="760"/>
      <c r="J142" s="760"/>
      <c r="K142" s="772">
        <v>485</v>
      </c>
      <c r="L142" s="772">
        <v>20</v>
      </c>
      <c r="M142" s="777">
        <v>2</v>
      </c>
      <c r="N142" s="763"/>
      <c r="O142" s="756"/>
      <c r="P142" s="763"/>
      <c r="Q142" s="763"/>
      <c r="R142" s="763"/>
      <c r="S142" s="763"/>
      <c r="T142" s="763"/>
    </row>
    <row r="143" ht="16.5" customHeight="1" spans="1:20">
      <c r="A143" s="758"/>
      <c r="B143" s="761" t="s">
        <v>1429</v>
      </c>
      <c r="C143" s="762" t="s">
        <v>129</v>
      </c>
      <c r="D143" s="762" t="s">
        <v>129</v>
      </c>
      <c r="E143" s="762" t="s">
        <v>128</v>
      </c>
      <c r="F143" s="762"/>
      <c r="G143" s="758">
        <v>0</v>
      </c>
      <c r="H143" s="758">
        <v>2</v>
      </c>
      <c r="I143" s="762"/>
      <c r="J143" s="762"/>
      <c r="K143" s="775">
        <v>95</v>
      </c>
      <c r="L143" s="775">
        <v>10</v>
      </c>
      <c r="M143" s="776">
        <v>2</v>
      </c>
      <c r="N143" s="758"/>
      <c r="O143" s="756"/>
      <c r="P143" s="763"/>
      <c r="Q143" s="763"/>
      <c r="R143" s="763"/>
      <c r="S143" s="763"/>
      <c r="T143" s="763"/>
    </row>
    <row r="144" ht="16.5" customHeight="1" spans="1:20">
      <c r="A144" s="758"/>
      <c r="B144" s="759" t="s">
        <v>1430</v>
      </c>
      <c r="C144" s="760" t="s">
        <v>115</v>
      </c>
      <c r="D144" s="760" t="s">
        <v>115</v>
      </c>
      <c r="E144" s="760" t="s">
        <v>114</v>
      </c>
      <c r="F144" s="760"/>
      <c r="G144" s="760">
        <v>0</v>
      </c>
      <c r="H144" s="760">
        <v>2</v>
      </c>
      <c r="I144" s="760"/>
      <c r="J144" s="760"/>
      <c r="K144" s="772">
        <v>215</v>
      </c>
      <c r="L144" s="772">
        <v>15</v>
      </c>
      <c r="M144" s="773">
        <v>2</v>
      </c>
      <c r="N144" s="758"/>
      <c r="O144" s="756"/>
      <c r="P144" s="763"/>
      <c r="Q144" s="763"/>
      <c r="R144" s="763"/>
      <c r="S144" s="763"/>
      <c r="T144" s="763"/>
    </row>
    <row r="145" ht="16.5" customHeight="1" spans="1:20">
      <c r="A145" s="758"/>
      <c r="B145" s="761" t="s">
        <v>1431</v>
      </c>
      <c r="C145" s="762" t="s">
        <v>125</v>
      </c>
      <c r="D145" s="762" t="s">
        <v>125</v>
      </c>
      <c r="E145" s="762" t="s">
        <v>124</v>
      </c>
      <c r="F145" s="762"/>
      <c r="G145" s="758">
        <v>0</v>
      </c>
      <c r="H145" s="758">
        <v>2</v>
      </c>
      <c r="I145" s="762"/>
      <c r="J145" s="762"/>
      <c r="K145" s="775">
        <v>75</v>
      </c>
      <c r="L145" s="775">
        <v>14</v>
      </c>
      <c r="M145" s="776">
        <v>2</v>
      </c>
      <c r="N145" s="758"/>
      <c r="O145" s="756"/>
      <c r="P145" s="763"/>
      <c r="Q145" s="763"/>
      <c r="R145" s="763"/>
      <c r="S145" s="763"/>
      <c r="T145" s="763"/>
    </row>
    <row r="146" ht="16.5" customHeight="1" spans="1:20">
      <c r="A146" s="758"/>
      <c r="B146" s="759" t="s">
        <v>1432</v>
      </c>
      <c r="C146" s="760" t="s">
        <v>357</v>
      </c>
      <c r="D146" s="760" t="s">
        <v>357</v>
      </c>
      <c r="E146" s="760" t="s">
        <v>356</v>
      </c>
      <c r="F146" s="760"/>
      <c r="G146" s="760">
        <v>0</v>
      </c>
      <c r="H146" s="760">
        <v>2</v>
      </c>
      <c r="I146" s="760"/>
      <c r="J146" s="760"/>
      <c r="K146" s="772">
        <v>195</v>
      </c>
      <c r="L146" s="772">
        <v>20</v>
      </c>
      <c r="M146" s="777">
        <v>2</v>
      </c>
      <c r="N146" s="758"/>
      <c r="O146" s="756"/>
      <c r="P146" s="763"/>
      <c r="Q146" s="763"/>
      <c r="R146" s="763"/>
      <c r="S146" s="763"/>
      <c r="T146" s="763"/>
    </row>
    <row r="147" ht="16.5" customHeight="1" spans="1:20">
      <c r="A147" s="763"/>
      <c r="B147" s="762" t="s">
        <v>1433</v>
      </c>
      <c r="C147" s="762" t="s">
        <v>359</v>
      </c>
      <c r="D147" s="762" t="s">
        <v>359</v>
      </c>
      <c r="E147" s="762" t="s">
        <v>358</v>
      </c>
      <c r="F147" s="762"/>
      <c r="G147" s="758">
        <v>0</v>
      </c>
      <c r="H147" s="758">
        <v>2</v>
      </c>
      <c r="I147" s="762"/>
      <c r="J147" s="762"/>
      <c r="K147" s="775">
        <v>485</v>
      </c>
      <c r="L147" s="775">
        <v>20</v>
      </c>
      <c r="M147" s="778">
        <v>2</v>
      </c>
      <c r="N147" s="763"/>
      <c r="O147" s="756"/>
      <c r="P147" s="763"/>
      <c r="Q147" s="763"/>
      <c r="R147" s="763"/>
      <c r="S147" s="763"/>
      <c r="T147" s="763"/>
    </row>
    <row r="148" ht="16.5" customHeight="1" spans="1:20">
      <c r="A148" s="758"/>
      <c r="B148" s="759" t="s">
        <v>1434</v>
      </c>
      <c r="C148" s="760" t="s">
        <v>253</v>
      </c>
      <c r="D148" s="760" t="s">
        <v>253</v>
      </c>
      <c r="E148" s="760" t="s">
        <v>252</v>
      </c>
      <c r="F148" s="760"/>
      <c r="G148" s="760">
        <v>0</v>
      </c>
      <c r="H148" s="760">
        <v>2</v>
      </c>
      <c r="I148" s="760"/>
      <c r="J148" s="760"/>
      <c r="K148" s="772">
        <v>175</v>
      </c>
      <c r="L148" s="772">
        <v>14</v>
      </c>
      <c r="M148" s="773">
        <v>2</v>
      </c>
      <c r="N148" s="758"/>
      <c r="O148" s="756"/>
      <c r="P148" s="763"/>
      <c r="Q148" s="763"/>
      <c r="R148" s="763"/>
      <c r="S148" s="763"/>
      <c r="T148" s="763"/>
    </row>
    <row r="149" ht="16.5" customHeight="1" spans="1:20">
      <c r="A149" s="758"/>
      <c r="B149" s="761" t="s">
        <v>1435</v>
      </c>
      <c r="C149" s="762" t="s">
        <v>93</v>
      </c>
      <c r="D149" s="762" t="s">
        <v>93</v>
      </c>
      <c r="E149" s="762" t="s">
        <v>92</v>
      </c>
      <c r="F149" s="762"/>
      <c r="G149" s="758">
        <v>0</v>
      </c>
      <c r="H149" s="758">
        <v>2</v>
      </c>
      <c r="I149" s="762"/>
      <c r="J149" s="762"/>
      <c r="K149" s="775">
        <v>185</v>
      </c>
      <c r="L149" s="775">
        <v>6</v>
      </c>
      <c r="M149" s="776">
        <v>2</v>
      </c>
      <c r="N149" s="758"/>
      <c r="O149" s="756"/>
      <c r="P149" s="758"/>
      <c r="Q149" s="758"/>
      <c r="R149" s="758"/>
      <c r="S149" s="763"/>
      <c r="T149" s="763"/>
    </row>
    <row r="150" ht="16.5" customHeight="1" spans="1:20">
      <c r="A150" s="763"/>
      <c r="B150" s="759" t="s">
        <v>1436</v>
      </c>
      <c r="C150" s="760" t="s">
        <v>419</v>
      </c>
      <c r="D150" s="760" t="s">
        <v>419</v>
      </c>
      <c r="E150" s="760" t="s">
        <v>418</v>
      </c>
      <c r="F150" s="760"/>
      <c r="G150" s="760">
        <v>0</v>
      </c>
      <c r="H150" s="760">
        <v>2</v>
      </c>
      <c r="I150" s="760"/>
      <c r="J150" s="760"/>
      <c r="K150" s="772">
        <v>265</v>
      </c>
      <c r="L150" s="772">
        <v>20</v>
      </c>
      <c r="M150" s="777">
        <v>2</v>
      </c>
      <c r="N150" s="763"/>
      <c r="O150" s="756"/>
      <c r="P150" s="763"/>
      <c r="Q150" s="763"/>
      <c r="R150" s="763"/>
      <c r="S150" s="763"/>
      <c r="T150" s="763"/>
    </row>
    <row r="151" ht="16.5" customHeight="1" spans="1:20">
      <c r="A151" s="758"/>
      <c r="B151" s="761" t="s">
        <v>1437</v>
      </c>
      <c r="C151" s="762" t="s">
        <v>85</v>
      </c>
      <c r="D151" s="762" t="s">
        <v>85</v>
      </c>
      <c r="E151" s="762" t="s">
        <v>84</v>
      </c>
      <c r="F151" s="762"/>
      <c r="G151" s="758">
        <v>0</v>
      </c>
      <c r="H151" s="758">
        <v>2</v>
      </c>
      <c r="I151" s="762"/>
      <c r="J151" s="762"/>
      <c r="K151" s="775">
        <v>55</v>
      </c>
      <c r="L151" s="775">
        <v>20</v>
      </c>
      <c r="M151" s="776">
        <v>2</v>
      </c>
      <c r="N151" s="758"/>
      <c r="O151" s="756"/>
      <c r="P151" s="758"/>
      <c r="Q151" s="758"/>
      <c r="R151" s="758"/>
      <c r="S151" s="763"/>
      <c r="T151" s="763"/>
    </row>
    <row r="152" ht="16.5" customHeight="1" spans="1:20">
      <c r="A152" s="758"/>
      <c r="B152" s="759" t="s">
        <v>1438</v>
      </c>
      <c r="C152" s="760" t="s">
        <v>421</v>
      </c>
      <c r="D152" s="760" t="s">
        <v>421</v>
      </c>
      <c r="E152" s="760" t="s">
        <v>420</v>
      </c>
      <c r="F152" s="760"/>
      <c r="G152" s="760">
        <v>0</v>
      </c>
      <c r="H152" s="760">
        <v>2</v>
      </c>
      <c r="I152" s="760"/>
      <c r="J152" s="760"/>
      <c r="K152" s="772">
        <v>255</v>
      </c>
      <c r="L152" s="772">
        <v>20</v>
      </c>
      <c r="M152" s="777">
        <v>2</v>
      </c>
      <c r="N152" s="763"/>
      <c r="O152" s="756"/>
      <c r="P152" s="758"/>
      <c r="Q152" s="758"/>
      <c r="R152" s="758"/>
      <c r="S152" s="763"/>
      <c r="T152" s="763"/>
    </row>
    <row r="153" ht="16.5" customHeight="1" spans="1:20">
      <c r="A153" s="763"/>
      <c r="B153" s="761" t="s">
        <v>1439</v>
      </c>
      <c r="C153" s="762" t="s">
        <v>255</v>
      </c>
      <c r="D153" s="762" t="s">
        <v>255</v>
      </c>
      <c r="E153" s="762" t="s">
        <v>254</v>
      </c>
      <c r="F153" s="762"/>
      <c r="G153" s="758">
        <v>0</v>
      </c>
      <c r="H153" s="758">
        <v>2</v>
      </c>
      <c r="I153" s="762"/>
      <c r="J153" s="762"/>
      <c r="K153" s="775">
        <v>175</v>
      </c>
      <c r="L153" s="775">
        <v>20</v>
      </c>
      <c r="M153" s="778">
        <v>2</v>
      </c>
      <c r="N153" s="763"/>
      <c r="O153" s="756"/>
      <c r="P153" s="763"/>
      <c r="Q153" s="763"/>
      <c r="R153" s="763"/>
      <c r="S153" s="763"/>
      <c r="T153" s="763"/>
    </row>
    <row r="154" ht="16.5" customHeight="1" spans="1:20">
      <c r="A154" s="758"/>
      <c r="B154" s="759" t="s">
        <v>1440</v>
      </c>
      <c r="C154" s="760" t="s">
        <v>155</v>
      </c>
      <c r="D154" s="760" t="s">
        <v>155</v>
      </c>
      <c r="E154" s="760" t="s">
        <v>154</v>
      </c>
      <c r="F154" s="760"/>
      <c r="G154" s="760">
        <v>0</v>
      </c>
      <c r="H154" s="760">
        <v>2</v>
      </c>
      <c r="I154" s="760"/>
      <c r="J154" s="760"/>
      <c r="K154" s="772">
        <v>105</v>
      </c>
      <c r="L154" s="772">
        <v>24</v>
      </c>
      <c r="M154" s="773">
        <v>2</v>
      </c>
      <c r="N154" s="758"/>
      <c r="O154" s="756"/>
      <c r="P154" s="763"/>
      <c r="Q154" s="763"/>
      <c r="R154" s="763"/>
      <c r="S154" s="763"/>
      <c r="T154" s="763"/>
    </row>
    <row r="155" ht="16.5" customHeight="1" spans="1:20">
      <c r="A155" s="763"/>
      <c r="B155" s="762" t="s">
        <v>1441</v>
      </c>
      <c r="C155" s="762" t="s">
        <v>1442</v>
      </c>
      <c r="D155" s="762" t="s">
        <v>1442</v>
      </c>
      <c r="E155" s="762" t="s">
        <v>1443</v>
      </c>
      <c r="F155" s="762"/>
      <c r="G155" s="758">
        <v>0</v>
      </c>
      <c r="H155" s="758">
        <v>2</v>
      </c>
      <c r="I155" s="762"/>
      <c r="J155" s="762"/>
      <c r="K155" s="775">
        <v>235</v>
      </c>
      <c r="L155" s="775">
        <v>22</v>
      </c>
      <c r="M155" s="778">
        <v>2</v>
      </c>
      <c r="N155" s="763"/>
      <c r="O155" s="756"/>
      <c r="P155" s="763"/>
      <c r="Q155" s="763"/>
      <c r="R155" s="763"/>
      <c r="S155" s="763"/>
      <c r="T155" s="763"/>
    </row>
    <row r="156" ht="16.5" customHeight="1" spans="1:20">
      <c r="A156" s="763"/>
      <c r="B156" s="780" t="s">
        <v>1444</v>
      </c>
      <c r="C156" s="781" t="s">
        <v>1445</v>
      </c>
      <c r="D156" s="781" t="s">
        <v>1445</v>
      </c>
      <c r="E156" s="781" t="s">
        <v>1446</v>
      </c>
      <c r="F156" s="781"/>
      <c r="G156" s="760">
        <v>0</v>
      </c>
      <c r="H156" s="760">
        <v>2</v>
      </c>
      <c r="I156" s="781"/>
      <c r="J156" s="781"/>
      <c r="K156" s="772">
        <v>485</v>
      </c>
      <c r="L156" s="772">
        <v>20</v>
      </c>
      <c r="M156" s="777">
        <v>2</v>
      </c>
      <c r="N156" s="763"/>
      <c r="O156" s="756"/>
      <c r="P156" s="758"/>
      <c r="Q156" s="758"/>
      <c r="R156" s="758"/>
      <c r="S156" s="758"/>
      <c r="T156" s="763"/>
    </row>
    <row r="157" ht="16.5" customHeight="1" spans="1:20">
      <c r="A157" s="763"/>
      <c r="B157" s="761" t="s">
        <v>1447</v>
      </c>
      <c r="C157" s="762" t="s">
        <v>445</v>
      </c>
      <c r="D157" s="762" t="s">
        <v>445</v>
      </c>
      <c r="E157" s="762" t="s">
        <v>444</v>
      </c>
      <c r="F157" s="762"/>
      <c r="G157" s="758">
        <v>0</v>
      </c>
      <c r="H157" s="758">
        <v>2</v>
      </c>
      <c r="I157" s="762"/>
      <c r="J157" s="762"/>
      <c r="K157" s="775">
        <v>805</v>
      </c>
      <c r="L157" s="775">
        <v>20</v>
      </c>
      <c r="M157" s="778">
        <v>2</v>
      </c>
      <c r="N157" s="763"/>
      <c r="O157" s="756"/>
      <c r="P157" s="758"/>
      <c r="Q157" s="758"/>
      <c r="R157" s="758"/>
      <c r="S157" s="758"/>
      <c r="T157" s="763"/>
    </row>
    <row r="158" ht="16.5" customHeight="1" spans="1:20">
      <c r="A158" s="758"/>
      <c r="B158" s="759" t="s">
        <v>1448</v>
      </c>
      <c r="C158" s="760" t="s">
        <v>81</v>
      </c>
      <c r="D158" s="760" t="s">
        <v>81</v>
      </c>
      <c r="E158" s="760" t="s">
        <v>80</v>
      </c>
      <c r="F158" s="760"/>
      <c r="G158" s="760">
        <v>0</v>
      </c>
      <c r="H158" s="760">
        <v>2</v>
      </c>
      <c r="I158" s="760"/>
      <c r="J158" s="760"/>
      <c r="K158" s="772">
        <v>65</v>
      </c>
      <c r="L158" s="772">
        <v>28</v>
      </c>
      <c r="M158" s="773">
        <v>2</v>
      </c>
      <c r="N158" s="758"/>
      <c r="O158" s="756"/>
      <c r="P158" s="758"/>
      <c r="Q158" s="758"/>
      <c r="R158" s="758"/>
      <c r="S158" s="758"/>
      <c r="T158" s="763"/>
    </row>
    <row r="159" ht="16.5" customHeight="1" spans="1:20">
      <c r="A159" s="758"/>
      <c r="B159" s="761" t="s">
        <v>1449</v>
      </c>
      <c r="C159" s="762" t="s">
        <v>1199</v>
      </c>
      <c r="D159" s="762" t="s">
        <v>1199</v>
      </c>
      <c r="E159" s="762" t="s">
        <v>186</v>
      </c>
      <c r="F159" s="762"/>
      <c r="G159" s="758">
        <v>0</v>
      </c>
      <c r="H159" s="758">
        <v>2</v>
      </c>
      <c r="I159" s="762"/>
      <c r="J159" s="762"/>
      <c r="K159" s="775">
        <v>85</v>
      </c>
      <c r="L159" s="775">
        <v>11</v>
      </c>
      <c r="M159" s="776">
        <v>2</v>
      </c>
      <c r="N159" s="758"/>
      <c r="O159" s="756"/>
      <c r="P159" s="758"/>
      <c r="Q159" s="758"/>
      <c r="R159" s="758"/>
      <c r="S159" s="758"/>
      <c r="T159" s="763"/>
    </row>
    <row r="160" ht="16.5" customHeight="1" spans="1:20">
      <c r="A160" s="758"/>
      <c r="B160" s="759" t="s">
        <v>1450</v>
      </c>
      <c r="C160" s="760" t="s">
        <v>137</v>
      </c>
      <c r="D160" s="760" t="s">
        <v>137</v>
      </c>
      <c r="E160" s="760" t="s">
        <v>136</v>
      </c>
      <c r="F160" s="760"/>
      <c r="G160" s="760">
        <v>0</v>
      </c>
      <c r="H160" s="760">
        <v>2</v>
      </c>
      <c r="I160" s="760"/>
      <c r="J160" s="760"/>
      <c r="K160" s="772">
        <v>105</v>
      </c>
      <c r="L160" s="772">
        <v>10</v>
      </c>
      <c r="M160" s="773">
        <v>2</v>
      </c>
      <c r="N160" s="758"/>
      <c r="O160" s="756"/>
      <c r="P160" s="758"/>
      <c r="Q160" s="758"/>
      <c r="R160" s="758"/>
      <c r="S160" s="758"/>
      <c r="T160" s="763"/>
    </row>
    <row r="161" ht="16.5" customHeight="1" spans="1:20">
      <c r="A161" s="763"/>
      <c r="B161" s="762" t="s">
        <v>1451</v>
      </c>
      <c r="C161" s="762" t="s">
        <v>423</v>
      </c>
      <c r="D161" s="762" t="s">
        <v>423</v>
      </c>
      <c r="E161" s="762" t="s">
        <v>422</v>
      </c>
      <c r="F161" s="762"/>
      <c r="G161" s="758">
        <v>0</v>
      </c>
      <c r="H161" s="758">
        <v>2</v>
      </c>
      <c r="I161" s="762"/>
      <c r="J161" s="762"/>
      <c r="K161" s="775">
        <v>485</v>
      </c>
      <c r="L161" s="775">
        <v>20</v>
      </c>
      <c r="M161" s="778">
        <v>2</v>
      </c>
      <c r="N161" s="763"/>
      <c r="O161" s="756"/>
      <c r="P161" s="758"/>
      <c r="Q161" s="758"/>
      <c r="R161" s="758"/>
      <c r="S161" s="758"/>
      <c r="T161" s="763"/>
    </row>
    <row r="162" ht="16.5" customHeight="1" spans="1:20">
      <c r="A162" s="758"/>
      <c r="B162" s="759" t="s">
        <v>1452</v>
      </c>
      <c r="C162" s="760" t="s">
        <v>257</v>
      </c>
      <c r="D162" s="760" t="s">
        <v>257</v>
      </c>
      <c r="E162" s="760" t="s">
        <v>256</v>
      </c>
      <c r="F162" s="760"/>
      <c r="G162" s="760">
        <v>0</v>
      </c>
      <c r="H162" s="760">
        <v>2</v>
      </c>
      <c r="I162" s="760"/>
      <c r="J162" s="760"/>
      <c r="K162" s="772">
        <v>215</v>
      </c>
      <c r="L162" s="772">
        <v>30</v>
      </c>
      <c r="M162" s="773">
        <v>2</v>
      </c>
      <c r="N162" s="758"/>
      <c r="O162" s="756"/>
      <c r="P162" s="758"/>
      <c r="Q162" s="758"/>
      <c r="R162" s="758"/>
      <c r="S162" s="758"/>
      <c r="T162" s="763"/>
    </row>
    <row r="163" ht="16.5" customHeight="1" spans="1:20">
      <c r="A163" s="758"/>
      <c r="B163" s="761" t="s">
        <v>1453</v>
      </c>
      <c r="C163" s="762" t="s">
        <v>319</v>
      </c>
      <c r="D163" s="762" t="s">
        <v>319</v>
      </c>
      <c r="E163" s="762" t="s">
        <v>318</v>
      </c>
      <c r="F163" s="762"/>
      <c r="G163" s="758">
        <v>0</v>
      </c>
      <c r="H163" s="758">
        <v>2</v>
      </c>
      <c r="I163" s="762"/>
      <c r="J163" s="762"/>
      <c r="K163" s="775">
        <v>235</v>
      </c>
      <c r="L163" s="775">
        <v>20</v>
      </c>
      <c r="M163" s="778">
        <v>2</v>
      </c>
      <c r="N163" s="763"/>
      <c r="O163" s="756"/>
      <c r="P163" s="758"/>
      <c r="Q163" s="758"/>
      <c r="R163" s="758"/>
      <c r="S163" s="758"/>
      <c r="T163" s="763"/>
    </row>
    <row r="164" ht="16.5" customHeight="1" spans="1:20">
      <c r="A164" s="758"/>
      <c r="B164" s="759" t="s">
        <v>1454</v>
      </c>
      <c r="C164" s="760" t="s">
        <v>425</v>
      </c>
      <c r="D164" s="760" t="s">
        <v>425</v>
      </c>
      <c r="E164" s="760" t="s">
        <v>424</v>
      </c>
      <c r="F164" s="760"/>
      <c r="G164" s="760">
        <v>0</v>
      </c>
      <c r="H164" s="760">
        <v>2</v>
      </c>
      <c r="I164" s="760"/>
      <c r="J164" s="760"/>
      <c r="K164" s="772">
        <v>255</v>
      </c>
      <c r="L164" s="772">
        <v>20</v>
      </c>
      <c r="M164" s="773">
        <v>2</v>
      </c>
      <c r="N164" s="758"/>
      <c r="O164" s="756"/>
      <c r="P164" s="758"/>
      <c r="Q164" s="758"/>
      <c r="R164" s="758"/>
      <c r="S164" s="758"/>
      <c r="T164" s="763"/>
    </row>
    <row r="165" ht="16.5" customHeight="1" spans="1:20">
      <c r="A165" s="758"/>
      <c r="B165" s="761" t="s">
        <v>1455</v>
      </c>
      <c r="C165" s="762" t="s">
        <v>123</v>
      </c>
      <c r="D165" s="762" t="s">
        <v>123</v>
      </c>
      <c r="E165" s="762" t="s">
        <v>122</v>
      </c>
      <c r="F165" s="762"/>
      <c r="G165" s="758">
        <v>0</v>
      </c>
      <c r="H165" s="758">
        <v>2</v>
      </c>
      <c r="I165" s="762"/>
      <c r="J165" s="762"/>
      <c r="K165" s="775">
        <v>125</v>
      </c>
      <c r="L165" s="775">
        <v>8</v>
      </c>
      <c r="M165" s="776">
        <v>2</v>
      </c>
      <c r="N165" s="758"/>
      <c r="O165" s="756"/>
      <c r="P165" s="758"/>
      <c r="Q165" s="758"/>
      <c r="R165" s="758"/>
      <c r="S165" s="758"/>
      <c r="T165" s="763"/>
    </row>
    <row r="166" ht="16.5" customHeight="1" spans="1:20">
      <c r="A166" s="758"/>
      <c r="B166" s="759" t="s">
        <v>1456</v>
      </c>
      <c r="C166" s="760" t="s">
        <v>133</v>
      </c>
      <c r="D166" s="760" t="s">
        <v>133</v>
      </c>
      <c r="E166" s="760" t="s">
        <v>132</v>
      </c>
      <c r="F166" s="760"/>
      <c r="G166" s="760">
        <v>0</v>
      </c>
      <c r="H166" s="760">
        <v>2</v>
      </c>
      <c r="I166" s="760"/>
      <c r="J166" s="760"/>
      <c r="K166" s="772">
        <v>55</v>
      </c>
      <c r="L166" s="772">
        <v>8</v>
      </c>
      <c r="M166" s="773">
        <v>2</v>
      </c>
      <c r="N166" s="758"/>
      <c r="O166" s="756"/>
      <c r="P166" s="758"/>
      <c r="Q166" s="758"/>
      <c r="R166" s="758"/>
      <c r="S166" s="758"/>
      <c r="T166" s="763"/>
    </row>
    <row r="167" ht="16.5" customHeight="1" spans="1:20">
      <c r="A167" s="758"/>
      <c r="B167" s="782" t="s">
        <v>1457</v>
      </c>
      <c r="C167" s="783" t="s">
        <v>1458</v>
      </c>
      <c r="D167" s="783" t="s">
        <v>1458</v>
      </c>
      <c r="E167" s="783" t="s">
        <v>1459</v>
      </c>
      <c r="F167" s="783"/>
      <c r="G167" s="758">
        <v>0</v>
      </c>
      <c r="H167" s="758">
        <v>2</v>
      </c>
      <c r="I167" s="783"/>
      <c r="J167" s="783"/>
      <c r="K167" s="775">
        <v>485</v>
      </c>
      <c r="L167" s="775">
        <v>20</v>
      </c>
      <c r="M167" s="778">
        <v>2</v>
      </c>
      <c r="N167" s="763"/>
      <c r="O167" s="756"/>
      <c r="P167" s="758"/>
      <c r="Q167" s="758"/>
      <c r="R167" s="758"/>
      <c r="S167" s="758"/>
      <c r="T167" s="763"/>
    </row>
    <row r="168" ht="16.5" customHeight="1" spans="1:20">
      <c r="A168" s="758"/>
      <c r="B168" s="759" t="s">
        <v>1460</v>
      </c>
      <c r="C168" s="760" t="s">
        <v>61</v>
      </c>
      <c r="D168" s="760" t="s">
        <v>61</v>
      </c>
      <c r="E168" s="760" t="s">
        <v>60</v>
      </c>
      <c r="F168" s="760"/>
      <c r="G168" s="760">
        <v>0</v>
      </c>
      <c r="H168" s="760">
        <v>2</v>
      </c>
      <c r="I168" s="760"/>
      <c r="J168" s="760"/>
      <c r="K168" s="772">
        <v>75</v>
      </c>
      <c r="L168" s="772">
        <v>14</v>
      </c>
      <c r="M168" s="773">
        <v>2</v>
      </c>
      <c r="N168" s="758"/>
      <c r="O168" s="756"/>
      <c r="P168" s="763"/>
      <c r="Q168" s="763"/>
      <c r="R168" s="763"/>
      <c r="S168" s="763"/>
      <c r="T168" s="763"/>
    </row>
    <row r="169" ht="16.5" customHeight="1" spans="1:20">
      <c r="A169" s="758"/>
      <c r="B169" s="761" t="s">
        <v>1461</v>
      </c>
      <c r="C169" s="762" t="s">
        <v>63</v>
      </c>
      <c r="D169" s="762" t="s">
        <v>63</v>
      </c>
      <c r="E169" s="762" t="s">
        <v>62</v>
      </c>
      <c r="F169" s="762"/>
      <c r="G169" s="758">
        <v>0</v>
      </c>
      <c r="H169" s="758">
        <v>2</v>
      </c>
      <c r="I169" s="762"/>
      <c r="J169" s="762"/>
      <c r="K169" s="775">
        <v>75</v>
      </c>
      <c r="L169" s="775">
        <v>22</v>
      </c>
      <c r="M169" s="776">
        <v>2</v>
      </c>
      <c r="N169" s="758"/>
      <c r="O169" s="756"/>
      <c r="P169" s="763"/>
      <c r="Q169" s="763"/>
      <c r="R169" s="763"/>
      <c r="S169" s="763"/>
      <c r="T169" s="763"/>
    </row>
    <row r="170" ht="16.5" customHeight="1" spans="1:20">
      <c r="A170" s="758"/>
      <c r="B170" s="759" t="s">
        <v>1462</v>
      </c>
      <c r="C170" s="760" t="s">
        <v>185</v>
      </c>
      <c r="D170" s="760" t="s">
        <v>185</v>
      </c>
      <c r="E170" s="760" t="s">
        <v>184</v>
      </c>
      <c r="F170" s="760"/>
      <c r="G170" s="760">
        <v>0</v>
      </c>
      <c r="H170" s="760">
        <v>2</v>
      </c>
      <c r="I170" s="760"/>
      <c r="J170" s="760"/>
      <c r="K170" s="772">
        <v>145</v>
      </c>
      <c r="L170" s="772">
        <v>40</v>
      </c>
      <c r="M170" s="773">
        <v>2</v>
      </c>
      <c r="N170" s="785"/>
      <c r="O170" s="756"/>
      <c r="P170" s="763"/>
      <c r="Q170" s="763"/>
      <c r="R170" s="763"/>
      <c r="S170" s="763"/>
      <c r="T170" s="763"/>
    </row>
    <row r="171" ht="16.5" customHeight="1" spans="1:20">
      <c r="A171" s="758"/>
      <c r="B171" s="761" t="s">
        <v>1463</v>
      </c>
      <c r="C171" s="762" t="s">
        <v>101</v>
      </c>
      <c r="D171" s="762" t="s">
        <v>101</v>
      </c>
      <c r="E171" s="762" t="s">
        <v>100</v>
      </c>
      <c r="F171" s="762"/>
      <c r="G171" s="758">
        <v>0</v>
      </c>
      <c r="H171" s="758">
        <v>2</v>
      </c>
      <c r="I171" s="762"/>
      <c r="J171" s="762"/>
      <c r="K171" s="775">
        <v>215</v>
      </c>
      <c r="L171" s="775">
        <v>14</v>
      </c>
      <c r="M171" s="776">
        <v>2</v>
      </c>
      <c r="N171" s="758"/>
      <c r="O171" s="756"/>
      <c r="P171" s="763"/>
      <c r="Q171" s="763"/>
      <c r="R171" s="763"/>
      <c r="S171" s="763"/>
      <c r="T171" s="763"/>
    </row>
    <row r="172" ht="16.5" customHeight="1" spans="1:20">
      <c r="A172" s="758"/>
      <c r="B172" s="759" t="s">
        <v>1464</v>
      </c>
      <c r="C172" s="760" t="s">
        <v>153</v>
      </c>
      <c r="D172" s="760" t="s">
        <v>153</v>
      </c>
      <c r="E172" s="760" t="s">
        <v>152</v>
      </c>
      <c r="F172" s="760"/>
      <c r="G172" s="760">
        <v>0</v>
      </c>
      <c r="H172" s="760">
        <v>2</v>
      </c>
      <c r="I172" s="760"/>
      <c r="J172" s="760"/>
      <c r="K172" s="772">
        <v>45</v>
      </c>
      <c r="L172" s="772">
        <v>12</v>
      </c>
      <c r="M172" s="773">
        <v>2</v>
      </c>
      <c r="N172" s="758"/>
      <c r="O172" s="756"/>
      <c r="P172" s="763"/>
      <c r="Q172" s="763"/>
      <c r="R172" s="763"/>
      <c r="S172" s="763"/>
      <c r="T172" s="763"/>
    </row>
    <row r="173" ht="16.5" customHeight="1" spans="1:20">
      <c r="A173" s="758"/>
      <c r="B173" s="761" t="s">
        <v>1465</v>
      </c>
      <c r="C173" s="762" t="s">
        <v>289</v>
      </c>
      <c r="D173" s="762" t="s">
        <v>289</v>
      </c>
      <c r="E173" s="762" t="s">
        <v>1466</v>
      </c>
      <c r="F173" s="762"/>
      <c r="G173" s="758">
        <v>0</v>
      </c>
      <c r="H173" s="758">
        <v>2</v>
      </c>
      <c r="I173" s="762"/>
      <c r="J173" s="762"/>
      <c r="K173" s="775">
        <v>195</v>
      </c>
      <c r="L173" s="775">
        <v>36</v>
      </c>
      <c r="M173" s="776">
        <v>2</v>
      </c>
      <c r="N173" s="758"/>
      <c r="O173" s="756"/>
      <c r="P173" s="763"/>
      <c r="Q173" s="763"/>
      <c r="R173" s="763"/>
      <c r="S173" s="763"/>
      <c r="T173" s="763"/>
    </row>
    <row r="174" ht="16.5" customHeight="1" spans="1:20">
      <c r="A174" s="758"/>
      <c r="B174" s="759" t="s">
        <v>1467</v>
      </c>
      <c r="C174" s="760" t="s">
        <v>65</v>
      </c>
      <c r="D174" s="760" t="s">
        <v>65</v>
      </c>
      <c r="E174" s="760" t="s">
        <v>64</v>
      </c>
      <c r="F174" s="760"/>
      <c r="G174" s="760">
        <v>0</v>
      </c>
      <c r="H174" s="760">
        <v>2</v>
      </c>
      <c r="I174" s="760"/>
      <c r="J174" s="760"/>
      <c r="K174" s="772">
        <v>95</v>
      </c>
      <c r="L174" s="772">
        <v>17</v>
      </c>
      <c r="M174" s="773">
        <v>2</v>
      </c>
      <c r="N174" s="758"/>
      <c r="O174" s="756"/>
      <c r="P174" s="763"/>
      <c r="Q174" s="763"/>
      <c r="R174" s="763"/>
      <c r="S174" s="763"/>
      <c r="T174" s="763"/>
    </row>
    <row r="175" ht="16.5" customHeight="1" spans="1:20">
      <c r="A175" s="758"/>
      <c r="B175" s="761" t="s">
        <v>1468</v>
      </c>
      <c r="C175" s="762" t="s">
        <v>457</v>
      </c>
      <c r="D175" s="762" t="s">
        <v>457</v>
      </c>
      <c r="E175" s="762" t="s">
        <v>456</v>
      </c>
      <c r="F175" s="762"/>
      <c r="G175" s="758">
        <v>0</v>
      </c>
      <c r="H175" s="758">
        <v>2</v>
      </c>
      <c r="I175" s="762"/>
      <c r="J175" s="762"/>
      <c r="K175" s="775">
        <v>35</v>
      </c>
      <c r="L175" s="775">
        <v>11</v>
      </c>
      <c r="M175" s="776">
        <v>2</v>
      </c>
      <c r="N175" s="758"/>
      <c r="O175" s="756"/>
      <c r="P175" s="763"/>
      <c r="Q175" s="763"/>
      <c r="R175" s="763"/>
      <c r="S175" s="763"/>
      <c r="T175" s="763"/>
    </row>
    <row r="176" ht="16.5" customHeight="1" spans="1:20">
      <c r="A176" s="758"/>
      <c r="B176" s="759" t="s">
        <v>1469</v>
      </c>
      <c r="C176" s="760" t="s">
        <v>1246</v>
      </c>
      <c r="D176" s="760" t="s">
        <v>1246</v>
      </c>
      <c r="E176" s="760" t="s">
        <v>164</v>
      </c>
      <c r="F176" s="760"/>
      <c r="G176" s="760">
        <v>0</v>
      </c>
      <c r="H176" s="760">
        <v>2</v>
      </c>
      <c r="I176" s="760"/>
      <c r="J176" s="760"/>
      <c r="K176" s="772">
        <v>115</v>
      </c>
      <c r="L176" s="772">
        <v>16</v>
      </c>
      <c r="M176" s="773">
        <v>2</v>
      </c>
      <c r="N176" s="758"/>
      <c r="O176" s="756"/>
      <c r="P176" s="763"/>
      <c r="Q176" s="763"/>
      <c r="R176" s="763"/>
      <c r="S176" s="763"/>
      <c r="T176" s="763"/>
    </row>
    <row r="177" ht="16.5" customHeight="1" spans="1:20">
      <c r="A177" s="763"/>
      <c r="B177" s="762" t="s">
        <v>1470</v>
      </c>
      <c r="C177" s="762" t="s">
        <v>1471</v>
      </c>
      <c r="D177" s="762" t="s">
        <v>1471</v>
      </c>
      <c r="E177" s="762" t="s">
        <v>1472</v>
      </c>
      <c r="F177" s="762"/>
      <c r="G177" s="758">
        <v>0</v>
      </c>
      <c r="H177" s="758">
        <v>2</v>
      </c>
      <c r="I177" s="762"/>
      <c r="J177" s="762"/>
      <c r="K177" s="775">
        <v>485</v>
      </c>
      <c r="L177" s="775">
        <v>20</v>
      </c>
      <c r="M177" s="778">
        <v>2</v>
      </c>
      <c r="N177" s="763"/>
      <c r="O177" s="756"/>
      <c r="P177" s="763"/>
      <c r="Q177" s="763"/>
      <c r="R177" s="763"/>
      <c r="S177" s="763"/>
      <c r="T177" s="763"/>
    </row>
    <row r="178" ht="16.5" customHeight="1" spans="1:20">
      <c r="A178" s="763"/>
      <c r="B178" s="760" t="s">
        <v>1473</v>
      </c>
      <c r="C178" s="760" t="s">
        <v>355</v>
      </c>
      <c r="D178" s="760" t="s">
        <v>355</v>
      </c>
      <c r="E178" s="760" t="s">
        <v>354</v>
      </c>
      <c r="F178" s="760"/>
      <c r="G178" s="760">
        <v>0</v>
      </c>
      <c r="H178" s="760">
        <v>2</v>
      </c>
      <c r="I178" s="760"/>
      <c r="J178" s="760"/>
      <c r="K178" s="772">
        <v>485</v>
      </c>
      <c r="L178" s="772">
        <v>20</v>
      </c>
      <c r="M178" s="777">
        <v>2</v>
      </c>
      <c r="N178" s="763"/>
      <c r="O178" s="756"/>
      <c r="P178" s="763"/>
      <c r="Q178" s="763"/>
      <c r="R178" s="763"/>
      <c r="S178" s="763"/>
      <c r="T178" s="763"/>
    </row>
    <row r="179" ht="16.5" customHeight="1" spans="1:20">
      <c r="A179" s="763"/>
      <c r="B179" s="762" t="s">
        <v>1474</v>
      </c>
      <c r="C179" s="762" t="s">
        <v>259</v>
      </c>
      <c r="D179" s="762" t="s">
        <v>259</v>
      </c>
      <c r="E179" s="762" t="s">
        <v>258</v>
      </c>
      <c r="F179" s="762"/>
      <c r="G179" s="758">
        <v>0</v>
      </c>
      <c r="H179" s="758">
        <v>2</v>
      </c>
      <c r="I179" s="762"/>
      <c r="J179" s="762"/>
      <c r="K179" s="775">
        <v>485</v>
      </c>
      <c r="L179" s="775">
        <v>20</v>
      </c>
      <c r="M179" s="778">
        <v>2</v>
      </c>
      <c r="N179" s="763"/>
      <c r="O179" s="756"/>
      <c r="P179" s="763"/>
      <c r="Q179" s="763"/>
      <c r="R179" s="763"/>
      <c r="S179" s="763"/>
      <c r="T179" s="763"/>
    </row>
    <row r="180" ht="16.5" customHeight="1" spans="1:20">
      <c r="A180" s="763"/>
      <c r="B180" s="780" t="s">
        <v>1475</v>
      </c>
      <c r="C180" s="784" t="s">
        <v>451</v>
      </c>
      <c r="D180" s="784" t="s">
        <v>451</v>
      </c>
      <c r="E180" s="784" t="s">
        <v>1476</v>
      </c>
      <c r="F180" s="784"/>
      <c r="G180" s="760">
        <v>0</v>
      </c>
      <c r="H180" s="760">
        <v>2</v>
      </c>
      <c r="I180" s="784"/>
      <c r="J180" s="784"/>
      <c r="K180" s="772">
        <v>485</v>
      </c>
      <c r="L180" s="772">
        <v>20</v>
      </c>
      <c r="M180" s="777">
        <v>2</v>
      </c>
      <c r="N180" s="763"/>
      <c r="O180" s="756"/>
      <c r="P180" s="763"/>
      <c r="Q180" s="763"/>
      <c r="R180" s="763"/>
      <c r="S180" s="763"/>
      <c r="T180" s="763"/>
    </row>
    <row r="181" ht="16.5" customHeight="1" spans="1:20">
      <c r="A181" s="763"/>
      <c r="B181" s="782" t="s">
        <v>1477</v>
      </c>
      <c r="C181" s="783" t="s">
        <v>261</v>
      </c>
      <c r="D181" s="783" t="s">
        <v>261</v>
      </c>
      <c r="E181" s="783" t="s">
        <v>260</v>
      </c>
      <c r="F181" s="783"/>
      <c r="G181" s="758">
        <v>0</v>
      </c>
      <c r="H181" s="758">
        <v>2</v>
      </c>
      <c r="I181" s="783"/>
      <c r="J181" s="783"/>
      <c r="K181" s="775">
        <v>485</v>
      </c>
      <c r="L181" s="775">
        <v>20</v>
      </c>
      <c r="M181" s="778">
        <v>2</v>
      </c>
      <c r="N181" s="763"/>
      <c r="O181" s="756"/>
      <c r="P181" s="763"/>
      <c r="Q181" s="763"/>
      <c r="R181" s="763"/>
      <c r="S181" s="763"/>
      <c r="T181" s="763"/>
    </row>
    <row r="182" ht="16.5" customHeight="1" spans="1:20">
      <c r="A182" s="763"/>
      <c r="B182" s="760" t="s">
        <v>1478</v>
      </c>
      <c r="C182" s="760" t="s">
        <v>379</v>
      </c>
      <c r="D182" s="760" t="s">
        <v>379</v>
      </c>
      <c r="E182" s="760" t="s">
        <v>1479</v>
      </c>
      <c r="F182" s="760"/>
      <c r="G182" s="760">
        <v>0</v>
      </c>
      <c r="H182" s="760">
        <v>2</v>
      </c>
      <c r="I182" s="760"/>
      <c r="J182" s="760"/>
      <c r="K182" s="772">
        <v>235</v>
      </c>
      <c r="L182" s="772">
        <v>22</v>
      </c>
      <c r="M182" s="777">
        <v>2</v>
      </c>
      <c r="N182" s="763"/>
      <c r="O182" s="756"/>
      <c r="P182" s="763"/>
      <c r="Q182" s="763"/>
      <c r="R182" s="763"/>
      <c r="S182" s="763"/>
      <c r="T182" s="763"/>
    </row>
    <row r="183" ht="16.5" customHeight="1" spans="1:20">
      <c r="A183" s="763"/>
      <c r="B183" s="761" t="s">
        <v>1480</v>
      </c>
      <c r="C183" s="762" t="s">
        <v>427</v>
      </c>
      <c r="D183" s="762" t="s">
        <v>427</v>
      </c>
      <c r="E183" s="762" t="s">
        <v>426</v>
      </c>
      <c r="F183" s="762"/>
      <c r="G183" s="758">
        <v>0</v>
      </c>
      <c r="H183" s="758">
        <v>2</v>
      </c>
      <c r="I183" s="762"/>
      <c r="J183" s="762"/>
      <c r="K183" s="775">
        <v>215</v>
      </c>
      <c r="L183" s="775">
        <v>20</v>
      </c>
      <c r="M183" s="778">
        <v>2</v>
      </c>
      <c r="N183" s="763"/>
      <c r="O183" s="756"/>
      <c r="P183" s="763"/>
      <c r="Q183" s="763"/>
      <c r="R183" s="763"/>
      <c r="S183" s="763"/>
      <c r="T183" s="763"/>
    </row>
    <row r="184" ht="16.5" customHeight="1" spans="1:20">
      <c r="A184" s="763"/>
      <c r="B184" s="780" t="s">
        <v>1481</v>
      </c>
      <c r="C184" s="781" t="s">
        <v>371</v>
      </c>
      <c r="D184" s="781" t="s">
        <v>371</v>
      </c>
      <c r="E184" s="781" t="s">
        <v>370</v>
      </c>
      <c r="F184" s="781"/>
      <c r="G184" s="760">
        <v>0</v>
      </c>
      <c r="H184" s="760">
        <v>2</v>
      </c>
      <c r="I184" s="781"/>
      <c r="J184" s="781"/>
      <c r="K184" s="772">
        <v>485</v>
      </c>
      <c r="L184" s="772">
        <v>20</v>
      </c>
      <c r="M184" s="777">
        <v>2</v>
      </c>
      <c r="N184" s="763"/>
      <c r="O184" s="756"/>
      <c r="P184" s="763"/>
      <c r="Q184" s="763"/>
      <c r="R184" s="763"/>
      <c r="S184" s="763"/>
      <c r="T184" s="763"/>
    </row>
    <row r="185" ht="16.5" customHeight="1" spans="1:20">
      <c r="A185" s="758"/>
      <c r="B185" s="761" t="s">
        <v>1482</v>
      </c>
      <c r="C185" s="762" t="s">
        <v>97</v>
      </c>
      <c r="D185" s="762" t="s">
        <v>97</v>
      </c>
      <c r="E185" s="762" t="s">
        <v>96</v>
      </c>
      <c r="F185" s="762"/>
      <c r="G185" s="758">
        <v>0</v>
      </c>
      <c r="H185" s="758">
        <v>2</v>
      </c>
      <c r="I185" s="762"/>
      <c r="J185" s="762"/>
      <c r="K185" s="775">
        <v>55</v>
      </c>
      <c r="L185" s="775">
        <v>30</v>
      </c>
      <c r="M185" s="776">
        <v>2</v>
      </c>
      <c r="N185" s="758"/>
      <c r="O185" s="756"/>
      <c r="P185" s="758"/>
      <c r="Q185" s="758"/>
      <c r="R185" s="758"/>
      <c r="S185" s="758"/>
      <c r="T185" s="758"/>
    </row>
    <row r="186" ht="16.5" customHeight="1" spans="1:20">
      <c r="A186" s="758"/>
      <c r="B186" s="759" t="s">
        <v>1483</v>
      </c>
      <c r="C186" s="760" t="s">
        <v>265</v>
      </c>
      <c r="D186" s="760" t="s">
        <v>265</v>
      </c>
      <c r="E186" s="760" t="s">
        <v>264</v>
      </c>
      <c r="F186" s="760"/>
      <c r="G186" s="760">
        <v>0</v>
      </c>
      <c r="H186" s="760">
        <v>2</v>
      </c>
      <c r="I186" s="760"/>
      <c r="J186" s="760"/>
      <c r="K186" s="772">
        <v>195</v>
      </c>
      <c r="L186" s="772">
        <v>15</v>
      </c>
      <c r="M186" s="777">
        <v>2</v>
      </c>
      <c r="N186" s="758"/>
      <c r="O186" s="756"/>
      <c r="P186" s="758"/>
      <c r="Q186" s="758"/>
      <c r="R186" s="758"/>
      <c r="S186" s="758"/>
      <c r="T186" s="758"/>
    </row>
    <row r="187" ht="16.5" customHeight="1" spans="1:20">
      <c r="A187" s="758"/>
      <c r="B187" s="761" t="s">
        <v>1484</v>
      </c>
      <c r="C187" s="762" t="s">
        <v>267</v>
      </c>
      <c r="D187" s="762" t="s">
        <v>267</v>
      </c>
      <c r="E187" s="762" t="s">
        <v>266</v>
      </c>
      <c r="F187" s="762"/>
      <c r="G187" s="758">
        <v>0</v>
      </c>
      <c r="H187" s="758">
        <v>2</v>
      </c>
      <c r="I187" s="762"/>
      <c r="J187" s="762"/>
      <c r="K187" s="775">
        <v>75</v>
      </c>
      <c r="L187" s="775">
        <v>27</v>
      </c>
      <c r="M187" s="776">
        <v>2</v>
      </c>
      <c r="N187" s="758"/>
      <c r="O187" s="756"/>
      <c r="P187" s="758"/>
      <c r="Q187" s="758"/>
      <c r="R187" s="758"/>
      <c r="S187" s="758"/>
      <c r="T187" s="758"/>
    </row>
    <row r="188" ht="16.5" customHeight="1" spans="1:20">
      <c r="A188" s="758"/>
      <c r="B188" s="759" t="s">
        <v>1485</v>
      </c>
      <c r="C188" s="760" t="s">
        <v>363</v>
      </c>
      <c r="D188" s="760" t="s">
        <v>363</v>
      </c>
      <c r="E188" s="760" t="s">
        <v>362</v>
      </c>
      <c r="F188" s="760"/>
      <c r="G188" s="760">
        <v>0</v>
      </c>
      <c r="H188" s="760">
        <v>2</v>
      </c>
      <c r="I188" s="760"/>
      <c r="J188" s="760"/>
      <c r="K188" s="772">
        <v>165</v>
      </c>
      <c r="L188" s="772">
        <v>14</v>
      </c>
      <c r="M188" s="773">
        <v>2</v>
      </c>
      <c r="N188" s="758"/>
      <c r="O188" s="756"/>
      <c r="P188" s="758"/>
      <c r="Q188" s="758"/>
      <c r="R188" s="758"/>
      <c r="S188" s="763"/>
      <c r="T188" s="763"/>
    </row>
    <row r="189" ht="16.5" customHeight="1" spans="1:20">
      <c r="A189" s="758"/>
      <c r="B189" s="782" t="s">
        <v>1486</v>
      </c>
      <c r="C189" s="783" t="s">
        <v>367</v>
      </c>
      <c r="D189" s="783" t="s">
        <v>367</v>
      </c>
      <c r="E189" s="783" t="s">
        <v>366</v>
      </c>
      <c r="F189" s="783"/>
      <c r="G189" s="758">
        <v>0</v>
      </c>
      <c r="H189" s="758">
        <v>2</v>
      </c>
      <c r="I189" s="783"/>
      <c r="J189" s="783"/>
      <c r="K189" s="775">
        <v>485</v>
      </c>
      <c r="L189" s="775">
        <v>20</v>
      </c>
      <c r="M189" s="778">
        <v>2</v>
      </c>
      <c r="N189" s="763"/>
      <c r="O189" s="756"/>
      <c r="P189" s="758"/>
      <c r="Q189" s="758"/>
      <c r="R189" s="758"/>
      <c r="S189" s="758"/>
      <c r="T189" s="758"/>
    </row>
    <row r="190" ht="16.5" customHeight="1" spans="1:20">
      <c r="A190" s="758"/>
      <c r="B190" s="759" t="s">
        <v>1487</v>
      </c>
      <c r="C190" s="760" t="s">
        <v>105</v>
      </c>
      <c r="D190" s="760" t="s">
        <v>105</v>
      </c>
      <c r="E190" s="760" t="s">
        <v>104</v>
      </c>
      <c r="F190" s="760"/>
      <c r="G190" s="760">
        <v>0</v>
      </c>
      <c r="H190" s="760">
        <v>2</v>
      </c>
      <c r="I190" s="760"/>
      <c r="J190" s="760"/>
      <c r="K190" s="772">
        <v>35</v>
      </c>
      <c r="L190" s="772">
        <v>16</v>
      </c>
      <c r="M190" s="773">
        <v>2</v>
      </c>
      <c r="N190" s="758"/>
      <c r="O190" s="756"/>
      <c r="P190" s="758"/>
      <c r="Q190" s="758"/>
      <c r="R190" s="758"/>
      <c r="S190" s="758"/>
      <c r="T190" s="758"/>
    </row>
    <row r="191" ht="16.5" customHeight="1" spans="1:20">
      <c r="A191" s="758"/>
      <c r="B191" s="782" t="s">
        <v>1488</v>
      </c>
      <c r="C191" s="783" t="s">
        <v>1489</v>
      </c>
      <c r="D191" s="783" t="s">
        <v>1489</v>
      </c>
      <c r="E191" s="783" t="s">
        <v>1490</v>
      </c>
      <c r="F191" s="783"/>
      <c r="G191" s="758">
        <v>0</v>
      </c>
      <c r="H191" s="758">
        <v>2</v>
      </c>
      <c r="I191" s="783"/>
      <c r="J191" s="783"/>
      <c r="K191" s="775">
        <v>485</v>
      </c>
      <c r="L191" s="775">
        <v>20</v>
      </c>
      <c r="M191" s="778">
        <v>2</v>
      </c>
      <c r="N191" s="763"/>
      <c r="O191" s="756"/>
      <c r="P191" s="758"/>
      <c r="Q191" s="758"/>
      <c r="R191" s="758"/>
      <c r="S191" s="758"/>
      <c r="T191" s="758"/>
    </row>
    <row r="192" ht="16.5" customHeight="1" spans="1:20">
      <c r="A192" s="758"/>
      <c r="B192" s="759" t="s">
        <v>1491</v>
      </c>
      <c r="C192" s="760" t="s">
        <v>67</v>
      </c>
      <c r="D192" s="760" t="s">
        <v>67</v>
      </c>
      <c r="E192" s="760" t="s">
        <v>66</v>
      </c>
      <c r="F192" s="760"/>
      <c r="G192" s="760">
        <v>0</v>
      </c>
      <c r="H192" s="760">
        <v>2</v>
      </c>
      <c r="I192" s="760"/>
      <c r="J192" s="760"/>
      <c r="K192" s="772">
        <v>105</v>
      </c>
      <c r="L192" s="772">
        <v>14</v>
      </c>
      <c r="M192" s="773">
        <v>2</v>
      </c>
      <c r="N192" s="758"/>
      <c r="O192" s="756"/>
      <c r="P192" s="758"/>
      <c r="Q192" s="758"/>
      <c r="R192" s="758"/>
      <c r="S192" s="758"/>
      <c r="T192" s="758"/>
    </row>
    <row r="193" ht="16.5" customHeight="1" spans="1:20">
      <c r="A193" s="758"/>
      <c r="B193" s="761" t="s">
        <v>1492</v>
      </c>
      <c r="C193" s="762" t="s">
        <v>69</v>
      </c>
      <c r="D193" s="762" t="s">
        <v>69</v>
      </c>
      <c r="E193" s="762" t="s">
        <v>68</v>
      </c>
      <c r="F193" s="762"/>
      <c r="G193" s="758">
        <v>0</v>
      </c>
      <c r="H193" s="758">
        <v>2</v>
      </c>
      <c r="I193" s="762"/>
      <c r="J193" s="762"/>
      <c r="K193" s="775">
        <v>65</v>
      </c>
      <c r="L193" s="775">
        <v>19</v>
      </c>
      <c r="M193" s="776">
        <v>2</v>
      </c>
      <c r="N193" s="758"/>
      <c r="O193" s="756"/>
      <c r="P193" s="758"/>
      <c r="Q193" s="758"/>
      <c r="R193" s="758"/>
      <c r="S193" s="758"/>
      <c r="T193" s="758"/>
    </row>
    <row r="194" ht="16.5" customHeight="1" spans="1:20">
      <c r="A194" s="763"/>
      <c r="B194" s="759" t="s">
        <v>1493</v>
      </c>
      <c r="C194" s="760" t="s">
        <v>1494</v>
      </c>
      <c r="D194" s="760" t="s">
        <v>1494</v>
      </c>
      <c r="E194" s="760" t="s">
        <v>1495</v>
      </c>
      <c r="F194" s="760"/>
      <c r="G194" s="760">
        <v>0</v>
      </c>
      <c r="H194" s="760">
        <v>2</v>
      </c>
      <c r="I194" s="760"/>
      <c r="J194" s="760"/>
      <c r="K194" s="772">
        <v>225</v>
      </c>
      <c r="L194" s="772">
        <v>20</v>
      </c>
      <c r="M194" s="777">
        <v>2</v>
      </c>
      <c r="N194" s="763"/>
      <c r="O194" s="756"/>
      <c r="P194" s="758"/>
      <c r="Q194" s="758"/>
      <c r="R194" s="758"/>
      <c r="S194" s="758"/>
      <c r="T194" s="758"/>
    </row>
    <row r="195" ht="16.5" customHeight="1" spans="1:20">
      <c r="A195" s="763"/>
      <c r="B195" s="782" t="s">
        <v>1496</v>
      </c>
      <c r="C195" s="783" t="s">
        <v>127</v>
      </c>
      <c r="D195" s="783" t="s">
        <v>127</v>
      </c>
      <c r="E195" s="783" t="s">
        <v>126</v>
      </c>
      <c r="F195" s="783"/>
      <c r="G195" s="758">
        <v>0</v>
      </c>
      <c r="H195" s="758">
        <v>2</v>
      </c>
      <c r="I195" s="783"/>
      <c r="J195" s="783"/>
      <c r="K195" s="775">
        <v>225</v>
      </c>
      <c r="L195" s="775">
        <v>20</v>
      </c>
      <c r="M195" s="778">
        <v>2</v>
      </c>
      <c r="N195" s="763"/>
      <c r="O195" s="756"/>
      <c r="P195" s="758"/>
      <c r="Q195" s="758"/>
      <c r="R195" s="758"/>
      <c r="S195" s="758"/>
      <c r="T195" s="758"/>
    </row>
    <row r="196" ht="16.5" customHeight="1" spans="1:20">
      <c r="A196" s="758"/>
      <c r="B196" s="759" t="s">
        <v>1497</v>
      </c>
      <c r="C196" s="760" t="s">
        <v>139</v>
      </c>
      <c r="D196" s="760" t="s">
        <v>139</v>
      </c>
      <c r="E196" s="760" t="s">
        <v>138</v>
      </c>
      <c r="F196" s="760"/>
      <c r="G196" s="760">
        <v>0</v>
      </c>
      <c r="H196" s="760">
        <v>2</v>
      </c>
      <c r="I196" s="760"/>
      <c r="J196" s="760"/>
      <c r="K196" s="772">
        <v>185</v>
      </c>
      <c r="L196" s="772">
        <v>23</v>
      </c>
      <c r="M196" s="773">
        <v>2</v>
      </c>
      <c r="N196" s="758"/>
      <c r="O196" s="756"/>
      <c r="P196" s="758"/>
      <c r="Q196" s="758"/>
      <c r="R196" s="758"/>
      <c r="S196" s="758"/>
      <c r="T196" s="758"/>
    </row>
    <row r="197" ht="16.5" customHeight="1" spans="1:20">
      <c r="A197" s="758"/>
      <c r="B197" s="761" t="s">
        <v>1498</v>
      </c>
      <c r="C197" s="762" t="s">
        <v>35</v>
      </c>
      <c r="D197" s="762" t="s">
        <v>35</v>
      </c>
      <c r="E197" s="762" t="s">
        <v>34</v>
      </c>
      <c r="F197" s="762"/>
      <c r="G197" s="758">
        <v>0</v>
      </c>
      <c r="H197" s="758">
        <v>2</v>
      </c>
      <c r="I197" s="762"/>
      <c r="J197" s="762"/>
      <c r="K197" s="775">
        <v>65</v>
      </c>
      <c r="L197" s="775">
        <v>18</v>
      </c>
      <c r="M197" s="776">
        <v>2</v>
      </c>
      <c r="N197" s="758"/>
      <c r="O197" s="756"/>
      <c r="P197" s="758"/>
      <c r="Q197" s="758"/>
      <c r="R197" s="758"/>
      <c r="S197" s="758"/>
      <c r="T197" s="758"/>
    </row>
    <row r="198" ht="16.5" customHeight="1" spans="1:20">
      <c r="A198" s="758"/>
      <c r="B198" s="759" t="s">
        <v>1499</v>
      </c>
      <c r="C198" s="760" t="s">
        <v>121</v>
      </c>
      <c r="D198" s="760" t="s">
        <v>121</v>
      </c>
      <c r="E198" s="760" t="s">
        <v>120</v>
      </c>
      <c r="F198" s="760"/>
      <c r="G198" s="760">
        <v>0</v>
      </c>
      <c r="H198" s="760">
        <v>2</v>
      </c>
      <c r="I198" s="760"/>
      <c r="J198" s="760"/>
      <c r="K198" s="772">
        <v>85</v>
      </c>
      <c r="L198" s="772">
        <v>6</v>
      </c>
      <c r="M198" s="773">
        <v>2</v>
      </c>
      <c r="N198" s="758"/>
      <c r="O198" s="756"/>
      <c r="P198" s="758"/>
      <c r="Q198" s="758"/>
      <c r="R198" s="758"/>
      <c r="S198" s="758"/>
      <c r="T198" s="758"/>
    </row>
    <row r="199" ht="16.5" customHeight="1" spans="1:20">
      <c r="A199" s="763"/>
      <c r="B199" s="761" t="s">
        <v>1500</v>
      </c>
      <c r="C199" s="762" t="s">
        <v>365</v>
      </c>
      <c r="D199" s="762" t="s">
        <v>365</v>
      </c>
      <c r="E199" s="762" t="s">
        <v>364</v>
      </c>
      <c r="F199" s="762"/>
      <c r="G199" s="758">
        <v>0</v>
      </c>
      <c r="H199" s="758">
        <v>2</v>
      </c>
      <c r="I199" s="762"/>
      <c r="J199" s="762"/>
      <c r="K199" s="775">
        <v>125</v>
      </c>
      <c r="L199" s="775">
        <v>22</v>
      </c>
      <c r="M199" s="776">
        <v>2</v>
      </c>
      <c r="N199" s="758"/>
      <c r="O199" s="756"/>
      <c r="P199" s="758"/>
      <c r="Q199" s="758"/>
      <c r="R199" s="758"/>
      <c r="S199" s="758"/>
      <c r="T199" s="758"/>
    </row>
    <row r="200" ht="16.5" customHeight="1" spans="1:20">
      <c r="A200" s="763"/>
      <c r="B200" s="759" t="s">
        <v>1501</v>
      </c>
      <c r="C200" s="760" t="s">
        <v>369</v>
      </c>
      <c r="D200" s="760" t="s">
        <v>369</v>
      </c>
      <c r="E200" s="760" t="s">
        <v>368</v>
      </c>
      <c r="F200" s="760"/>
      <c r="G200" s="760">
        <v>0</v>
      </c>
      <c r="H200" s="760">
        <v>2</v>
      </c>
      <c r="I200" s="760"/>
      <c r="J200" s="760"/>
      <c r="K200" s="772">
        <v>265</v>
      </c>
      <c r="L200" s="772">
        <v>20</v>
      </c>
      <c r="M200" s="777">
        <v>2</v>
      </c>
      <c r="N200" s="763"/>
      <c r="O200" s="756"/>
      <c r="P200" s="758"/>
      <c r="Q200" s="758"/>
      <c r="R200" s="758"/>
      <c r="S200" s="758"/>
      <c r="T200" s="758"/>
    </row>
    <row r="201" ht="16.5" customHeight="1" spans="1:20">
      <c r="A201" s="763"/>
      <c r="B201" s="761" t="s">
        <v>1502</v>
      </c>
      <c r="C201" s="762" t="s">
        <v>1503</v>
      </c>
      <c r="D201" s="762" t="s">
        <v>1503</v>
      </c>
      <c r="E201" s="762" t="s">
        <v>1504</v>
      </c>
      <c r="F201" s="762"/>
      <c r="G201" s="758">
        <v>0</v>
      </c>
      <c r="H201" s="758">
        <v>2</v>
      </c>
      <c r="I201" s="762"/>
      <c r="J201" s="762"/>
      <c r="K201" s="775">
        <v>265</v>
      </c>
      <c r="L201" s="775">
        <v>20</v>
      </c>
      <c r="M201" s="778">
        <v>2</v>
      </c>
      <c r="N201" s="763"/>
      <c r="O201" s="756"/>
      <c r="P201" s="758"/>
      <c r="Q201" s="758"/>
      <c r="R201" s="758"/>
      <c r="S201" s="758"/>
      <c r="T201" s="758"/>
    </row>
    <row r="202" ht="16.5" customHeight="1" spans="1:20">
      <c r="A202" s="758"/>
      <c r="B202" s="759" t="s">
        <v>1505</v>
      </c>
      <c r="C202" s="760" t="s">
        <v>1064</v>
      </c>
      <c r="D202" s="760" t="s">
        <v>1064</v>
      </c>
      <c r="E202" s="760" t="s">
        <v>70</v>
      </c>
      <c r="F202" s="760"/>
      <c r="G202" s="760">
        <v>0</v>
      </c>
      <c r="H202" s="760">
        <v>2</v>
      </c>
      <c r="I202" s="760"/>
      <c r="J202" s="760"/>
      <c r="K202" s="772">
        <v>75</v>
      </c>
      <c r="L202" s="772">
        <v>17</v>
      </c>
      <c r="M202" s="773">
        <v>2</v>
      </c>
      <c r="N202" s="758"/>
      <c r="O202" s="756"/>
      <c r="P202" s="758"/>
      <c r="Q202" s="758"/>
      <c r="R202" s="758"/>
      <c r="S202" s="758"/>
      <c r="T202" s="758"/>
    </row>
    <row r="203" ht="16.5" customHeight="1" spans="1:20">
      <c r="A203" s="758"/>
      <c r="B203" s="761" t="s">
        <v>1506</v>
      </c>
      <c r="C203" s="762" t="s">
        <v>39</v>
      </c>
      <c r="D203" s="762" t="s">
        <v>39</v>
      </c>
      <c r="E203" s="762" t="s">
        <v>38</v>
      </c>
      <c r="F203" s="762"/>
      <c r="G203" s="758">
        <v>0</v>
      </c>
      <c r="H203" s="758">
        <v>2</v>
      </c>
      <c r="I203" s="762"/>
      <c r="J203" s="762"/>
      <c r="K203" s="775">
        <v>65</v>
      </c>
      <c r="L203" s="775">
        <v>26</v>
      </c>
      <c r="M203" s="776">
        <v>2</v>
      </c>
      <c r="N203" s="758"/>
      <c r="O203" s="756"/>
      <c r="P203" s="758"/>
      <c r="Q203" s="758"/>
      <c r="R203" s="758"/>
      <c r="S203" s="758"/>
      <c r="T203" s="758"/>
    </row>
    <row r="204" ht="16.5" customHeight="1" spans="1:20">
      <c r="A204" s="758"/>
      <c r="B204" s="780" t="s">
        <v>1507</v>
      </c>
      <c r="C204" s="781" t="s">
        <v>269</v>
      </c>
      <c r="D204" s="781" t="s">
        <v>269</v>
      </c>
      <c r="E204" s="781" t="s">
        <v>268</v>
      </c>
      <c r="F204" s="781"/>
      <c r="G204" s="760">
        <v>0</v>
      </c>
      <c r="H204" s="760">
        <v>2</v>
      </c>
      <c r="I204" s="781"/>
      <c r="J204" s="781"/>
      <c r="K204" s="772">
        <v>35</v>
      </c>
      <c r="L204" s="772">
        <v>6</v>
      </c>
      <c r="M204" s="777">
        <v>2</v>
      </c>
      <c r="N204" s="763"/>
      <c r="O204" s="756"/>
      <c r="P204" s="758"/>
      <c r="Q204" s="758"/>
      <c r="R204" s="758"/>
      <c r="S204" s="758"/>
      <c r="T204" s="758"/>
    </row>
    <row r="205" ht="16.5" customHeight="1" spans="1:20">
      <c r="A205" s="763"/>
      <c r="B205" s="761" t="s">
        <v>1508</v>
      </c>
      <c r="C205" s="762" t="s">
        <v>177</v>
      </c>
      <c r="D205" s="762" t="s">
        <v>177</v>
      </c>
      <c r="E205" s="762" t="s">
        <v>176</v>
      </c>
      <c r="F205" s="762"/>
      <c r="G205" s="758">
        <v>0</v>
      </c>
      <c r="H205" s="758">
        <v>2</v>
      </c>
      <c r="I205" s="762"/>
      <c r="J205" s="762"/>
      <c r="K205" s="775">
        <v>35</v>
      </c>
      <c r="L205" s="775">
        <v>20</v>
      </c>
      <c r="M205" s="776">
        <v>10</v>
      </c>
      <c r="N205" s="763"/>
      <c r="O205" s="756"/>
      <c r="P205" s="763"/>
      <c r="Q205" s="763"/>
      <c r="R205" s="763"/>
      <c r="S205" s="758"/>
      <c r="T205" s="758"/>
    </row>
    <row r="206" ht="16.5" customHeight="1" spans="1:20">
      <c r="A206" s="758"/>
      <c r="B206" s="759" t="s">
        <v>1509</v>
      </c>
      <c r="C206" s="760" t="s">
        <v>163</v>
      </c>
      <c r="D206" s="760" t="s">
        <v>163</v>
      </c>
      <c r="E206" s="760" t="s">
        <v>162</v>
      </c>
      <c r="F206" s="760"/>
      <c r="G206" s="760">
        <v>0</v>
      </c>
      <c r="H206" s="760">
        <v>2</v>
      </c>
      <c r="I206" s="760"/>
      <c r="J206" s="760"/>
      <c r="K206" s="772">
        <v>105</v>
      </c>
      <c r="L206" s="772">
        <v>16</v>
      </c>
      <c r="M206" s="773">
        <v>2</v>
      </c>
      <c r="N206" s="758"/>
      <c r="O206" s="756"/>
      <c r="P206" s="758"/>
      <c r="Q206" s="758"/>
      <c r="R206" s="758"/>
      <c r="S206" s="758"/>
      <c r="T206" s="758"/>
    </row>
    <row r="207" ht="16.5" customHeight="1" spans="1:20">
      <c r="A207" s="758"/>
      <c r="B207" s="761" t="s">
        <v>1510</v>
      </c>
      <c r="C207" s="762" t="s">
        <v>1160</v>
      </c>
      <c r="D207" s="762" t="s">
        <v>1160</v>
      </c>
      <c r="E207" s="762" t="s">
        <v>88</v>
      </c>
      <c r="F207" s="762"/>
      <c r="G207" s="758">
        <v>0</v>
      </c>
      <c r="H207" s="758">
        <v>2</v>
      </c>
      <c r="I207" s="762"/>
      <c r="J207" s="762"/>
      <c r="K207" s="775">
        <v>25</v>
      </c>
      <c r="L207" s="775">
        <v>6</v>
      </c>
      <c r="M207" s="776">
        <v>2</v>
      </c>
      <c r="N207" s="758"/>
      <c r="O207" s="756"/>
      <c r="P207" s="758"/>
      <c r="Q207" s="758"/>
      <c r="R207" s="758"/>
      <c r="S207" s="758"/>
      <c r="T207" s="758"/>
    </row>
    <row r="208" ht="16.5" customHeight="1" spans="1:20">
      <c r="A208" s="763"/>
      <c r="B208" s="759" t="s">
        <v>1511</v>
      </c>
      <c r="C208" s="760" t="s">
        <v>377</v>
      </c>
      <c r="D208" s="760" t="s">
        <v>377</v>
      </c>
      <c r="E208" s="760" t="s">
        <v>376</v>
      </c>
      <c r="F208" s="760"/>
      <c r="G208" s="760">
        <v>0</v>
      </c>
      <c r="H208" s="760">
        <v>2</v>
      </c>
      <c r="I208" s="760"/>
      <c r="J208" s="760"/>
      <c r="K208" s="772">
        <v>485</v>
      </c>
      <c r="L208" s="772">
        <v>20</v>
      </c>
      <c r="M208" s="777">
        <v>2</v>
      </c>
      <c r="N208" s="763"/>
      <c r="O208" s="756"/>
      <c r="P208" s="758"/>
      <c r="Q208" s="758"/>
      <c r="R208" s="758"/>
      <c r="S208" s="758"/>
      <c r="T208" s="758"/>
    </row>
    <row r="209" ht="16.5" customHeight="1" spans="1:20">
      <c r="A209" s="763"/>
      <c r="B209" s="761" t="s">
        <v>1512</v>
      </c>
      <c r="C209" s="762" t="s">
        <v>375</v>
      </c>
      <c r="D209" s="762" t="s">
        <v>375</v>
      </c>
      <c r="E209" s="762" t="s">
        <v>374</v>
      </c>
      <c r="F209" s="762"/>
      <c r="G209" s="758">
        <v>0</v>
      </c>
      <c r="H209" s="758">
        <v>2</v>
      </c>
      <c r="I209" s="762"/>
      <c r="J209" s="762"/>
      <c r="K209" s="775">
        <v>175</v>
      </c>
      <c r="L209" s="775">
        <v>20</v>
      </c>
      <c r="M209" s="778">
        <v>2</v>
      </c>
      <c r="N209" s="763"/>
      <c r="O209" s="756"/>
      <c r="P209" s="758"/>
      <c r="Q209" s="758"/>
      <c r="R209" s="758"/>
      <c r="S209" s="758"/>
      <c r="T209" s="758"/>
    </row>
    <row r="210" ht="16.5" customHeight="1" spans="1:20">
      <c r="A210" s="763"/>
      <c r="B210" s="760" t="s">
        <v>1513</v>
      </c>
      <c r="C210" s="760" t="s">
        <v>433</v>
      </c>
      <c r="D210" s="760" t="s">
        <v>433</v>
      </c>
      <c r="E210" s="760" t="s">
        <v>432</v>
      </c>
      <c r="F210" s="760"/>
      <c r="G210" s="760">
        <v>0</v>
      </c>
      <c r="H210" s="760">
        <v>2</v>
      </c>
      <c r="I210" s="760"/>
      <c r="J210" s="760"/>
      <c r="K210" s="772">
        <v>485</v>
      </c>
      <c r="L210" s="772">
        <v>20</v>
      </c>
      <c r="M210" s="777">
        <v>2</v>
      </c>
      <c r="N210" s="763"/>
      <c r="O210" s="756"/>
      <c r="P210" s="758"/>
      <c r="Q210" s="758"/>
      <c r="R210" s="758"/>
      <c r="S210" s="758"/>
      <c r="T210" s="758"/>
    </row>
    <row r="211" ht="16.5" customHeight="1" spans="1:20">
      <c r="A211" s="763"/>
      <c r="B211" s="761" t="s">
        <v>1514</v>
      </c>
      <c r="C211" s="762" t="s">
        <v>271</v>
      </c>
      <c r="D211" s="762" t="s">
        <v>271</v>
      </c>
      <c r="E211" s="762" t="s">
        <v>270</v>
      </c>
      <c r="F211" s="762"/>
      <c r="G211" s="758">
        <v>0</v>
      </c>
      <c r="H211" s="758">
        <v>2</v>
      </c>
      <c r="I211" s="762"/>
      <c r="J211" s="762"/>
      <c r="K211" s="775">
        <v>225</v>
      </c>
      <c r="L211" s="775">
        <v>20</v>
      </c>
      <c r="M211" s="778">
        <v>2</v>
      </c>
      <c r="N211" s="763"/>
      <c r="O211" s="756"/>
      <c r="P211" s="758"/>
      <c r="Q211" s="758"/>
      <c r="R211" s="758"/>
      <c r="S211" s="758"/>
      <c r="T211" s="758"/>
    </row>
    <row r="212" ht="16.5" customHeight="1" spans="1:20">
      <c r="A212" s="763"/>
      <c r="B212" s="759" t="s">
        <v>1515</v>
      </c>
      <c r="C212" s="760" t="s">
        <v>1516</v>
      </c>
      <c r="D212" s="760" t="s">
        <v>1516</v>
      </c>
      <c r="E212" s="760" t="s">
        <v>1517</v>
      </c>
      <c r="F212" s="760"/>
      <c r="G212" s="760">
        <v>0</v>
      </c>
      <c r="H212" s="760">
        <v>2</v>
      </c>
      <c r="I212" s="760"/>
      <c r="J212" s="760"/>
      <c r="K212" s="772">
        <v>185</v>
      </c>
      <c r="L212" s="772">
        <v>30</v>
      </c>
      <c r="M212" s="777">
        <v>2</v>
      </c>
      <c r="N212" s="763"/>
      <c r="O212" s="756"/>
      <c r="P212" s="758"/>
      <c r="Q212" s="758"/>
      <c r="R212" s="758"/>
      <c r="S212" s="758"/>
      <c r="T212" s="758"/>
    </row>
    <row r="213" ht="16.5" customHeight="1" spans="1:20">
      <c r="A213" s="763"/>
      <c r="B213" s="786" t="s">
        <v>1518</v>
      </c>
      <c r="C213" s="783" t="s">
        <v>435</v>
      </c>
      <c r="D213" s="783" t="s">
        <v>435</v>
      </c>
      <c r="E213" s="783" t="s">
        <v>434</v>
      </c>
      <c r="F213" s="783"/>
      <c r="G213" s="758">
        <v>0</v>
      </c>
      <c r="H213" s="758">
        <v>2</v>
      </c>
      <c r="I213" s="783"/>
      <c r="J213" s="783"/>
      <c r="K213" s="775">
        <v>485</v>
      </c>
      <c r="L213" s="775">
        <v>20</v>
      </c>
      <c r="M213" s="778">
        <v>2</v>
      </c>
      <c r="N213" s="763"/>
      <c r="O213" s="756"/>
      <c r="P213" s="758"/>
      <c r="Q213" s="758"/>
      <c r="R213" s="758"/>
      <c r="S213" s="758"/>
      <c r="T213" s="758"/>
    </row>
    <row r="214" ht="16.5" customHeight="1" spans="1:20">
      <c r="A214" s="763"/>
      <c r="B214" s="787" t="s">
        <v>1519</v>
      </c>
      <c r="C214" s="781" t="s">
        <v>1520</v>
      </c>
      <c r="D214" s="781" t="s">
        <v>1520</v>
      </c>
      <c r="E214" s="781" t="s">
        <v>1521</v>
      </c>
      <c r="F214" s="781"/>
      <c r="G214" s="760">
        <v>0</v>
      </c>
      <c r="H214" s="760">
        <v>2</v>
      </c>
      <c r="I214" s="781"/>
      <c r="J214" s="781"/>
      <c r="K214" s="772">
        <v>485</v>
      </c>
      <c r="L214" s="772">
        <v>20</v>
      </c>
      <c r="M214" s="777">
        <v>2</v>
      </c>
      <c r="N214" s="763"/>
      <c r="O214" s="756"/>
      <c r="P214" s="758"/>
      <c r="Q214" s="758"/>
      <c r="R214" s="758"/>
      <c r="S214" s="758"/>
      <c r="T214" s="758"/>
    </row>
    <row r="215" ht="16.5" customHeight="1" spans="1:20">
      <c r="A215" s="758"/>
      <c r="B215" s="761" t="s">
        <v>1522</v>
      </c>
      <c r="C215" s="762" t="s">
        <v>273</v>
      </c>
      <c r="D215" s="762" t="s">
        <v>273</v>
      </c>
      <c r="E215" s="762" t="s">
        <v>272</v>
      </c>
      <c r="F215" s="762"/>
      <c r="G215" s="758">
        <v>0</v>
      </c>
      <c r="H215" s="758">
        <v>2</v>
      </c>
      <c r="I215" s="762"/>
      <c r="J215" s="762"/>
      <c r="K215" s="775">
        <v>175</v>
      </c>
      <c r="L215" s="775">
        <v>14</v>
      </c>
      <c r="M215" s="776">
        <v>2</v>
      </c>
      <c r="N215" s="758"/>
      <c r="O215" s="756"/>
      <c r="P215" s="758"/>
      <c r="Q215" s="758"/>
      <c r="R215" s="758"/>
      <c r="S215" s="758"/>
      <c r="T215" s="758"/>
    </row>
    <row r="216" ht="16.5" customHeight="1" spans="1:20">
      <c r="A216" s="758"/>
      <c r="B216" s="759" t="s">
        <v>1523</v>
      </c>
      <c r="C216" s="760" t="s">
        <v>149</v>
      </c>
      <c r="D216" s="760" t="s">
        <v>149</v>
      </c>
      <c r="E216" s="760" t="s">
        <v>148</v>
      </c>
      <c r="F216" s="760"/>
      <c r="G216" s="760">
        <v>0</v>
      </c>
      <c r="H216" s="760">
        <v>2</v>
      </c>
      <c r="I216" s="760"/>
      <c r="J216" s="760"/>
      <c r="K216" s="772">
        <v>125</v>
      </c>
      <c r="L216" s="772">
        <v>27</v>
      </c>
      <c r="M216" s="773">
        <v>2</v>
      </c>
      <c r="N216" s="758"/>
      <c r="O216" s="756"/>
      <c r="P216" s="758"/>
      <c r="Q216" s="758"/>
      <c r="R216" s="758"/>
      <c r="S216" s="758"/>
      <c r="T216" s="758"/>
    </row>
    <row r="217" ht="16.5" customHeight="1" spans="1:20">
      <c r="A217" s="763"/>
      <c r="B217" s="762" t="s">
        <v>1524</v>
      </c>
      <c r="C217" s="762" t="s">
        <v>277</v>
      </c>
      <c r="D217" s="762" t="s">
        <v>277</v>
      </c>
      <c r="E217" s="762" t="s">
        <v>276</v>
      </c>
      <c r="F217" s="762"/>
      <c r="G217" s="758">
        <v>0</v>
      </c>
      <c r="H217" s="758">
        <v>2</v>
      </c>
      <c r="I217" s="762"/>
      <c r="J217" s="762"/>
      <c r="K217" s="775">
        <v>485</v>
      </c>
      <c r="L217" s="775">
        <v>20</v>
      </c>
      <c r="M217" s="778">
        <v>2</v>
      </c>
      <c r="N217" s="763"/>
      <c r="O217" s="756"/>
      <c r="P217" s="758"/>
      <c r="Q217" s="758"/>
      <c r="R217" s="758"/>
      <c r="S217" s="758"/>
      <c r="T217" s="758"/>
    </row>
    <row r="218" ht="16.5" customHeight="1" spans="1:20">
      <c r="A218" s="763"/>
      <c r="B218" s="760" t="s">
        <v>1525</v>
      </c>
      <c r="C218" s="760" t="s">
        <v>279</v>
      </c>
      <c r="D218" s="760" t="s">
        <v>279</v>
      </c>
      <c r="E218" s="760" t="s">
        <v>278</v>
      </c>
      <c r="F218" s="760"/>
      <c r="G218" s="760">
        <v>0</v>
      </c>
      <c r="H218" s="760">
        <v>2</v>
      </c>
      <c r="I218" s="760"/>
      <c r="J218" s="760"/>
      <c r="K218" s="772">
        <v>235</v>
      </c>
      <c r="L218" s="772">
        <v>22</v>
      </c>
      <c r="M218" s="777">
        <v>2</v>
      </c>
      <c r="N218" s="763"/>
      <c r="O218" s="756"/>
      <c r="P218" s="758"/>
      <c r="Q218" s="758"/>
      <c r="R218" s="758"/>
      <c r="S218" s="758"/>
      <c r="T218" s="758"/>
    </row>
    <row r="219" ht="16.5" customHeight="1" spans="1:20">
      <c r="A219" s="758"/>
      <c r="B219" s="761" t="s">
        <v>87</v>
      </c>
      <c r="C219" s="762" t="s">
        <v>1174</v>
      </c>
      <c r="D219" s="762" t="s">
        <v>1174</v>
      </c>
      <c r="E219" s="762" t="s">
        <v>187</v>
      </c>
      <c r="F219" s="762"/>
      <c r="G219" s="758">
        <v>0</v>
      </c>
      <c r="H219" s="758">
        <v>2</v>
      </c>
      <c r="I219" s="762"/>
      <c r="J219" s="762"/>
      <c r="K219" s="775">
        <v>55</v>
      </c>
      <c r="L219" s="775">
        <v>18</v>
      </c>
      <c r="M219" s="776">
        <v>2</v>
      </c>
      <c r="N219" s="758"/>
      <c r="O219" s="756"/>
      <c r="P219" s="758"/>
      <c r="Q219" s="758"/>
      <c r="R219" s="758"/>
      <c r="S219" s="758"/>
      <c r="T219" s="758"/>
    </row>
    <row r="220" ht="16.5" customHeight="1" spans="1:20">
      <c r="A220" s="758"/>
      <c r="B220" s="760" t="s">
        <v>1526</v>
      </c>
      <c r="C220" s="760" t="s">
        <v>1251</v>
      </c>
      <c r="D220" s="760" t="s">
        <v>1251</v>
      </c>
      <c r="E220" s="760" t="s">
        <v>158</v>
      </c>
      <c r="F220" s="760"/>
      <c r="G220" s="760">
        <v>0</v>
      </c>
      <c r="H220" s="760">
        <v>2</v>
      </c>
      <c r="I220" s="760"/>
      <c r="J220" s="760"/>
      <c r="K220" s="772">
        <v>155</v>
      </c>
      <c r="L220" s="772">
        <v>20</v>
      </c>
      <c r="M220" s="773">
        <v>2</v>
      </c>
      <c r="N220" s="758"/>
      <c r="O220" s="756"/>
      <c r="P220" s="758"/>
      <c r="Q220" s="758"/>
      <c r="R220" s="758"/>
      <c r="S220" s="758"/>
      <c r="T220" s="758"/>
    </row>
    <row r="221" ht="16.5" customHeight="1" spans="1:20">
      <c r="A221" s="758"/>
      <c r="B221" s="761" t="s">
        <v>1527</v>
      </c>
      <c r="C221" s="762" t="s">
        <v>183</v>
      </c>
      <c r="D221" s="762" t="s">
        <v>183</v>
      </c>
      <c r="E221" s="762" t="s">
        <v>182</v>
      </c>
      <c r="F221" s="762"/>
      <c r="G221" s="758">
        <v>0</v>
      </c>
      <c r="H221" s="758">
        <v>2</v>
      </c>
      <c r="I221" s="762"/>
      <c r="J221" s="762"/>
      <c r="K221" s="775">
        <v>95</v>
      </c>
      <c r="L221" s="775">
        <v>7</v>
      </c>
      <c r="M221" s="776">
        <v>2</v>
      </c>
      <c r="N221" s="758"/>
      <c r="O221" s="756"/>
      <c r="P221" s="758"/>
      <c r="Q221" s="758"/>
      <c r="R221" s="758"/>
      <c r="S221" s="758"/>
      <c r="T221" s="758"/>
    </row>
    <row r="222" ht="16.5" customHeight="1" spans="1:20">
      <c r="A222" s="758"/>
      <c r="B222" s="759" t="s">
        <v>1528</v>
      </c>
      <c r="C222" s="760" t="s">
        <v>956</v>
      </c>
      <c r="D222" s="760" t="s">
        <v>956</v>
      </c>
      <c r="E222" s="760" t="s">
        <v>26</v>
      </c>
      <c r="F222" s="760"/>
      <c r="G222" s="760">
        <v>0</v>
      </c>
      <c r="H222" s="760">
        <v>2</v>
      </c>
      <c r="I222" s="760"/>
      <c r="J222" s="760"/>
      <c r="K222" s="772">
        <v>65</v>
      </c>
      <c r="L222" s="772">
        <v>16</v>
      </c>
      <c r="M222" s="773">
        <v>2</v>
      </c>
      <c r="N222" s="758"/>
      <c r="O222" s="756"/>
      <c r="P222" s="758"/>
      <c r="Q222" s="758"/>
      <c r="R222" s="758"/>
      <c r="S222" s="758"/>
      <c r="T222" s="758"/>
    </row>
    <row r="223" ht="16.5" customHeight="1" spans="1:20">
      <c r="A223" s="758"/>
      <c r="B223" s="761" t="s">
        <v>1529</v>
      </c>
      <c r="C223" s="762" t="s">
        <v>25</v>
      </c>
      <c r="D223" s="762" t="s">
        <v>25</v>
      </c>
      <c r="E223" s="762" t="s">
        <v>24</v>
      </c>
      <c r="F223" s="762"/>
      <c r="G223" s="758">
        <v>0</v>
      </c>
      <c r="H223" s="758">
        <v>2</v>
      </c>
      <c r="I223" s="762"/>
      <c r="J223" s="762"/>
      <c r="K223" s="775">
        <v>145</v>
      </c>
      <c r="L223" s="775">
        <v>40</v>
      </c>
      <c r="M223" s="776">
        <v>2</v>
      </c>
      <c r="N223" s="785"/>
      <c r="O223" s="756"/>
      <c r="P223" s="758"/>
      <c r="Q223" s="758"/>
      <c r="R223" s="758"/>
      <c r="S223" s="758"/>
      <c r="T223" s="758"/>
    </row>
    <row r="224" ht="16.5" customHeight="1" spans="1:20">
      <c r="A224" s="758"/>
      <c r="B224" s="759" t="s">
        <v>1530</v>
      </c>
      <c r="C224" s="760" t="s">
        <v>453</v>
      </c>
      <c r="D224" s="760" t="s">
        <v>453</v>
      </c>
      <c r="E224" s="760" t="s">
        <v>452</v>
      </c>
      <c r="F224" s="760"/>
      <c r="G224" s="760">
        <v>0</v>
      </c>
      <c r="H224" s="760">
        <v>2</v>
      </c>
      <c r="I224" s="760"/>
      <c r="J224" s="760"/>
      <c r="K224" s="772">
        <v>805</v>
      </c>
      <c r="L224" s="772">
        <v>20</v>
      </c>
      <c r="M224" s="777">
        <v>2</v>
      </c>
      <c r="N224" s="763"/>
      <c r="O224" s="756"/>
      <c r="P224" s="758"/>
      <c r="Q224" s="758"/>
      <c r="R224" s="758"/>
      <c r="S224" s="758"/>
      <c r="T224" s="758"/>
    </row>
    <row r="225" ht="16.5" customHeight="1" spans="1:20">
      <c r="A225" s="758"/>
      <c r="B225" s="761" t="s">
        <v>1531</v>
      </c>
      <c r="C225" s="762" t="s">
        <v>281</v>
      </c>
      <c r="D225" s="762" t="s">
        <v>281</v>
      </c>
      <c r="E225" s="762" t="s">
        <v>280</v>
      </c>
      <c r="F225" s="762"/>
      <c r="G225" s="758">
        <v>0</v>
      </c>
      <c r="H225" s="758">
        <v>2</v>
      </c>
      <c r="I225" s="762"/>
      <c r="J225" s="762"/>
      <c r="K225" s="775">
        <v>125</v>
      </c>
      <c r="L225" s="775">
        <v>8</v>
      </c>
      <c r="M225" s="776">
        <v>2</v>
      </c>
      <c r="N225" s="758"/>
      <c r="O225" s="756"/>
      <c r="P225" s="758"/>
      <c r="Q225" s="758"/>
      <c r="R225" s="758"/>
      <c r="S225" s="758"/>
      <c r="T225" s="758"/>
    </row>
    <row r="226" ht="16.5" customHeight="1" spans="1:20">
      <c r="A226" s="758"/>
      <c r="B226" s="759" t="s">
        <v>1532</v>
      </c>
      <c r="C226" s="760" t="s">
        <v>283</v>
      </c>
      <c r="D226" s="760" t="s">
        <v>283</v>
      </c>
      <c r="E226" s="760" t="s">
        <v>282</v>
      </c>
      <c r="F226" s="760"/>
      <c r="G226" s="760">
        <v>0</v>
      </c>
      <c r="H226" s="760">
        <v>2</v>
      </c>
      <c r="I226" s="760"/>
      <c r="J226" s="760"/>
      <c r="K226" s="772">
        <v>175</v>
      </c>
      <c r="L226" s="772">
        <v>20</v>
      </c>
      <c r="M226" s="773">
        <v>2</v>
      </c>
      <c r="N226" s="758"/>
      <c r="O226" s="756"/>
      <c r="P226" s="758"/>
      <c r="Q226" s="758"/>
      <c r="R226" s="758"/>
      <c r="S226" s="758"/>
      <c r="T226" s="758"/>
    </row>
    <row r="227" ht="16.5" customHeight="1" spans="1:20">
      <c r="A227" s="763"/>
      <c r="B227" s="761" t="s">
        <v>1533</v>
      </c>
      <c r="C227" s="762" t="s">
        <v>437</v>
      </c>
      <c r="D227" s="762" t="s">
        <v>437</v>
      </c>
      <c r="E227" s="762" t="s">
        <v>436</v>
      </c>
      <c r="F227" s="762"/>
      <c r="G227" s="758">
        <v>0</v>
      </c>
      <c r="H227" s="758">
        <v>2</v>
      </c>
      <c r="I227" s="762"/>
      <c r="J227" s="762"/>
      <c r="K227" s="775">
        <v>225</v>
      </c>
      <c r="L227" s="775">
        <v>20</v>
      </c>
      <c r="M227" s="778">
        <v>2</v>
      </c>
      <c r="N227" s="763"/>
      <c r="O227" s="756"/>
      <c r="P227" s="758"/>
      <c r="Q227" s="758"/>
      <c r="R227" s="758"/>
      <c r="S227" s="758"/>
      <c r="T227" s="758"/>
    </row>
    <row r="228" ht="16.5" customHeight="1" spans="1:20">
      <c r="A228" s="758"/>
      <c r="B228" s="759" t="s">
        <v>1534</v>
      </c>
      <c r="C228" s="760" t="s">
        <v>439</v>
      </c>
      <c r="D228" s="760" t="s">
        <v>439</v>
      </c>
      <c r="E228" s="760" t="s">
        <v>438</v>
      </c>
      <c r="F228" s="760"/>
      <c r="G228" s="760">
        <v>0</v>
      </c>
      <c r="H228" s="760">
        <v>2</v>
      </c>
      <c r="I228" s="760"/>
      <c r="J228" s="760"/>
      <c r="K228" s="772">
        <v>225</v>
      </c>
      <c r="L228" s="772">
        <v>20</v>
      </c>
      <c r="M228" s="773">
        <v>2</v>
      </c>
      <c r="N228" s="758"/>
      <c r="O228" s="756"/>
      <c r="P228" s="758"/>
      <c r="Q228" s="758"/>
      <c r="R228" s="758"/>
      <c r="S228" s="758"/>
      <c r="T228" s="758"/>
    </row>
    <row r="229" ht="16.5" customHeight="1" spans="1:20">
      <c r="A229" s="758"/>
      <c r="B229" s="761" t="s">
        <v>1535</v>
      </c>
      <c r="C229" s="762" t="s">
        <v>171</v>
      </c>
      <c r="D229" s="762" t="s">
        <v>171</v>
      </c>
      <c r="E229" s="762" t="s">
        <v>170</v>
      </c>
      <c r="F229" s="762"/>
      <c r="G229" s="758">
        <v>0</v>
      </c>
      <c r="H229" s="758">
        <v>2</v>
      </c>
      <c r="I229" s="762"/>
      <c r="J229" s="762"/>
      <c r="K229" s="775">
        <v>25</v>
      </c>
      <c r="L229" s="775">
        <v>10</v>
      </c>
      <c r="M229" s="776">
        <v>2</v>
      </c>
      <c r="N229" s="758"/>
      <c r="O229" s="756"/>
      <c r="P229" s="758"/>
      <c r="Q229" s="758"/>
      <c r="R229" s="758"/>
      <c r="S229" s="758"/>
      <c r="T229" s="758"/>
    </row>
    <row r="230" ht="16.5" customHeight="1" spans="1:20">
      <c r="A230" s="763"/>
      <c r="B230" s="759" t="s">
        <v>1536</v>
      </c>
      <c r="C230" s="760" t="s">
        <v>441</v>
      </c>
      <c r="D230" s="760" t="s">
        <v>441</v>
      </c>
      <c r="E230" s="760" t="s">
        <v>1537</v>
      </c>
      <c r="F230" s="760"/>
      <c r="G230" s="760">
        <v>0</v>
      </c>
      <c r="H230" s="760">
        <v>2</v>
      </c>
      <c r="I230" s="760"/>
      <c r="J230" s="760"/>
      <c r="K230" s="772">
        <v>325</v>
      </c>
      <c r="L230" s="772">
        <v>20</v>
      </c>
      <c r="M230" s="777">
        <v>2</v>
      </c>
      <c r="N230" s="763"/>
      <c r="O230" s="756"/>
      <c r="P230" s="758"/>
      <c r="Q230" s="758"/>
      <c r="R230" s="758"/>
      <c r="S230" s="758"/>
      <c r="T230" s="758"/>
    </row>
    <row r="231" ht="16.5" customHeight="1" spans="1:20">
      <c r="A231" s="763"/>
      <c r="B231" s="761" t="s">
        <v>1538</v>
      </c>
      <c r="C231" s="762" t="s">
        <v>285</v>
      </c>
      <c r="D231" s="762" t="s">
        <v>285</v>
      </c>
      <c r="E231" s="762" t="s">
        <v>284</v>
      </c>
      <c r="F231" s="762"/>
      <c r="G231" s="758">
        <v>0</v>
      </c>
      <c r="H231" s="758">
        <v>2</v>
      </c>
      <c r="I231" s="762"/>
      <c r="J231" s="762"/>
      <c r="K231" s="775">
        <v>95</v>
      </c>
      <c r="L231" s="775">
        <v>9</v>
      </c>
      <c r="M231" s="776">
        <v>2</v>
      </c>
      <c r="N231" s="758"/>
      <c r="O231" s="756"/>
      <c r="P231" s="758"/>
      <c r="Q231" s="758"/>
      <c r="R231" s="758"/>
      <c r="S231" s="758"/>
      <c r="T231" s="758"/>
    </row>
    <row r="232" ht="16.5" customHeight="1" spans="1:20">
      <c r="A232" s="763"/>
      <c r="B232" s="759" t="s">
        <v>1539</v>
      </c>
      <c r="C232" s="760" t="s">
        <v>287</v>
      </c>
      <c r="D232" s="760" t="s">
        <v>287</v>
      </c>
      <c r="E232" s="760" t="s">
        <v>286</v>
      </c>
      <c r="F232" s="760"/>
      <c r="G232" s="760">
        <v>0</v>
      </c>
      <c r="H232" s="760">
        <v>2</v>
      </c>
      <c r="I232" s="760"/>
      <c r="J232" s="760"/>
      <c r="K232" s="772">
        <v>105</v>
      </c>
      <c r="L232" s="772">
        <v>10</v>
      </c>
      <c r="M232" s="777">
        <v>2</v>
      </c>
      <c r="N232" s="763"/>
      <c r="O232" s="756"/>
      <c r="P232" s="758"/>
      <c r="Q232" s="758"/>
      <c r="R232" s="758"/>
      <c r="S232" s="758"/>
      <c r="T232" s="758"/>
    </row>
    <row r="233" ht="16.5" customHeight="1" spans="1:20">
      <c r="A233" s="22"/>
      <c r="B233" s="22"/>
      <c r="C233" s="22"/>
      <c r="D233" s="22"/>
      <c r="E233" s="22"/>
      <c r="F233" s="22"/>
      <c r="G233" s="22"/>
      <c r="H233" s="22"/>
      <c r="I233" s="22"/>
      <c r="J233" s="22"/>
      <c r="K233" s="22"/>
      <c r="L233" s="22"/>
      <c r="M233" s="22"/>
      <c r="N233" s="22"/>
      <c r="O233" s="32"/>
      <c r="P233" s="32"/>
      <c r="Q233" s="32"/>
      <c r="R233" s="32"/>
      <c r="S233" s="32"/>
      <c r="T233" s="32"/>
    </row>
    <row r="234" ht="16.5" customHeight="1" spans="1:20">
      <c r="A234" s="788"/>
      <c r="B234" s="788"/>
      <c r="C234" s="788"/>
      <c r="D234" s="788"/>
      <c r="E234" s="788"/>
      <c r="F234" s="788"/>
      <c r="G234" s="788"/>
      <c r="H234" s="788"/>
      <c r="I234" s="788"/>
      <c r="J234" s="788"/>
      <c r="K234" s="788"/>
      <c r="L234" s="788"/>
      <c r="M234" s="788"/>
      <c r="N234" s="788"/>
      <c r="O234" s="32"/>
      <c r="P234" s="32"/>
      <c r="Q234" s="32"/>
      <c r="R234" s="32"/>
      <c r="S234" s="32"/>
      <c r="T234" s="32"/>
    </row>
    <row r="235" ht="16.5" customHeight="1" spans="1:20">
      <c r="A235" s="789" t="s">
        <v>1540</v>
      </c>
      <c r="B235" s="789"/>
      <c r="C235" s="789"/>
      <c r="D235" s="789"/>
      <c r="E235" s="789"/>
      <c r="F235" s="789"/>
      <c r="G235" s="789"/>
      <c r="H235" s="789"/>
      <c r="I235" s="789"/>
      <c r="J235" s="789"/>
      <c r="K235" s="789"/>
      <c r="L235" s="789"/>
      <c r="M235" s="789"/>
      <c r="N235" s="789"/>
      <c r="O235" s="32"/>
      <c r="P235" s="32"/>
      <c r="Q235" s="32"/>
      <c r="R235" s="32"/>
      <c r="S235" s="32"/>
      <c r="T235" s="32"/>
    </row>
  </sheetData>
  <sheetProtection formatCells="0" formatColumns="0" formatRows="0" insertRows="0" insertColumns="0" insertHyperlinks="0" deleteColumns="0" deleteRows="0" sort="0" autoFilter="0" pivotTables="0"/>
  <mergeCells count="1">
    <mergeCell ref="O1:O8"/>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56"/>
  <sheetViews>
    <sheetView workbookViewId="0">
      <selection activeCell="J12" sqref="J12:J14"/>
    </sheetView>
  </sheetViews>
  <sheetFormatPr defaultColWidth="8.725" defaultRowHeight="13.5"/>
  <sheetData>
    <row r="1" ht="66" customHeight="1" spans="2:15">
      <c r="B1" s="705" t="s">
        <v>1541</v>
      </c>
      <c r="C1" s="705"/>
      <c r="D1" s="706" t="s">
        <v>1542</v>
      </c>
      <c r="E1" s="706" t="s">
        <v>1543</v>
      </c>
      <c r="F1" s="706" t="s">
        <v>1544</v>
      </c>
      <c r="G1" s="706" t="s">
        <v>1545</v>
      </c>
      <c r="H1" s="706" t="s">
        <v>1546</v>
      </c>
      <c r="I1" s="736" t="s">
        <v>1547</v>
      </c>
      <c r="J1" s="736" t="s">
        <v>1548</v>
      </c>
      <c r="K1" s="706" t="s">
        <v>1543</v>
      </c>
      <c r="L1" s="706" t="s">
        <v>1542</v>
      </c>
      <c r="M1" s="736" t="s">
        <v>1549</v>
      </c>
      <c r="N1" s="737" t="s">
        <v>1550</v>
      </c>
      <c r="O1" s="2"/>
    </row>
    <row r="2" ht="16.5" spans="2:14">
      <c r="B2" s="707" t="s">
        <v>24</v>
      </c>
      <c r="C2" s="602" t="s">
        <v>25</v>
      </c>
      <c r="D2" s="708">
        <v>22</v>
      </c>
      <c r="E2" s="708">
        <v>76</v>
      </c>
      <c r="F2" s="709" t="s">
        <v>1551</v>
      </c>
      <c r="G2" s="710">
        <v>0</v>
      </c>
      <c r="H2" s="711">
        <v>0.15</v>
      </c>
      <c r="I2" s="631" t="s">
        <v>1552</v>
      </c>
      <c r="J2" s="631" t="s">
        <v>1553</v>
      </c>
      <c r="K2" s="585">
        <v>105</v>
      </c>
      <c r="L2" s="585">
        <v>24</v>
      </c>
      <c r="M2" s="632" t="s">
        <v>1554</v>
      </c>
      <c r="N2" s="738" t="s">
        <v>1555</v>
      </c>
    </row>
    <row r="3" ht="16.5" spans="2:15">
      <c r="B3" s="712" t="s">
        <v>24</v>
      </c>
      <c r="C3" s="602" t="s">
        <v>25</v>
      </c>
      <c r="D3" s="708">
        <v>20</v>
      </c>
      <c r="E3" s="708">
        <v>76</v>
      </c>
      <c r="F3" s="709" t="s">
        <v>1556</v>
      </c>
      <c r="G3" s="710">
        <v>0</v>
      </c>
      <c r="H3" s="711">
        <v>0.3</v>
      </c>
      <c r="I3" s="631"/>
      <c r="J3" s="631"/>
      <c r="K3" s="585">
        <v>98</v>
      </c>
      <c r="L3" s="585">
        <v>22</v>
      </c>
      <c r="M3" s="632"/>
      <c r="N3" s="739"/>
      <c r="O3" s="2"/>
    </row>
    <row r="4" ht="33" spans="2:15">
      <c r="B4" s="712" t="s">
        <v>24</v>
      </c>
      <c r="C4" s="602" t="s">
        <v>25</v>
      </c>
      <c r="D4" s="708">
        <v>20</v>
      </c>
      <c r="E4" s="708">
        <v>76</v>
      </c>
      <c r="F4" s="709" t="s">
        <v>1557</v>
      </c>
      <c r="G4" s="710">
        <v>0.301</v>
      </c>
      <c r="H4" s="711">
        <v>0.453</v>
      </c>
      <c r="I4" s="631"/>
      <c r="J4" s="631"/>
      <c r="K4" s="585">
        <v>98</v>
      </c>
      <c r="L4" s="585">
        <v>18</v>
      </c>
      <c r="M4" s="632"/>
      <c r="N4" s="739"/>
      <c r="O4" s="2"/>
    </row>
    <row r="5" ht="16.5" spans="2:15">
      <c r="B5" s="712" t="s">
        <v>24</v>
      </c>
      <c r="C5" s="602" t="s">
        <v>25</v>
      </c>
      <c r="D5" s="708">
        <v>20</v>
      </c>
      <c r="E5" s="708">
        <v>76</v>
      </c>
      <c r="F5" s="709" t="s">
        <v>1558</v>
      </c>
      <c r="G5" s="710">
        <v>0.454</v>
      </c>
      <c r="H5" s="711">
        <v>0.7</v>
      </c>
      <c r="I5" s="631"/>
      <c r="J5" s="631"/>
      <c r="K5" s="585">
        <v>90</v>
      </c>
      <c r="L5" s="585">
        <v>16</v>
      </c>
      <c r="M5" s="632"/>
      <c r="N5" s="739"/>
      <c r="O5" s="2"/>
    </row>
    <row r="6" ht="33" spans="2:15">
      <c r="B6" s="712" t="s">
        <v>24</v>
      </c>
      <c r="C6" s="602" t="s">
        <v>25</v>
      </c>
      <c r="D6" s="708">
        <v>16</v>
      </c>
      <c r="E6" s="708">
        <v>76</v>
      </c>
      <c r="F6" s="709" t="s">
        <v>1559</v>
      </c>
      <c r="G6" s="710">
        <v>0.701</v>
      </c>
      <c r="H6" s="711">
        <v>1.814</v>
      </c>
      <c r="I6" s="631"/>
      <c r="J6" s="634"/>
      <c r="K6" s="585">
        <v>86</v>
      </c>
      <c r="L6" s="585">
        <v>9</v>
      </c>
      <c r="M6" s="632"/>
      <c r="N6" s="739"/>
      <c r="O6" s="2"/>
    </row>
    <row r="7" ht="16.5" spans="2:15">
      <c r="B7" s="712" t="s">
        <v>24</v>
      </c>
      <c r="C7" s="602" t="s">
        <v>25</v>
      </c>
      <c r="D7" s="708">
        <v>16</v>
      </c>
      <c r="E7" s="708">
        <v>79</v>
      </c>
      <c r="F7" s="709" t="s">
        <v>1560</v>
      </c>
      <c r="G7" s="710">
        <v>1.815</v>
      </c>
      <c r="H7" s="711">
        <v>2</v>
      </c>
      <c r="I7" s="631"/>
      <c r="J7" s="740"/>
      <c r="K7" s="585">
        <v>77</v>
      </c>
      <c r="L7" s="585">
        <v>9</v>
      </c>
      <c r="M7" s="632"/>
      <c r="N7" s="739"/>
      <c r="O7" s="2"/>
    </row>
    <row r="8" ht="16.5" spans="2:15">
      <c r="B8" s="713" t="s">
        <v>24</v>
      </c>
      <c r="C8" s="602" t="s">
        <v>25</v>
      </c>
      <c r="D8" s="708">
        <v>12</v>
      </c>
      <c r="E8" s="708">
        <v>76</v>
      </c>
      <c r="F8" s="709" t="s">
        <v>1561</v>
      </c>
      <c r="G8" s="710">
        <v>2.001</v>
      </c>
      <c r="H8" s="711">
        <v>10</v>
      </c>
      <c r="I8" s="631"/>
      <c r="J8" s="631"/>
      <c r="K8" s="585">
        <v>77</v>
      </c>
      <c r="L8" s="585">
        <v>9</v>
      </c>
      <c r="M8" s="632"/>
      <c r="N8" s="741"/>
      <c r="O8" s="2"/>
    </row>
    <row r="9" ht="16.5" spans="2:15">
      <c r="B9" s="714" t="s">
        <v>26</v>
      </c>
      <c r="C9" s="602" t="s">
        <v>27</v>
      </c>
      <c r="D9" s="589">
        <v>16</v>
      </c>
      <c r="E9" s="589">
        <v>50</v>
      </c>
      <c r="F9" s="715" t="s">
        <v>1562</v>
      </c>
      <c r="G9" s="710">
        <v>0</v>
      </c>
      <c r="H9" s="711">
        <v>0.3</v>
      </c>
      <c r="I9" s="634" t="s">
        <v>1563</v>
      </c>
      <c r="J9" s="634" t="s">
        <v>1564</v>
      </c>
      <c r="K9" s="210">
        <v>44</v>
      </c>
      <c r="L9" s="210">
        <v>16</v>
      </c>
      <c r="M9" s="635" t="s">
        <v>1565</v>
      </c>
      <c r="N9" s="636" t="s">
        <v>1566</v>
      </c>
      <c r="O9" s="2"/>
    </row>
    <row r="10" ht="16.5" spans="2:15">
      <c r="B10" s="716" t="s">
        <v>26</v>
      </c>
      <c r="C10" s="602" t="s">
        <v>27</v>
      </c>
      <c r="D10" s="589">
        <v>16</v>
      </c>
      <c r="E10" s="589">
        <v>53</v>
      </c>
      <c r="F10" s="715" t="s">
        <v>1567</v>
      </c>
      <c r="G10" s="710">
        <v>0.301</v>
      </c>
      <c r="H10" s="711">
        <v>1</v>
      </c>
      <c r="I10" s="637"/>
      <c r="J10" s="637"/>
      <c r="K10" s="210">
        <v>44</v>
      </c>
      <c r="L10" s="210">
        <v>16</v>
      </c>
      <c r="M10" s="638"/>
      <c r="N10" s="639"/>
      <c r="O10" s="2"/>
    </row>
    <row r="11" ht="16.5" spans="2:15">
      <c r="B11" s="716" t="s">
        <v>26</v>
      </c>
      <c r="C11" s="602" t="s">
        <v>27</v>
      </c>
      <c r="D11" s="589">
        <v>16</v>
      </c>
      <c r="E11" s="589">
        <v>53</v>
      </c>
      <c r="F11" s="715" t="s">
        <v>1568</v>
      </c>
      <c r="G11" s="710">
        <v>1.001</v>
      </c>
      <c r="H11" s="711">
        <v>20</v>
      </c>
      <c r="I11" s="637"/>
      <c r="J11" s="637"/>
      <c r="K11" s="210">
        <v>44</v>
      </c>
      <c r="L11" s="210">
        <v>16</v>
      </c>
      <c r="M11" s="638"/>
      <c r="N11" s="639"/>
      <c r="O11" s="2"/>
    </row>
    <row r="12" ht="16.5" spans="2:15">
      <c r="B12" s="714" t="s">
        <v>72</v>
      </c>
      <c r="C12" s="602" t="s">
        <v>73</v>
      </c>
      <c r="D12" s="589">
        <v>19</v>
      </c>
      <c r="E12" s="589">
        <v>59</v>
      </c>
      <c r="F12" s="715" t="s">
        <v>1569</v>
      </c>
      <c r="G12" s="710">
        <v>0</v>
      </c>
      <c r="H12" s="711">
        <v>0.1</v>
      </c>
      <c r="I12" s="634" t="s">
        <v>1563</v>
      </c>
      <c r="J12" s="634" t="s">
        <v>1570</v>
      </c>
      <c r="K12" s="210">
        <v>52</v>
      </c>
      <c r="L12" s="210">
        <v>19</v>
      </c>
      <c r="M12" s="635" t="s">
        <v>1571</v>
      </c>
      <c r="N12" s="738" t="s">
        <v>1572</v>
      </c>
      <c r="O12" s="2"/>
    </row>
    <row r="13" ht="16.5" spans="2:15">
      <c r="B13" s="716" t="s">
        <v>72</v>
      </c>
      <c r="C13" s="602" t="s">
        <v>73</v>
      </c>
      <c r="D13" s="589">
        <v>19</v>
      </c>
      <c r="E13" s="589">
        <v>59</v>
      </c>
      <c r="F13" s="715" t="s">
        <v>1573</v>
      </c>
      <c r="G13" s="710">
        <v>0.1</v>
      </c>
      <c r="H13" s="711">
        <v>0.3</v>
      </c>
      <c r="I13" s="637"/>
      <c r="J13" s="637"/>
      <c r="K13" s="210">
        <v>52</v>
      </c>
      <c r="L13" s="210">
        <v>19</v>
      </c>
      <c r="M13" s="638"/>
      <c r="N13" s="739"/>
      <c r="O13" s="2"/>
    </row>
    <row r="14" ht="16.5" spans="2:15">
      <c r="B14" s="716" t="s">
        <v>72</v>
      </c>
      <c r="C14" s="602" t="s">
        <v>73</v>
      </c>
      <c r="D14" s="589">
        <v>22</v>
      </c>
      <c r="E14" s="589">
        <v>59</v>
      </c>
      <c r="F14" s="715" t="s">
        <v>1574</v>
      </c>
      <c r="G14" s="710">
        <v>0.301</v>
      </c>
      <c r="H14" s="711">
        <v>30</v>
      </c>
      <c r="I14" s="637"/>
      <c r="J14" s="637"/>
      <c r="K14" s="210">
        <v>52</v>
      </c>
      <c r="L14" s="210">
        <v>21</v>
      </c>
      <c r="M14" s="638"/>
      <c r="N14" s="739"/>
      <c r="O14" s="2"/>
    </row>
    <row r="15" ht="16.5" spans="2:15">
      <c r="B15" s="714" t="s">
        <v>32</v>
      </c>
      <c r="C15" s="602" t="s">
        <v>33</v>
      </c>
      <c r="D15" s="589">
        <v>24</v>
      </c>
      <c r="E15" s="589">
        <v>64</v>
      </c>
      <c r="F15" s="715" t="s">
        <v>1562</v>
      </c>
      <c r="G15" s="710">
        <v>0</v>
      </c>
      <c r="H15" s="711">
        <v>0.3</v>
      </c>
      <c r="I15" s="634" t="s">
        <v>1563</v>
      </c>
      <c r="J15" s="634" t="s">
        <v>1570</v>
      </c>
      <c r="K15" s="210">
        <v>59</v>
      </c>
      <c r="L15" s="210">
        <v>24</v>
      </c>
      <c r="M15" s="649" t="s">
        <v>1575</v>
      </c>
      <c r="N15" s="738"/>
      <c r="O15" s="2"/>
    </row>
    <row r="16" ht="16.5" spans="2:15">
      <c r="B16" s="716" t="s">
        <v>32</v>
      </c>
      <c r="C16" s="602" t="s">
        <v>33</v>
      </c>
      <c r="D16" s="589">
        <v>23</v>
      </c>
      <c r="E16" s="589">
        <v>62</v>
      </c>
      <c r="F16" s="715" t="s">
        <v>1576</v>
      </c>
      <c r="G16" s="710">
        <v>0.3</v>
      </c>
      <c r="H16" s="711">
        <v>5</v>
      </c>
      <c r="I16" s="634"/>
      <c r="J16" s="634"/>
      <c r="K16" s="210">
        <v>55</v>
      </c>
      <c r="L16" s="210">
        <v>23</v>
      </c>
      <c r="M16" s="650"/>
      <c r="N16" s="741"/>
      <c r="O16" s="2"/>
    </row>
    <row r="17" ht="16.5" spans="2:15">
      <c r="B17" s="714" t="s">
        <v>34</v>
      </c>
      <c r="C17" s="602" t="s">
        <v>35</v>
      </c>
      <c r="D17" s="589">
        <v>18</v>
      </c>
      <c r="E17" s="589">
        <v>56</v>
      </c>
      <c r="F17" s="715" t="s">
        <v>1577</v>
      </c>
      <c r="G17" s="710">
        <v>0</v>
      </c>
      <c r="H17" s="711">
        <v>1</v>
      </c>
      <c r="I17" s="634" t="s">
        <v>1564</v>
      </c>
      <c r="J17" s="634" t="s">
        <v>1570</v>
      </c>
      <c r="K17" s="210">
        <v>55</v>
      </c>
      <c r="L17" s="210">
        <v>18</v>
      </c>
      <c r="M17" s="635" t="s">
        <v>1578</v>
      </c>
      <c r="N17" s="738"/>
      <c r="O17" s="2"/>
    </row>
    <row r="18" ht="16.5" spans="2:15">
      <c r="B18" s="716" t="s">
        <v>34</v>
      </c>
      <c r="C18" s="602" t="s">
        <v>35</v>
      </c>
      <c r="D18" s="589">
        <v>18</v>
      </c>
      <c r="E18" s="589">
        <v>56</v>
      </c>
      <c r="F18" s="715" t="s">
        <v>1579</v>
      </c>
      <c r="G18" s="710">
        <v>1.001</v>
      </c>
      <c r="H18" s="711">
        <v>30</v>
      </c>
      <c r="I18" s="634"/>
      <c r="J18" s="634"/>
      <c r="K18" s="210">
        <v>50</v>
      </c>
      <c r="L18" s="210">
        <v>18</v>
      </c>
      <c r="M18" s="643"/>
      <c r="N18" s="741"/>
      <c r="O18" s="2"/>
    </row>
    <row r="19" ht="16.5" spans="2:15">
      <c r="B19" s="717" t="s">
        <v>28</v>
      </c>
      <c r="C19" s="718" t="s">
        <v>29</v>
      </c>
      <c r="D19" s="719"/>
      <c r="E19" s="719"/>
      <c r="F19" s="720" t="s">
        <v>1580</v>
      </c>
      <c r="G19" s="721">
        <v>0</v>
      </c>
      <c r="H19" s="722">
        <v>0.2</v>
      </c>
      <c r="I19" s="108" t="s">
        <v>1563</v>
      </c>
      <c r="J19" s="108" t="s">
        <v>1552</v>
      </c>
      <c r="K19" s="210">
        <v>61</v>
      </c>
      <c r="L19" s="210">
        <v>19</v>
      </c>
      <c r="M19" s="742" t="s">
        <v>1581</v>
      </c>
      <c r="N19" s="743" t="s">
        <v>1582</v>
      </c>
      <c r="O19" s="2"/>
    </row>
    <row r="20" ht="33" spans="2:15">
      <c r="B20" s="717" t="s">
        <v>28</v>
      </c>
      <c r="C20" s="718" t="s">
        <v>29</v>
      </c>
      <c r="D20" s="719"/>
      <c r="E20" s="719"/>
      <c r="F20" s="720" t="s">
        <v>1583</v>
      </c>
      <c r="G20" s="721">
        <v>0.201</v>
      </c>
      <c r="H20" s="722">
        <v>0.4</v>
      </c>
      <c r="I20" s="108"/>
      <c r="J20" s="108"/>
      <c r="K20" s="210">
        <v>61</v>
      </c>
      <c r="L20" s="210">
        <v>19</v>
      </c>
      <c r="M20" s="742"/>
      <c r="N20" s="743"/>
      <c r="O20" s="2"/>
    </row>
    <row r="21" ht="33" spans="2:15">
      <c r="B21" s="717" t="s">
        <v>28</v>
      </c>
      <c r="C21" s="718" t="s">
        <v>29</v>
      </c>
      <c r="D21" s="719"/>
      <c r="E21" s="719"/>
      <c r="F21" s="720" t="s">
        <v>1584</v>
      </c>
      <c r="G21" s="721">
        <v>0.401</v>
      </c>
      <c r="H21" s="722">
        <v>2</v>
      </c>
      <c r="I21" s="108"/>
      <c r="J21" s="108"/>
      <c r="K21" s="210">
        <v>62</v>
      </c>
      <c r="L21" s="210">
        <v>21</v>
      </c>
      <c r="M21" s="742"/>
      <c r="N21" s="743"/>
      <c r="O21" s="2"/>
    </row>
    <row r="22" ht="16.5" spans="2:15">
      <c r="B22" s="723" t="s">
        <v>1585</v>
      </c>
      <c r="C22" s="724"/>
      <c r="D22" s="724"/>
      <c r="E22" s="724"/>
      <c r="F22" s="724"/>
      <c r="G22" s="724"/>
      <c r="H22" s="724"/>
      <c r="I22" s="724"/>
      <c r="J22" s="724"/>
      <c r="K22" s="724"/>
      <c r="L22" s="724"/>
      <c r="M22" s="724"/>
      <c r="N22" s="744"/>
      <c r="O22" s="2"/>
    </row>
    <row r="23" ht="16.5" spans="2:15">
      <c r="B23" s="607" t="s">
        <v>1586</v>
      </c>
      <c r="C23" s="608"/>
      <c r="D23" s="725"/>
      <c r="E23" s="726"/>
      <c r="F23" s="726"/>
      <c r="G23" s="726"/>
      <c r="H23" s="726"/>
      <c r="I23" s="685"/>
      <c r="J23" s="685"/>
      <c r="K23" s="685"/>
      <c r="L23" s="685"/>
      <c r="M23" s="686"/>
      <c r="N23" s="687"/>
      <c r="O23" s="2"/>
    </row>
    <row r="24" ht="16.5" spans="2:15">
      <c r="B24" s="612" t="s">
        <v>1587</v>
      </c>
      <c r="C24" s="613"/>
      <c r="D24" s="727"/>
      <c r="E24" s="728"/>
      <c r="F24" s="728"/>
      <c r="G24" s="728"/>
      <c r="H24" s="728"/>
      <c r="I24" s="688"/>
      <c r="J24" s="688"/>
      <c r="K24" s="688"/>
      <c r="L24" s="688"/>
      <c r="M24" s="689"/>
      <c r="N24" s="690"/>
      <c r="O24" s="2"/>
    </row>
    <row r="25" ht="16.5" spans="2:15">
      <c r="B25" s="617" t="s">
        <v>1588</v>
      </c>
      <c r="C25" s="618"/>
      <c r="D25" s="618"/>
      <c r="E25" s="618"/>
      <c r="F25" s="618"/>
      <c r="G25" s="618"/>
      <c r="H25" s="618"/>
      <c r="I25" s="618"/>
      <c r="J25" s="618"/>
      <c r="K25" s="618"/>
      <c r="L25" s="618"/>
      <c r="M25" s="618"/>
      <c r="N25" s="745"/>
      <c r="O25" s="2"/>
    </row>
    <row r="26" ht="16.5" spans="2:15">
      <c r="B26" s="621" t="s">
        <v>1589</v>
      </c>
      <c r="C26" s="622"/>
      <c r="D26" s="622"/>
      <c r="E26" s="622"/>
      <c r="F26" s="622"/>
      <c r="G26" s="622"/>
      <c r="H26" s="622"/>
      <c r="I26" s="622"/>
      <c r="J26" s="622"/>
      <c r="K26" s="622"/>
      <c r="L26" s="622"/>
      <c r="M26" s="622"/>
      <c r="N26" s="746"/>
      <c r="O26" s="2"/>
    </row>
    <row r="27" ht="16.5" spans="2:15">
      <c r="B27" s="623" t="s">
        <v>1590</v>
      </c>
      <c r="C27" s="624"/>
      <c r="D27" s="624"/>
      <c r="E27" s="624"/>
      <c r="F27" s="624"/>
      <c r="G27" s="624"/>
      <c r="H27" s="624"/>
      <c r="I27" s="624"/>
      <c r="J27" s="624"/>
      <c r="K27" s="624"/>
      <c r="L27" s="624"/>
      <c r="M27" s="624"/>
      <c r="N27" s="697"/>
      <c r="O27" s="2"/>
    </row>
    <row r="28" ht="16.5" spans="2:15">
      <c r="B28" s="625" t="s">
        <v>1591</v>
      </c>
      <c r="C28" s="626"/>
      <c r="D28" s="626"/>
      <c r="E28" s="626"/>
      <c r="F28" s="626"/>
      <c r="G28" s="626"/>
      <c r="H28" s="626"/>
      <c r="I28" s="626"/>
      <c r="J28" s="626"/>
      <c r="K28" s="626"/>
      <c r="L28" s="626"/>
      <c r="M28" s="626"/>
      <c r="N28" s="747"/>
      <c r="O28" s="2"/>
    </row>
    <row r="29" ht="16.5" spans="2:15">
      <c r="B29" s="627" t="s">
        <v>1592</v>
      </c>
      <c r="C29" s="628"/>
      <c r="D29" s="628"/>
      <c r="E29" s="628"/>
      <c r="F29" s="628"/>
      <c r="G29" s="628"/>
      <c r="H29" s="628"/>
      <c r="I29" s="628"/>
      <c r="J29" s="628"/>
      <c r="K29" s="628"/>
      <c r="L29" s="628"/>
      <c r="M29" s="628"/>
      <c r="N29" s="696"/>
      <c r="O29" s="2"/>
    </row>
    <row r="30" ht="16.5" spans="2:15">
      <c r="B30" s="623" t="s">
        <v>1593</v>
      </c>
      <c r="C30" s="624"/>
      <c r="D30" s="624"/>
      <c r="E30" s="624"/>
      <c r="F30" s="624"/>
      <c r="G30" s="624"/>
      <c r="H30" s="624"/>
      <c r="I30" s="624"/>
      <c r="J30" s="624"/>
      <c r="K30" s="624"/>
      <c r="L30" s="624"/>
      <c r="M30" s="624"/>
      <c r="N30" s="697"/>
      <c r="O30" s="2"/>
    </row>
    <row r="31" ht="16.5" spans="2:15">
      <c r="B31" s="623" t="s">
        <v>1594</v>
      </c>
      <c r="C31" s="624"/>
      <c r="D31" s="624"/>
      <c r="E31" s="624"/>
      <c r="F31" s="624"/>
      <c r="G31" s="624"/>
      <c r="H31" s="624"/>
      <c r="I31" s="624"/>
      <c r="J31" s="624"/>
      <c r="K31" s="624"/>
      <c r="L31" s="624"/>
      <c r="M31" s="624"/>
      <c r="N31" s="697"/>
      <c r="O31" s="2"/>
    </row>
    <row r="32" ht="16.5" spans="2:15">
      <c r="B32" s="698" t="s">
        <v>1595</v>
      </c>
      <c r="C32" s="699"/>
      <c r="D32" s="699"/>
      <c r="E32" s="699"/>
      <c r="F32" s="699"/>
      <c r="G32" s="699"/>
      <c r="H32" s="699"/>
      <c r="I32" s="699"/>
      <c r="J32" s="699"/>
      <c r="K32" s="699"/>
      <c r="L32" s="699"/>
      <c r="M32" s="699"/>
      <c r="N32" s="702"/>
      <c r="O32" s="2"/>
    </row>
    <row r="33" ht="16.5" spans="2:15">
      <c r="B33" s="698" t="s">
        <v>1596</v>
      </c>
      <c r="C33" s="699"/>
      <c r="D33" s="699"/>
      <c r="E33" s="699"/>
      <c r="F33" s="699"/>
      <c r="G33" s="699"/>
      <c r="H33" s="699"/>
      <c r="I33" s="699"/>
      <c r="J33" s="699"/>
      <c r="K33" s="699"/>
      <c r="L33" s="699"/>
      <c r="M33" s="699"/>
      <c r="N33" s="702"/>
      <c r="O33" s="2"/>
    </row>
    <row r="34" ht="16.5" spans="2:15">
      <c r="B34" s="700" t="s">
        <v>1597</v>
      </c>
      <c r="C34" s="701"/>
      <c r="D34" s="701"/>
      <c r="E34" s="701"/>
      <c r="F34" s="701"/>
      <c r="G34" s="701"/>
      <c r="H34" s="701"/>
      <c r="I34" s="701"/>
      <c r="J34" s="701"/>
      <c r="K34" s="701"/>
      <c r="L34" s="701"/>
      <c r="M34" s="701"/>
      <c r="N34" s="748"/>
      <c r="O34" s="2"/>
    </row>
    <row r="35" ht="16.5" spans="2:15">
      <c r="B35" s="623" t="s">
        <v>1598</v>
      </c>
      <c r="C35" s="624"/>
      <c r="D35" s="624"/>
      <c r="E35" s="624"/>
      <c r="F35" s="624"/>
      <c r="G35" s="624"/>
      <c r="H35" s="624"/>
      <c r="I35" s="624"/>
      <c r="J35" s="624"/>
      <c r="K35" s="624"/>
      <c r="L35" s="624"/>
      <c r="M35" s="624"/>
      <c r="N35" s="697"/>
      <c r="O35" s="2"/>
    </row>
    <row r="36" ht="16.5" spans="2:15">
      <c r="B36" s="623" t="s">
        <v>1599</v>
      </c>
      <c r="C36" s="624"/>
      <c r="D36" s="624"/>
      <c r="E36" s="624"/>
      <c r="F36" s="624"/>
      <c r="G36" s="624"/>
      <c r="H36" s="624"/>
      <c r="I36" s="624"/>
      <c r="J36" s="624"/>
      <c r="K36" s="624"/>
      <c r="L36" s="624"/>
      <c r="M36" s="624"/>
      <c r="N36" s="697"/>
      <c r="O36" s="2"/>
    </row>
    <row r="37" ht="16.5" spans="2:15">
      <c r="B37" s="623" t="s">
        <v>1600</v>
      </c>
      <c r="C37" s="624"/>
      <c r="D37" s="624"/>
      <c r="E37" s="624"/>
      <c r="F37" s="624"/>
      <c r="G37" s="624"/>
      <c r="H37" s="624"/>
      <c r="I37" s="624"/>
      <c r="J37" s="624"/>
      <c r="K37" s="624"/>
      <c r="L37" s="624"/>
      <c r="M37" s="624"/>
      <c r="N37" s="697"/>
      <c r="O37" s="2"/>
    </row>
    <row r="38" ht="16.5" spans="2:15">
      <c r="B38" s="623" t="s">
        <v>1601</v>
      </c>
      <c r="C38" s="624"/>
      <c r="D38" s="624"/>
      <c r="E38" s="624"/>
      <c r="F38" s="624"/>
      <c r="G38" s="624"/>
      <c r="H38" s="624"/>
      <c r="I38" s="624"/>
      <c r="J38" s="624"/>
      <c r="K38" s="624"/>
      <c r="L38" s="624"/>
      <c r="M38" s="624"/>
      <c r="N38" s="697"/>
      <c r="O38" s="2"/>
    </row>
    <row r="39" ht="16.5" spans="2:15">
      <c r="B39" s="623" t="s">
        <v>1602</v>
      </c>
      <c r="C39" s="624"/>
      <c r="D39" s="624"/>
      <c r="E39" s="624"/>
      <c r="F39" s="624"/>
      <c r="G39" s="624"/>
      <c r="H39" s="624"/>
      <c r="I39" s="624"/>
      <c r="J39" s="624"/>
      <c r="K39" s="624"/>
      <c r="L39" s="624"/>
      <c r="M39" s="624"/>
      <c r="N39" s="697"/>
      <c r="O39" s="2"/>
    </row>
    <row r="40" ht="16.5" spans="2:15">
      <c r="B40" s="625" t="s">
        <v>1603</v>
      </c>
      <c r="C40" s="626"/>
      <c r="D40" s="626"/>
      <c r="E40" s="626"/>
      <c r="F40" s="626"/>
      <c r="G40" s="626"/>
      <c r="H40" s="626"/>
      <c r="I40" s="626"/>
      <c r="J40" s="626"/>
      <c r="K40" s="626"/>
      <c r="L40" s="626"/>
      <c r="M40" s="626"/>
      <c r="N40" s="747"/>
      <c r="O40" s="2"/>
    </row>
    <row r="41" ht="16.5" spans="2:15">
      <c r="B41" s="627" t="s">
        <v>1604</v>
      </c>
      <c r="C41" s="628"/>
      <c r="D41" s="628"/>
      <c r="E41" s="628"/>
      <c r="F41" s="628"/>
      <c r="G41" s="628"/>
      <c r="H41" s="628"/>
      <c r="I41" s="628"/>
      <c r="J41" s="628"/>
      <c r="K41" s="628"/>
      <c r="L41" s="628"/>
      <c r="M41" s="628"/>
      <c r="N41" s="696"/>
      <c r="O41" s="2"/>
    </row>
    <row r="42" ht="16.5" spans="2:15">
      <c r="B42" s="623" t="s">
        <v>1605</v>
      </c>
      <c r="C42" s="624"/>
      <c r="D42" s="624"/>
      <c r="E42" s="624"/>
      <c r="F42" s="624"/>
      <c r="G42" s="624"/>
      <c r="H42" s="624"/>
      <c r="I42" s="624"/>
      <c r="J42" s="624"/>
      <c r="K42" s="624"/>
      <c r="L42" s="624"/>
      <c r="M42" s="624"/>
      <c r="N42" s="697"/>
      <c r="O42" s="2"/>
    </row>
    <row r="43" ht="16.5" spans="2:15">
      <c r="B43" s="623" t="s">
        <v>1606</v>
      </c>
      <c r="C43" s="624"/>
      <c r="D43" s="624"/>
      <c r="E43" s="624"/>
      <c r="F43" s="624"/>
      <c r="G43" s="624"/>
      <c r="H43" s="624"/>
      <c r="I43" s="624"/>
      <c r="J43" s="624"/>
      <c r="K43" s="624"/>
      <c r="L43" s="624"/>
      <c r="M43" s="624"/>
      <c r="N43" s="697"/>
      <c r="O43" s="2"/>
    </row>
    <row r="44" ht="16.5" spans="2:15">
      <c r="B44" s="698" t="s">
        <v>1607</v>
      </c>
      <c r="C44" s="699"/>
      <c r="D44" s="699"/>
      <c r="E44" s="699"/>
      <c r="F44" s="699"/>
      <c r="G44" s="699"/>
      <c r="H44" s="699"/>
      <c r="I44" s="699"/>
      <c r="J44" s="699"/>
      <c r="K44" s="699"/>
      <c r="L44" s="699"/>
      <c r="M44" s="699"/>
      <c r="N44" s="702"/>
      <c r="O44" s="2"/>
    </row>
    <row r="45" ht="16.5" spans="2:15">
      <c r="B45" s="623" t="s">
        <v>1608</v>
      </c>
      <c r="C45" s="624"/>
      <c r="D45" s="624"/>
      <c r="E45" s="624"/>
      <c r="F45" s="624"/>
      <c r="G45" s="624"/>
      <c r="H45" s="624"/>
      <c r="I45" s="624"/>
      <c r="J45" s="624"/>
      <c r="K45" s="624"/>
      <c r="L45" s="624"/>
      <c r="M45" s="624"/>
      <c r="N45" s="697"/>
      <c r="O45" s="2"/>
    </row>
    <row r="46" ht="16.5" spans="2:15">
      <c r="B46" s="623" t="s">
        <v>1609</v>
      </c>
      <c r="C46" s="624"/>
      <c r="D46" s="624"/>
      <c r="E46" s="624"/>
      <c r="F46" s="624"/>
      <c r="G46" s="624"/>
      <c r="H46" s="624"/>
      <c r="I46" s="624"/>
      <c r="J46" s="624"/>
      <c r="K46" s="624"/>
      <c r="L46" s="624"/>
      <c r="M46" s="624"/>
      <c r="N46" s="697"/>
      <c r="O46" s="2"/>
    </row>
    <row r="47" ht="16.5" spans="2:15">
      <c r="B47" s="625" t="s">
        <v>1610</v>
      </c>
      <c r="C47" s="626"/>
      <c r="D47" s="626"/>
      <c r="E47" s="626"/>
      <c r="F47" s="626"/>
      <c r="G47" s="626"/>
      <c r="H47" s="626"/>
      <c r="I47" s="626"/>
      <c r="J47" s="626"/>
      <c r="K47" s="626"/>
      <c r="L47" s="626"/>
      <c r="M47" s="626"/>
      <c r="N47" s="747"/>
      <c r="O47" s="2"/>
    </row>
    <row r="48" ht="16.5" spans="2:15">
      <c r="B48" s="627" t="s">
        <v>1611</v>
      </c>
      <c r="C48" s="628"/>
      <c r="D48" s="628"/>
      <c r="E48" s="628"/>
      <c r="F48" s="628"/>
      <c r="G48" s="628"/>
      <c r="H48" s="628"/>
      <c r="I48" s="628"/>
      <c r="J48" s="628"/>
      <c r="K48" s="628"/>
      <c r="L48" s="628"/>
      <c r="M48" s="628"/>
      <c r="N48" s="696"/>
      <c r="O48" s="2"/>
    </row>
    <row r="49" ht="16.5" spans="2:15">
      <c r="B49" s="623" t="s">
        <v>1612</v>
      </c>
      <c r="C49" s="624"/>
      <c r="D49" s="624"/>
      <c r="E49" s="624"/>
      <c r="F49" s="624"/>
      <c r="G49" s="624"/>
      <c r="H49" s="624"/>
      <c r="I49" s="624"/>
      <c r="J49" s="624"/>
      <c r="K49" s="624"/>
      <c r="L49" s="624"/>
      <c r="M49" s="624"/>
      <c r="N49" s="697"/>
      <c r="O49" s="2"/>
    </row>
    <row r="50" ht="16.5" spans="2:15">
      <c r="B50" s="623" t="s">
        <v>1613</v>
      </c>
      <c r="C50" s="624"/>
      <c r="D50" s="624"/>
      <c r="E50" s="624"/>
      <c r="F50" s="624"/>
      <c r="G50" s="624"/>
      <c r="H50" s="624"/>
      <c r="I50" s="624"/>
      <c r="J50" s="624"/>
      <c r="K50" s="624"/>
      <c r="L50" s="624"/>
      <c r="M50" s="624"/>
      <c r="N50" s="697"/>
      <c r="O50" s="2"/>
    </row>
    <row r="51" ht="16.5" spans="2:15">
      <c r="B51" s="623" t="s">
        <v>1614</v>
      </c>
      <c r="C51" s="624"/>
      <c r="D51" s="624"/>
      <c r="E51" s="624"/>
      <c r="F51" s="624"/>
      <c r="G51" s="624"/>
      <c r="H51" s="624"/>
      <c r="I51" s="624"/>
      <c r="J51" s="624"/>
      <c r="K51" s="624"/>
      <c r="L51" s="624"/>
      <c r="M51" s="624"/>
      <c r="N51" s="697"/>
      <c r="O51" s="2"/>
    </row>
    <row r="52" ht="16.5" spans="2:15">
      <c r="B52" s="729" t="s">
        <v>1615</v>
      </c>
      <c r="C52" s="730"/>
      <c r="D52" s="730"/>
      <c r="E52" s="730"/>
      <c r="F52" s="730"/>
      <c r="G52" s="730"/>
      <c r="H52" s="730"/>
      <c r="I52" s="730"/>
      <c r="J52" s="730"/>
      <c r="K52" s="730"/>
      <c r="L52" s="730"/>
      <c r="M52" s="730"/>
      <c r="N52" s="749"/>
      <c r="O52" s="2"/>
    </row>
    <row r="53" ht="16.5" spans="2:15">
      <c r="B53" s="698" t="s">
        <v>1616</v>
      </c>
      <c r="C53" s="699"/>
      <c r="D53" s="699"/>
      <c r="E53" s="699"/>
      <c r="F53" s="699"/>
      <c r="G53" s="699"/>
      <c r="H53" s="699"/>
      <c r="I53" s="699"/>
      <c r="J53" s="699"/>
      <c r="K53" s="699"/>
      <c r="L53" s="699"/>
      <c r="M53" s="699"/>
      <c r="N53" s="702"/>
      <c r="O53" s="2"/>
    </row>
    <row r="54" ht="16.5" spans="2:15">
      <c r="B54" s="698" t="s">
        <v>1617</v>
      </c>
      <c r="C54" s="699"/>
      <c r="D54" s="699"/>
      <c r="E54" s="699"/>
      <c r="F54" s="699"/>
      <c r="G54" s="699"/>
      <c r="H54" s="699"/>
      <c r="I54" s="699"/>
      <c r="J54" s="699"/>
      <c r="K54" s="699"/>
      <c r="L54" s="699"/>
      <c r="M54" s="699"/>
      <c r="N54" s="702"/>
      <c r="O54" s="2"/>
    </row>
    <row r="55" ht="16.5" spans="2:15">
      <c r="B55" s="731" t="s">
        <v>1618</v>
      </c>
      <c r="C55" s="732"/>
      <c r="D55" s="732"/>
      <c r="E55" s="732"/>
      <c r="F55" s="732"/>
      <c r="G55" s="732"/>
      <c r="H55" s="732"/>
      <c r="I55" s="732"/>
      <c r="J55" s="732"/>
      <c r="K55" s="732"/>
      <c r="L55" s="732"/>
      <c r="M55" s="732"/>
      <c r="N55" s="750"/>
      <c r="O55" s="2"/>
    </row>
    <row r="56" ht="17.25" spans="2:15">
      <c r="B56" s="733" t="s">
        <v>1619</v>
      </c>
      <c r="C56" s="733"/>
      <c r="D56" s="734"/>
      <c r="E56" s="735"/>
      <c r="F56" s="735"/>
      <c r="G56" s="735"/>
      <c r="H56" s="735"/>
      <c r="I56" s="735"/>
      <c r="J56" s="735"/>
      <c r="K56" s="735"/>
      <c r="L56" s="735"/>
      <c r="M56" s="735"/>
      <c r="N56" s="735"/>
      <c r="O56" s="2"/>
    </row>
  </sheetData>
  <sheetProtection formatCells="0" formatColumns="0" formatRows="0" insertRows="0" insertColumns="0" insertHyperlinks="0" deleteColumns="0" deleteRows="0" sort="0" autoFilter="0" pivotTables="0"/>
  <autoFilter xmlns:etc="http://www.wps.cn/officeDocument/2017/etCustomData" ref="B1:P56" etc:filterBottomFollowUsedRange="0">
    <extLst/>
  </autoFilter>
  <mergeCells count="56">
    <mergeCell ref="B22:N22"/>
    <mergeCell ref="B25:N25"/>
    <mergeCell ref="B26:N26"/>
    <mergeCell ref="B27:N27"/>
    <mergeCell ref="B28:N28"/>
    <mergeCell ref="B29:N29"/>
    <mergeCell ref="B30:N30"/>
    <mergeCell ref="B31:N31"/>
    <mergeCell ref="B32:N32"/>
    <mergeCell ref="B33:N33"/>
    <mergeCell ref="B34:N34"/>
    <mergeCell ref="B35:N35"/>
    <mergeCell ref="B36:N36"/>
    <mergeCell ref="B37:N37"/>
    <mergeCell ref="B38:N38"/>
    <mergeCell ref="B39:N39"/>
    <mergeCell ref="B40:N40"/>
    <mergeCell ref="B41:N41"/>
    <mergeCell ref="B42:N42"/>
    <mergeCell ref="B43:N43"/>
    <mergeCell ref="B44:N44"/>
    <mergeCell ref="B45:N45"/>
    <mergeCell ref="B46:N46"/>
    <mergeCell ref="B47:N47"/>
    <mergeCell ref="B48:N48"/>
    <mergeCell ref="B49:N49"/>
    <mergeCell ref="B50:N50"/>
    <mergeCell ref="B51:N51"/>
    <mergeCell ref="B52:N52"/>
    <mergeCell ref="B53:N53"/>
    <mergeCell ref="B54:N54"/>
    <mergeCell ref="B55:N55"/>
    <mergeCell ref="I2:I8"/>
    <mergeCell ref="I9:I11"/>
    <mergeCell ref="I12:I14"/>
    <mergeCell ref="I15:I16"/>
    <mergeCell ref="I17:I18"/>
    <mergeCell ref="I19:I21"/>
    <mergeCell ref="J2:J8"/>
    <mergeCell ref="J9:J11"/>
    <mergeCell ref="J12:J14"/>
    <mergeCell ref="J15:J16"/>
    <mergeCell ref="J17:J18"/>
    <mergeCell ref="J19:J21"/>
    <mergeCell ref="M2:M8"/>
    <mergeCell ref="M9:M11"/>
    <mergeCell ref="M12:M14"/>
    <mergeCell ref="M15:M16"/>
    <mergeCell ref="M17:M18"/>
    <mergeCell ref="M19:M21"/>
    <mergeCell ref="N2:N8"/>
    <mergeCell ref="N9:N11"/>
    <mergeCell ref="N12:N14"/>
    <mergeCell ref="N15:N16"/>
    <mergeCell ref="N17:N18"/>
    <mergeCell ref="N19:N21"/>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B1:N87"/>
  <sheetViews>
    <sheetView workbookViewId="0">
      <selection activeCell="J12" sqref="J12:J14"/>
    </sheetView>
  </sheetViews>
  <sheetFormatPr defaultColWidth="8.725" defaultRowHeight="13.5"/>
  <sheetData>
    <row r="1" ht="60" spans="2:14">
      <c r="B1" s="581" t="s">
        <v>1541</v>
      </c>
      <c r="C1" s="581"/>
      <c r="D1" s="582" t="s">
        <v>1542</v>
      </c>
      <c r="E1" s="582" t="s">
        <v>1543</v>
      </c>
      <c r="F1" s="582" t="s">
        <v>1544</v>
      </c>
      <c r="G1" s="582" t="s">
        <v>1545</v>
      </c>
      <c r="H1" s="582" t="s">
        <v>1546</v>
      </c>
      <c r="I1" s="629" t="s">
        <v>1547</v>
      </c>
      <c r="J1" s="629" t="s">
        <v>1548</v>
      </c>
      <c r="K1" s="629" t="s">
        <v>1543</v>
      </c>
      <c r="L1" s="629" t="s">
        <v>1542</v>
      </c>
      <c r="M1" s="629" t="s">
        <v>1549</v>
      </c>
      <c r="N1" s="630" t="s">
        <v>1550</v>
      </c>
    </row>
    <row r="2" ht="16.5" spans="2:14">
      <c r="B2" s="583" t="s">
        <v>24</v>
      </c>
      <c r="C2" s="584" t="s">
        <v>25</v>
      </c>
      <c r="D2" s="585">
        <v>25</v>
      </c>
      <c r="E2" s="585">
        <v>113</v>
      </c>
      <c r="F2" s="586" t="s">
        <v>1551</v>
      </c>
      <c r="G2" s="587">
        <v>0</v>
      </c>
      <c r="H2" s="587">
        <v>0.15</v>
      </c>
      <c r="I2" s="631" t="s">
        <v>1552</v>
      </c>
      <c r="J2" s="631" t="s">
        <v>1553</v>
      </c>
      <c r="K2" s="585">
        <v>113</v>
      </c>
      <c r="L2" s="585">
        <v>25</v>
      </c>
      <c r="M2" s="632" t="s">
        <v>1554</v>
      </c>
      <c r="N2" s="633" t="s">
        <v>1620</v>
      </c>
    </row>
    <row r="3" ht="16.5" spans="2:14">
      <c r="B3" s="583" t="s">
        <v>24</v>
      </c>
      <c r="C3" s="584" t="s">
        <v>25</v>
      </c>
      <c r="D3" s="585">
        <v>22</v>
      </c>
      <c r="E3" s="585">
        <v>107</v>
      </c>
      <c r="F3" s="586" t="s">
        <v>1556</v>
      </c>
      <c r="G3" s="587">
        <v>0.151</v>
      </c>
      <c r="H3" s="587">
        <v>0.3</v>
      </c>
      <c r="I3" s="631"/>
      <c r="J3" s="631"/>
      <c r="K3" s="585">
        <v>107</v>
      </c>
      <c r="L3" s="585">
        <v>22</v>
      </c>
      <c r="M3" s="632"/>
      <c r="N3" s="633"/>
    </row>
    <row r="4" ht="33" spans="2:14">
      <c r="B4" s="583" t="s">
        <v>24</v>
      </c>
      <c r="C4" s="584" t="s">
        <v>25</v>
      </c>
      <c r="D4" s="585">
        <v>20</v>
      </c>
      <c r="E4" s="585">
        <v>102</v>
      </c>
      <c r="F4" s="586" t="s">
        <v>1557</v>
      </c>
      <c r="G4" s="587">
        <v>0.301</v>
      </c>
      <c r="H4" s="587">
        <v>0.453</v>
      </c>
      <c r="I4" s="631"/>
      <c r="J4" s="631"/>
      <c r="K4" s="585">
        <v>102</v>
      </c>
      <c r="L4" s="585">
        <v>20</v>
      </c>
      <c r="M4" s="632"/>
      <c r="N4" s="633"/>
    </row>
    <row r="5" ht="16.5" spans="2:14">
      <c r="B5" s="583" t="s">
        <v>24</v>
      </c>
      <c r="C5" s="584" t="s">
        <v>25</v>
      </c>
      <c r="D5" s="585">
        <v>18</v>
      </c>
      <c r="E5" s="585">
        <v>96</v>
      </c>
      <c r="F5" s="586" t="s">
        <v>1558</v>
      </c>
      <c r="G5" s="587">
        <v>0.454</v>
      </c>
      <c r="H5" s="587">
        <v>0.7</v>
      </c>
      <c r="I5" s="631"/>
      <c r="J5" s="631"/>
      <c r="K5" s="585">
        <v>96</v>
      </c>
      <c r="L5" s="585">
        <v>18</v>
      </c>
      <c r="M5" s="632"/>
      <c r="N5" s="633"/>
    </row>
    <row r="6" ht="33" spans="2:14">
      <c r="B6" s="583" t="s">
        <v>24</v>
      </c>
      <c r="C6" s="584" t="s">
        <v>25</v>
      </c>
      <c r="D6" s="585">
        <v>12</v>
      </c>
      <c r="E6" s="585">
        <v>91</v>
      </c>
      <c r="F6" s="586" t="s">
        <v>1559</v>
      </c>
      <c r="G6" s="587">
        <v>0.701</v>
      </c>
      <c r="H6" s="587">
        <v>1.814</v>
      </c>
      <c r="I6" s="631"/>
      <c r="J6" s="631"/>
      <c r="K6" s="585">
        <v>91</v>
      </c>
      <c r="L6" s="585">
        <v>12</v>
      </c>
      <c r="M6" s="632"/>
      <c r="N6" s="633"/>
    </row>
    <row r="7" ht="16.5" spans="2:14">
      <c r="B7" s="583" t="s">
        <v>24</v>
      </c>
      <c r="C7" s="584" t="s">
        <v>25</v>
      </c>
      <c r="D7" s="585">
        <v>12</v>
      </c>
      <c r="E7" s="585">
        <v>81</v>
      </c>
      <c r="F7" s="586" t="s">
        <v>1560</v>
      </c>
      <c r="G7" s="587">
        <v>1.815</v>
      </c>
      <c r="H7" s="587">
        <v>2</v>
      </c>
      <c r="I7" s="631"/>
      <c r="J7" s="631"/>
      <c r="K7" s="585">
        <v>81</v>
      </c>
      <c r="L7" s="585">
        <v>12</v>
      </c>
      <c r="M7" s="632"/>
      <c r="N7" s="633"/>
    </row>
    <row r="8" ht="16.5" spans="2:14">
      <c r="B8" s="583" t="s">
        <v>24</v>
      </c>
      <c r="C8" s="584" t="s">
        <v>25</v>
      </c>
      <c r="D8" s="585">
        <v>12</v>
      </c>
      <c r="E8" s="585">
        <v>81</v>
      </c>
      <c r="F8" s="586" t="s">
        <v>1561</v>
      </c>
      <c r="G8" s="587">
        <v>2.001</v>
      </c>
      <c r="H8" s="587">
        <v>10</v>
      </c>
      <c r="I8" s="631"/>
      <c r="J8" s="631"/>
      <c r="K8" s="585">
        <v>81</v>
      </c>
      <c r="L8" s="585">
        <v>12</v>
      </c>
      <c r="M8" s="632"/>
      <c r="N8" s="633"/>
    </row>
    <row r="9" ht="16.5" spans="2:14">
      <c r="B9" s="588" t="s">
        <v>26</v>
      </c>
      <c r="C9" s="584" t="s">
        <v>27</v>
      </c>
      <c r="D9" s="589">
        <v>16</v>
      </c>
      <c r="E9" s="589">
        <v>54</v>
      </c>
      <c r="F9" s="590" t="s">
        <v>1562</v>
      </c>
      <c r="G9" s="587">
        <v>0</v>
      </c>
      <c r="H9" s="587">
        <v>0.3</v>
      </c>
      <c r="I9" s="634" t="s">
        <v>1563</v>
      </c>
      <c r="J9" s="634" t="s">
        <v>1564</v>
      </c>
      <c r="K9" s="210">
        <v>47</v>
      </c>
      <c r="L9" s="210">
        <v>16</v>
      </c>
      <c r="M9" s="635" t="s">
        <v>1565</v>
      </c>
      <c r="N9" s="636" t="s">
        <v>1566</v>
      </c>
    </row>
    <row r="10" ht="16.5" spans="2:14">
      <c r="B10" s="591" t="s">
        <v>26</v>
      </c>
      <c r="C10" s="584" t="s">
        <v>27</v>
      </c>
      <c r="D10" s="589">
        <v>16</v>
      </c>
      <c r="E10" s="589">
        <v>54</v>
      </c>
      <c r="F10" s="590" t="s">
        <v>1567</v>
      </c>
      <c r="G10" s="587">
        <v>0.301</v>
      </c>
      <c r="H10" s="587">
        <v>1</v>
      </c>
      <c r="I10" s="637"/>
      <c r="J10" s="637"/>
      <c r="K10" s="210">
        <v>47</v>
      </c>
      <c r="L10" s="210">
        <v>16</v>
      </c>
      <c r="M10" s="638"/>
      <c r="N10" s="639"/>
    </row>
    <row r="11" ht="16.5" spans="2:14">
      <c r="B11" s="591" t="s">
        <v>26</v>
      </c>
      <c r="C11" s="584" t="s">
        <v>27</v>
      </c>
      <c r="D11" s="589">
        <v>16</v>
      </c>
      <c r="E11" s="589">
        <v>54</v>
      </c>
      <c r="F11" s="590" t="s">
        <v>1579</v>
      </c>
      <c r="G11" s="587">
        <v>1.001</v>
      </c>
      <c r="H11" s="587">
        <v>30</v>
      </c>
      <c r="I11" s="637"/>
      <c r="J11" s="637"/>
      <c r="K11" s="210">
        <v>47</v>
      </c>
      <c r="L11" s="210">
        <v>16</v>
      </c>
      <c r="M11" s="638"/>
      <c r="N11" s="639"/>
    </row>
    <row r="12" ht="16.5" spans="2:14">
      <c r="B12" s="588" t="s">
        <v>28</v>
      </c>
      <c r="C12" s="584" t="s">
        <v>29</v>
      </c>
      <c r="D12" s="589">
        <v>19</v>
      </c>
      <c r="E12" s="589">
        <v>73</v>
      </c>
      <c r="F12" s="590" t="s">
        <v>1621</v>
      </c>
      <c r="G12" s="587">
        <v>0</v>
      </c>
      <c r="H12" s="587">
        <v>0.2</v>
      </c>
      <c r="I12" s="634" t="s">
        <v>1563</v>
      </c>
      <c r="J12" s="634" t="s">
        <v>1552</v>
      </c>
      <c r="K12" s="210">
        <v>63</v>
      </c>
      <c r="L12" s="210">
        <v>19</v>
      </c>
      <c r="M12" s="635" t="s">
        <v>1622</v>
      </c>
      <c r="N12" s="640" t="s">
        <v>1582</v>
      </c>
    </row>
    <row r="13" ht="16.5" spans="2:14">
      <c r="B13" s="591" t="s">
        <v>28</v>
      </c>
      <c r="C13" s="584" t="s">
        <v>29</v>
      </c>
      <c r="D13" s="589">
        <v>19</v>
      </c>
      <c r="E13" s="589">
        <v>73</v>
      </c>
      <c r="F13" s="590" t="s">
        <v>1623</v>
      </c>
      <c r="G13" s="587">
        <v>0.201</v>
      </c>
      <c r="H13" s="587">
        <v>0.4</v>
      </c>
      <c r="I13" s="637"/>
      <c r="J13" s="637"/>
      <c r="K13" s="210">
        <v>63</v>
      </c>
      <c r="L13" s="210">
        <v>19</v>
      </c>
      <c r="M13" s="638"/>
      <c r="N13" s="641"/>
    </row>
    <row r="14" ht="16.5" spans="2:14">
      <c r="B14" s="592" t="s">
        <v>28</v>
      </c>
      <c r="C14" s="584" t="s">
        <v>29</v>
      </c>
      <c r="D14" s="589">
        <v>23</v>
      </c>
      <c r="E14" s="589">
        <v>65</v>
      </c>
      <c r="F14" s="590" t="s">
        <v>1624</v>
      </c>
      <c r="G14" s="587">
        <v>0.401</v>
      </c>
      <c r="H14" s="587">
        <v>5</v>
      </c>
      <c r="I14" s="642"/>
      <c r="J14" s="642"/>
      <c r="K14" s="210">
        <v>64</v>
      </c>
      <c r="L14" s="210">
        <v>21</v>
      </c>
      <c r="M14" s="643"/>
      <c r="N14" s="644"/>
    </row>
    <row r="15" ht="16.5" spans="2:14">
      <c r="B15" s="588" t="s">
        <v>72</v>
      </c>
      <c r="C15" s="584" t="s">
        <v>73</v>
      </c>
      <c r="D15" s="589">
        <v>19</v>
      </c>
      <c r="E15" s="589">
        <v>62</v>
      </c>
      <c r="F15" s="590" t="s">
        <v>1562</v>
      </c>
      <c r="G15" s="587">
        <v>0</v>
      </c>
      <c r="H15" s="587">
        <v>0.3</v>
      </c>
      <c r="I15" s="634" t="s">
        <v>1563</v>
      </c>
      <c r="J15" s="634" t="s">
        <v>1570</v>
      </c>
      <c r="K15" s="210">
        <v>55</v>
      </c>
      <c r="L15" s="210">
        <v>19</v>
      </c>
      <c r="M15" s="645" t="s">
        <v>1571</v>
      </c>
      <c r="N15" s="646" t="s">
        <v>1572</v>
      </c>
    </row>
    <row r="16" ht="16.5" spans="2:14">
      <c r="B16" s="591" t="s">
        <v>72</v>
      </c>
      <c r="C16" s="584" t="s">
        <v>73</v>
      </c>
      <c r="D16" s="589">
        <v>22</v>
      </c>
      <c r="E16" s="589">
        <v>62</v>
      </c>
      <c r="F16" s="590" t="s">
        <v>1625</v>
      </c>
      <c r="G16" s="587">
        <v>0.3</v>
      </c>
      <c r="H16" s="587">
        <v>30</v>
      </c>
      <c r="I16" s="634"/>
      <c r="J16" s="634"/>
      <c r="K16" s="210">
        <v>55</v>
      </c>
      <c r="L16" s="210">
        <v>21</v>
      </c>
      <c r="M16" s="647"/>
      <c r="N16" s="648"/>
    </row>
    <row r="17" ht="16.5" spans="2:14">
      <c r="B17" s="588" t="s">
        <v>32</v>
      </c>
      <c r="C17" s="584" t="s">
        <v>33</v>
      </c>
      <c r="D17" s="589">
        <v>24</v>
      </c>
      <c r="E17" s="589">
        <v>72</v>
      </c>
      <c r="F17" s="590" t="s">
        <v>1562</v>
      </c>
      <c r="G17" s="587">
        <v>0</v>
      </c>
      <c r="H17" s="587">
        <v>0.3</v>
      </c>
      <c r="I17" s="634" t="s">
        <v>1563</v>
      </c>
      <c r="J17" s="634" t="s">
        <v>1570</v>
      </c>
      <c r="K17" s="210">
        <v>63</v>
      </c>
      <c r="L17" s="210">
        <v>24</v>
      </c>
      <c r="M17" s="649" t="s">
        <v>1575</v>
      </c>
      <c r="N17" s="640"/>
    </row>
    <row r="18" ht="16.5" spans="2:14">
      <c r="B18" s="591" t="s">
        <v>32</v>
      </c>
      <c r="C18" s="584" t="s">
        <v>33</v>
      </c>
      <c r="D18" s="589">
        <v>23</v>
      </c>
      <c r="E18" s="589">
        <v>70</v>
      </c>
      <c r="F18" s="590" t="s">
        <v>1626</v>
      </c>
      <c r="G18" s="587">
        <v>0.301</v>
      </c>
      <c r="H18" s="587">
        <v>10</v>
      </c>
      <c r="I18" s="634"/>
      <c r="J18" s="634"/>
      <c r="K18" s="210">
        <v>61</v>
      </c>
      <c r="L18" s="210">
        <v>23</v>
      </c>
      <c r="M18" s="650"/>
      <c r="N18" s="644"/>
    </row>
    <row r="19" ht="16.5" spans="2:14">
      <c r="B19" s="588" t="s">
        <v>34</v>
      </c>
      <c r="C19" s="584" t="s">
        <v>35</v>
      </c>
      <c r="D19" s="589">
        <v>18</v>
      </c>
      <c r="E19" s="589">
        <v>62</v>
      </c>
      <c r="F19" s="590" t="s">
        <v>1577</v>
      </c>
      <c r="G19" s="587">
        <v>0</v>
      </c>
      <c r="H19" s="587">
        <v>1</v>
      </c>
      <c r="I19" s="634" t="s">
        <v>1564</v>
      </c>
      <c r="J19" s="634" t="s">
        <v>1570</v>
      </c>
      <c r="K19" s="210">
        <v>57</v>
      </c>
      <c r="L19" s="210">
        <v>18</v>
      </c>
      <c r="M19" s="635" t="s">
        <v>1578</v>
      </c>
      <c r="N19" s="640"/>
    </row>
    <row r="20" ht="16.5" spans="2:14">
      <c r="B20" s="592" t="s">
        <v>34</v>
      </c>
      <c r="C20" s="584" t="s">
        <v>35</v>
      </c>
      <c r="D20" s="589">
        <v>18</v>
      </c>
      <c r="E20" s="589">
        <v>62</v>
      </c>
      <c r="F20" s="590" t="s">
        <v>1579</v>
      </c>
      <c r="G20" s="587">
        <v>1.001</v>
      </c>
      <c r="H20" s="587">
        <v>30</v>
      </c>
      <c r="I20" s="634"/>
      <c r="J20" s="634"/>
      <c r="K20" s="210">
        <v>53</v>
      </c>
      <c r="L20" s="210">
        <v>18</v>
      </c>
      <c r="M20" s="643"/>
      <c r="N20" s="644"/>
    </row>
    <row r="21" ht="16.5" spans="2:14">
      <c r="B21" s="593" t="s">
        <v>42</v>
      </c>
      <c r="C21" s="584" t="s">
        <v>43</v>
      </c>
      <c r="D21" s="594">
        <v>23</v>
      </c>
      <c r="E21" s="594">
        <v>80</v>
      </c>
      <c r="F21" s="595" t="s">
        <v>1621</v>
      </c>
      <c r="G21" s="587">
        <v>0</v>
      </c>
      <c r="H21" s="587">
        <v>0.2</v>
      </c>
      <c r="I21" s="634" t="s">
        <v>1564</v>
      </c>
      <c r="J21" s="634" t="s">
        <v>1570</v>
      </c>
      <c r="K21" s="210">
        <v>68</v>
      </c>
      <c r="L21" s="210">
        <v>23</v>
      </c>
      <c r="M21" s="635" t="s">
        <v>1627</v>
      </c>
      <c r="N21" s="640"/>
    </row>
    <row r="22" ht="16.5" spans="2:14">
      <c r="B22" s="596" t="s">
        <v>42</v>
      </c>
      <c r="C22" s="584" t="s">
        <v>43</v>
      </c>
      <c r="D22" s="594">
        <v>23</v>
      </c>
      <c r="E22" s="594">
        <v>70</v>
      </c>
      <c r="F22" s="595" t="s">
        <v>1628</v>
      </c>
      <c r="G22" s="587">
        <v>0.201</v>
      </c>
      <c r="H22" s="587">
        <v>3</v>
      </c>
      <c r="I22" s="637"/>
      <c r="J22" s="637"/>
      <c r="K22" s="210">
        <v>58</v>
      </c>
      <c r="L22" s="210">
        <v>23</v>
      </c>
      <c r="M22" s="638"/>
      <c r="N22" s="641"/>
    </row>
    <row r="23" ht="16.5" spans="2:14">
      <c r="B23" s="588" t="s">
        <v>36</v>
      </c>
      <c r="C23" s="584" t="s">
        <v>37</v>
      </c>
      <c r="D23" s="589">
        <v>23</v>
      </c>
      <c r="E23" s="589">
        <v>75</v>
      </c>
      <c r="F23" s="590" t="s">
        <v>1621</v>
      </c>
      <c r="G23" s="587">
        <v>0</v>
      </c>
      <c r="H23" s="587">
        <v>0.2</v>
      </c>
      <c r="I23" s="634" t="s">
        <v>1563</v>
      </c>
      <c r="J23" s="634" t="s">
        <v>1570</v>
      </c>
      <c r="K23" s="210">
        <v>70</v>
      </c>
      <c r="L23" s="210">
        <v>23</v>
      </c>
      <c r="M23" s="635" t="s">
        <v>1629</v>
      </c>
      <c r="N23" s="640" t="s">
        <v>1630</v>
      </c>
    </row>
    <row r="24" ht="16.5" spans="2:14">
      <c r="B24" s="591" t="s">
        <v>36</v>
      </c>
      <c r="C24" s="584" t="s">
        <v>37</v>
      </c>
      <c r="D24" s="589">
        <v>21</v>
      </c>
      <c r="E24" s="589">
        <v>75</v>
      </c>
      <c r="F24" s="590" t="s">
        <v>1631</v>
      </c>
      <c r="G24" s="587">
        <v>0.201</v>
      </c>
      <c r="H24" s="587">
        <v>1</v>
      </c>
      <c r="I24" s="637"/>
      <c r="J24" s="637"/>
      <c r="K24" s="210">
        <v>66</v>
      </c>
      <c r="L24" s="210">
        <v>21</v>
      </c>
      <c r="M24" s="638"/>
      <c r="N24" s="641"/>
    </row>
    <row r="25" ht="16.5" spans="2:14">
      <c r="B25" s="591" t="s">
        <v>36</v>
      </c>
      <c r="C25" s="584" t="s">
        <v>37</v>
      </c>
      <c r="D25" s="589">
        <v>21</v>
      </c>
      <c r="E25" s="589">
        <v>68</v>
      </c>
      <c r="F25" s="590" t="s">
        <v>1568</v>
      </c>
      <c r="G25" s="587">
        <v>1.001</v>
      </c>
      <c r="H25" s="587">
        <v>20</v>
      </c>
      <c r="I25" s="637"/>
      <c r="J25" s="637"/>
      <c r="K25" s="210">
        <v>59</v>
      </c>
      <c r="L25" s="210">
        <v>21</v>
      </c>
      <c r="M25" s="638"/>
      <c r="N25" s="641"/>
    </row>
    <row r="26" ht="16.5" spans="2:14">
      <c r="B26" s="588" t="s">
        <v>60</v>
      </c>
      <c r="C26" s="584" t="s">
        <v>61</v>
      </c>
      <c r="D26" s="589">
        <v>15</v>
      </c>
      <c r="E26" s="589">
        <v>71</v>
      </c>
      <c r="F26" s="590" t="s">
        <v>1632</v>
      </c>
      <c r="G26" s="587">
        <v>0</v>
      </c>
      <c r="H26" s="587">
        <v>0.5</v>
      </c>
      <c r="I26" s="634" t="s">
        <v>1563</v>
      </c>
      <c r="J26" s="634" t="s">
        <v>1570</v>
      </c>
      <c r="K26" s="210">
        <v>72</v>
      </c>
      <c r="L26" s="210">
        <v>15</v>
      </c>
      <c r="M26" s="649" t="s">
        <v>1633</v>
      </c>
      <c r="N26" s="640" t="s">
        <v>1634</v>
      </c>
    </row>
    <row r="27" ht="16.5" spans="2:14">
      <c r="B27" s="591" t="s">
        <v>60</v>
      </c>
      <c r="C27" s="584" t="s">
        <v>61</v>
      </c>
      <c r="D27" s="589">
        <v>15</v>
      </c>
      <c r="E27" s="589">
        <v>67</v>
      </c>
      <c r="F27" s="590" t="s">
        <v>1635</v>
      </c>
      <c r="G27" s="587">
        <v>0.5</v>
      </c>
      <c r="H27" s="587">
        <v>10</v>
      </c>
      <c r="I27" s="634"/>
      <c r="J27" s="634"/>
      <c r="K27" s="210">
        <v>57</v>
      </c>
      <c r="L27" s="210">
        <v>15</v>
      </c>
      <c r="M27" s="650"/>
      <c r="N27" s="641"/>
    </row>
    <row r="28" ht="16.5" spans="2:14">
      <c r="B28" s="593" t="s">
        <v>58</v>
      </c>
      <c r="C28" s="584" t="s">
        <v>59</v>
      </c>
      <c r="D28" s="594">
        <v>21</v>
      </c>
      <c r="E28" s="594">
        <v>44</v>
      </c>
      <c r="F28" s="595" t="s">
        <v>1562</v>
      </c>
      <c r="G28" s="587">
        <v>0</v>
      </c>
      <c r="H28" s="587">
        <v>0.3</v>
      </c>
      <c r="I28" s="634" t="s">
        <v>1563</v>
      </c>
      <c r="J28" s="634" t="s">
        <v>1636</v>
      </c>
      <c r="K28" s="210">
        <v>45</v>
      </c>
      <c r="L28" s="210">
        <v>21</v>
      </c>
      <c r="M28" s="635" t="s">
        <v>1637</v>
      </c>
      <c r="N28" s="640" t="s">
        <v>1638</v>
      </c>
    </row>
    <row r="29" ht="16.5" spans="2:14">
      <c r="B29" s="596" t="s">
        <v>58</v>
      </c>
      <c r="C29" s="584" t="s">
        <v>59</v>
      </c>
      <c r="D29" s="594">
        <v>21</v>
      </c>
      <c r="E29" s="594">
        <v>46</v>
      </c>
      <c r="F29" s="595" t="s">
        <v>1639</v>
      </c>
      <c r="G29" s="587">
        <v>0.301</v>
      </c>
      <c r="H29" s="587">
        <v>0.6</v>
      </c>
      <c r="I29" s="637"/>
      <c r="J29" s="637"/>
      <c r="K29" s="210">
        <v>51</v>
      </c>
      <c r="L29" s="210">
        <v>21</v>
      </c>
      <c r="M29" s="638"/>
      <c r="N29" s="641"/>
    </row>
    <row r="30" ht="16.5" spans="2:14">
      <c r="B30" s="597" t="s">
        <v>58</v>
      </c>
      <c r="C30" s="584" t="s">
        <v>59</v>
      </c>
      <c r="D30" s="594">
        <v>21</v>
      </c>
      <c r="E30" s="594">
        <v>55</v>
      </c>
      <c r="F30" s="595" t="s">
        <v>1640</v>
      </c>
      <c r="G30" s="587">
        <v>0.601</v>
      </c>
      <c r="H30" s="587">
        <v>20</v>
      </c>
      <c r="I30" s="651"/>
      <c r="J30" s="652"/>
      <c r="K30" s="210">
        <v>56</v>
      </c>
      <c r="L30" s="210">
        <v>21</v>
      </c>
      <c r="M30" s="643"/>
      <c r="N30" s="653"/>
    </row>
    <row r="31" ht="16.5" spans="2:14">
      <c r="B31" s="588" t="s">
        <v>54</v>
      </c>
      <c r="C31" s="584" t="s">
        <v>55</v>
      </c>
      <c r="D31" s="589">
        <v>21</v>
      </c>
      <c r="E31" s="589">
        <v>59</v>
      </c>
      <c r="F31" s="590" t="s">
        <v>1577</v>
      </c>
      <c r="G31" s="587">
        <v>0</v>
      </c>
      <c r="H31" s="587">
        <v>1</v>
      </c>
      <c r="I31" s="654" t="s">
        <v>1563</v>
      </c>
      <c r="J31" s="655" t="s">
        <v>1636</v>
      </c>
      <c r="K31" s="210">
        <v>64</v>
      </c>
      <c r="L31" s="210">
        <v>21</v>
      </c>
      <c r="M31" s="635" t="s">
        <v>1641</v>
      </c>
      <c r="N31" s="656" t="s">
        <v>1642</v>
      </c>
    </row>
    <row r="32" ht="16.5" spans="2:14">
      <c r="B32" s="591" t="s">
        <v>54</v>
      </c>
      <c r="C32" s="584" t="s">
        <v>55</v>
      </c>
      <c r="D32" s="589">
        <v>21</v>
      </c>
      <c r="E32" s="589">
        <v>59</v>
      </c>
      <c r="F32" s="590">
        <v>45301</v>
      </c>
      <c r="G32" s="587">
        <v>45301</v>
      </c>
      <c r="H32" s="587">
        <v>45301</v>
      </c>
      <c r="I32" s="657"/>
      <c r="J32" s="658"/>
      <c r="K32" s="210">
        <v>64</v>
      </c>
      <c r="L32" s="210">
        <v>21</v>
      </c>
      <c r="M32" s="638"/>
      <c r="N32" s="659"/>
    </row>
    <row r="33" ht="16.5" spans="2:14">
      <c r="B33" s="588" t="s">
        <v>48</v>
      </c>
      <c r="C33" s="584" t="s">
        <v>49</v>
      </c>
      <c r="D33" s="589">
        <v>23</v>
      </c>
      <c r="E33" s="589">
        <v>70</v>
      </c>
      <c r="F33" s="590" t="s">
        <v>1577</v>
      </c>
      <c r="G33" s="587">
        <v>0</v>
      </c>
      <c r="H33" s="587">
        <v>1</v>
      </c>
      <c r="I33" s="654" t="s">
        <v>1563</v>
      </c>
      <c r="J33" s="660" t="s">
        <v>1636</v>
      </c>
      <c r="K33" s="660">
        <v>70</v>
      </c>
      <c r="L33" s="660">
        <v>23</v>
      </c>
      <c r="M33" s="661" t="s">
        <v>1641</v>
      </c>
      <c r="N33" s="656" t="s">
        <v>1642</v>
      </c>
    </row>
    <row r="34" ht="16.5" spans="2:14">
      <c r="B34" s="591" t="s">
        <v>48</v>
      </c>
      <c r="C34" s="584" t="s">
        <v>49</v>
      </c>
      <c r="D34" s="589">
        <v>23</v>
      </c>
      <c r="E34" s="589">
        <v>60</v>
      </c>
      <c r="F34" s="590" t="s">
        <v>1643</v>
      </c>
      <c r="G34" s="587">
        <v>1.001</v>
      </c>
      <c r="H34" s="587">
        <v>10</v>
      </c>
      <c r="I34" s="657"/>
      <c r="J34" s="662"/>
      <c r="K34" s="663">
        <v>60</v>
      </c>
      <c r="L34" s="663">
        <v>23</v>
      </c>
      <c r="M34" s="664"/>
      <c r="N34" s="659"/>
    </row>
    <row r="35" ht="16.5" spans="2:14">
      <c r="B35" s="588" t="s">
        <v>92</v>
      </c>
      <c r="C35" s="584" t="s">
        <v>93</v>
      </c>
      <c r="D35" s="589">
        <v>24</v>
      </c>
      <c r="E35" s="589">
        <v>81</v>
      </c>
      <c r="F35" s="590" t="s">
        <v>1621</v>
      </c>
      <c r="G35" s="587">
        <v>0</v>
      </c>
      <c r="H35" s="587">
        <v>0.2</v>
      </c>
      <c r="I35" s="654" t="s">
        <v>1563</v>
      </c>
      <c r="J35" s="665" t="s">
        <v>1570</v>
      </c>
      <c r="K35" s="210">
        <v>82</v>
      </c>
      <c r="L35" s="210">
        <v>23</v>
      </c>
      <c r="M35" s="666" t="s">
        <v>1644</v>
      </c>
      <c r="N35" s="667" t="s">
        <v>1645</v>
      </c>
    </row>
    <row r="36" ht="16.5" spans="2:14">
      <c r="B36" s="591" t="s">
        <v>92</v>
      </c>
      <c r="C36" s="584" t="s">
        <v>93</v>
      </c>
      <c r="D36" s="589">
        <v>22</v>
      </c>
      <c r="E36" s="589">
        <v>71</v>
      </c>
      <c r="F36" s="590" t="s">
        <v>1646</v>
      </c>
      <c r="G36" s="587">
        <v>0.201</v>
      </c>
      <c r="H36" s="587">
        <v>2</v>
      </c>
      <c r="I36" s="637"/>
      <c r="J36" s="637"/>
      <c r="K36" s="210">
        <v>66</v>
      </c>
      <c r="L36" s="210">
        <v>21</v>
      </c>
      <c r="M36" s="650"/>
      <c r="N36" s="648"/>
    </row>
    <row r="37" ht="16.5" spans="2:14">
      <c r="B37" s="591" t="s">
        <v>92</v>
      </c>
      <c r="C37" s="584" t="s">
        <v>93</v>
      </c>
      <c r="D37" s="589">
        <v>22</v>
      </c>
      <c r="E37" s="589">
        <v>61</v>
      </c>
      <c r="F37" s="590" t="s">
        <v>1647</v>
      </c>
      <c r="G37" s="587">
        <v>2</v>
      </c>
      <c r="H37" s="587">
        <v>30</v>
      </c>
      <c r="I37" s="637"/>
      <c r="J37" s="637"/>
      <c r="K37" s="210">
        <v>53</v>
      </c>
      <c r="L37" s="210">
        <v>21</v>
      </c>
      <c r="M37" s="650"/>
      <c r="N37" s="648"/>
    </row>
    <row r="38" ht="16.5" spans="2:14">
      <c r="B38" s="588" t="s">
        <v>66</v>
      </c>
      <c r="C38" s="584" t="s">
        <v>67</v>
      </c>
      <c r="D38" s="589">
        <v>21</v>
      </c>
      <c r="E38" s="589">
        <v>70</v>
      </c>
      <c r="F38" s="590" t="s">
        <v>1621</v>
      </c>
      <c r="G38" s="587">
        <v>0</v>
      </c>
      <c r="H38" s="587">
        <v>0.2</v>
      </c>
      <c r="I38" s="631" t="s">
        <v>1563</v>
      </c>
      <c r="J38" s="668" t="s">
        <v>1636</v>
      </c>
      <c r="K38" s="210">
        <v>80</v>
      </c>
      <c r="L38" s="210">
        <v>22</v>
      </c>
      <c r="M38" s="669" t="s">
        <v>1641</v>
      </c>
      <c r="N38" s="670" t="s">
        <v>1642</v>
      </c>
    </row>
    <row r="39" ht="16.5" spans="2:14">
      <c r="B39" s="591" t="s">
        <v>66</v>
      </c>
      <c r="C39" s="584" t="s">
        <v>67</v>
      </c>
      <c r="D39" s="589">
        <v>21</v>
      </c>
      <c r="E39" s="589">
        <v>70</v>
      </c>
      <c r="F39" s="590" t="s">
        <v>1648</v>
      </c>
      <c r="G39" s="587">
        <v>0.2</v>
      </c>
      <c r="H39" s="587">
        <v>1</v>
      </c>
      <c r="I39" s="631"/>
      <c r="J39" s="668"/>
      <c r="K39" s="210">
        <v>72</v>
      </c>
      <c r="L39" s="210">
        <v>21</v>
      </c>
      <c r="M39" s="671"/>
      <c r="N39" s="672"/>
    </row>
    <row r="40" ht="16.5" spans="2:14">
      <c r="B40" s="591" t="s">
        <v>66</v>
      </c>
      <c r="C40" s="584" t="s">
        <v>67</v>
      </c>
      <c r="D40" s="589">
        <v>21</v>
      </c>
      <c r="E40" s="589">
        <v>62</v>
      </c>
      <c r="F40" s="590">
        <v>45321</v>
      </c>
      <c r="G40" s="587">
        <v>45321</v>
      </c>
      <c r="H40" s="587">
        <v>45321</v>
      </c>
      <c r="I40" s="631"/>
      <c r="J40" s="668"/>
      <c r="K40" s="210">
        <v>65</v>
      </c>
      <c r="L40" s="210">
        <v>21</v>
      </c>
      <c r="M40" s="673"/>
      <c r="N40" s="674"/>
    </row>
    <row r="41" ht="16.5" spans="2:14">
      <c r="B41" s="593" t="s">
        <v>74</v>
      </c>
      <c r="C41" s="584" t="s">
        <v>75</v>
      </c>
      <c r="D41" s="594">
        <v>26</v>
      </c>
      <c r="E41" s="594">
        <v>75</v>
      </c>
      <c r="F41" s="598" t="s">
        <v>1562</v>
      </c>
      <c r="G41" s="587">
        <v>0</v>
      </c>
      <c r="H41" s="587">
        <v>0.3</v>
      </c>
      <c r="I41" s="675" t="s">
        <v>1563</v>
      </c>
      <c r="J41" s="660" t="s">
        <v>1570</v>
      </c>
      <c r="K41" s="210">
        <v>79</v>
      </c>
      <c r="L41" s="210">
        <v>26</v>
      </c>
      <c r="M41" s="635" t="s">
        <v>1649</v>
      </c>
      <c r="N41" s="640"/>
    </row>
    <row r="42" ht="16.5" spans="2:14">
      <c r="B42" s="596" t="s">
        <v>74</v>
      </c>
      <c r="C42" s="584" t="s">
        <v>75</v>
      </c>
      <c r="D42" s="594">
        <v>23</v>
      </c>
      <c r="E42" s="594">
        <v>72</v>
      </c>
      <c r="F42" s="598" t="s">
        <v>1650</v>
      </c>
      <c r="G42" s="587">
        <v>0.301</v>
      </c>
      <c r="H42" s="587">
        <v>20</v>
      </c>
      <c r="I42" s="662"/>
      <c r="J42" s="676"/>
      <c r="K42" s="210">
        <v>69</v>
      </c>
      <c r="L42" s="210">
        <v>23</v>
      </c>
      <c r="M42" s="643"/>
      <c r="N42" s="641"/>
    </row>
    <row r="43" ht="16.5" spans="2:14">
      <c r="B43" s="588" t="s">
        <v>38</v>
      </c>
      <c r="C43" s="584" t="s">
        <v>39</v>
      </c>
      <c r="D43" s="589">
        <v>22</v>
      </c>
      <c r="E43" s="589">
        <v>108</v>
      </c>
      <c r="F43" s="590" t="s">
        <v>1569</v>
      </c>
      <c r="G43" s="587">
        <v>0</v>
      </c>
      <c r="H43" s="587">
        <v>0.1</v>
      </c>
      <c r="I43" s="677" t="s">
        <v>677</v>
      </c>
      <c r="J43" s="658" t="s">
        <v>682</v>
      </c>
      <c r="K43" s="210">
        <v>100</v>
      </c>
      <c r="L43" s="210">
        <v>22</v>
      </c>
      <c r="M43" s="650" t="s">
        <v>1651</v>
      </c>
      <c r="N43" s="640" t="s">
        <v>1652</v>
      </c>
    </row>
    <row r="44" ht="16.5" spans="2:14">
      <c r="B44" s="591" t="s">
        <v>38</v>
      </c>
      <c r="C44" s="584" t="s">
        <v>39</v>
      </c>
      <c r="D44" s="589">
        <v>21</v>
      </c>
      <c r="E44" s="589">
        <v>102</v>
      </c>
      <c r="F44" s="590" t="s">
        <v>1653</v>
      </c>
      <c r="G44" s="587">
        <v>0.101</v>
      </c>
      <c r="H44" s="587">
        <v>0.6</v>
      </c>
      <c r="I44" s="678"/>
      <c r="J44" s="658"/>
      <c r="K44" s="210">
        <v>97</v>
      </c>
      <c r="L44" s="210">
        <v>21</v>
      </c>
      <c r="M44" s="650"/>
      <c r="N44" s="641"/>
    </row>
    <row r="45" ht="16.5" spans="2:14">
      <c r="B45" s="591" t="s">
        <v>38</v>
      </c>
      <c r="C45" s="584" t="s">
        <v>39</v>
      </c>
      <c r="D45" s="589">
        <v>18</v>
      </c>
      <c r="E45" s="589">
        <v>95</v>
      </c>
      <c r="F45" s="590" t="s">
        <v>1654</v>
      </c>
      <c r="G45" s="587">
        <v>0.6</v>
      </c>
      <c r="H45" s="587">
        <v>10</v>
      </c>
      <c r="I45" s="679"/>
      <c r="J45" s="680"/>
      <c r="K45" s="210">
        <v>87</v>
      </c>
      <c r="L45" s="210">
        <v>18</v>
      </c>
      <c r="M45" s="650"/>
      <c r="N45" s="641"/>
    </row>
    <row r="46" ht="66" spans="2:14">
      <c r="B46" s="599" t="s">
        <v>70</v>
      </c>
      <c r="C46" s="584" t="s">
        <v>71</v>
      </c>
      <c r="D46" s="589">
        <v>16</v>
      </c>
      <c r="E46" s="589">
        <v>75</v>
      </c>
      <c r="F46" s="590" t="s">
        <v>1655</v>
      </c>
      <c r="G46" s="587">
        <v>0</v>
      </c>
      <c r="H46" s="600">
        <v>5</v>
      </c>
      <c r="I46" s="681" t="s">
        <v>1656</v>
      </c>
      <c r="J46" s="681" t="s">
        <v>669</v>
      </c>
      <c r="K46" s="210">
        <v>68</v>
      </c>
      <c r="L46" s="210">
        <v>16</v>
      </c>
      <c r="M46" s="649" t="s">
        <v>1657</v>
      </c>
      <c r="N46" s="640" t="s">
        <v>1638</v>
      </c>
    </row>
    <row r="47" ht="60" spans="2:14">
      <c r="B47" s="581" t="s">
        <v>1541</v>
      </c>
      <c r="C47" s="584"/>
      <c r="D47" s="601" t="s">
        <v>1658</v>
      </c>
      <c r="E47" s="601" t="s">
        <v>1659</v>
      </c>
      <c r="F47" s="601" t="s">
        <v>1544</v>
      </c>
      <c r="G47" s="601"/>
      <c r="H47" s="601"/>
      <c r="I47" s="629" t="s">
        <v>1547</v>
      </c>
      <c r="J47" s="629" t="s">
        <v>1548</v>
      </c>
      <c r="K47" s="629" t="s">
        <v>1659</v>
      </c>
      <c r="L47" s="629" t="s">
        <v>1658</v>
      </c>
      <c r="M47" s="629" t="s">
        <v>1549</v>
      </c>
      <c r="N47" s="630" t="s">
        <v>1550</v>
      </c>
    </row>
    <row r="48" ht="280.5" spans="2:14">
      <c r="B48" s="602" t="s">
        <v>90</v>
      </c>
      <c r="C48" s="584" t="s">
        <v>91</v>
      </c>
      <c r="D48" s="594">
        <v>32</v>
      </c>
      <c r="E48" s="594">
        <v>7</v>
      </c>
      <c r="F48" s="603" t="s">
        <v>1660</v>
      </c>
      <c r="G48" s="600">
        <v>0</v>
      </c>
      <c r="H48" s="604">
        <v>10</v>
      </c>
      <c r="I48" s="649" t="s">
        <v>1661</v>
      </c>
      <c r="J48" s="682" t="s">
        <v>1662</v>
      </c>
      <c r="K48" s="683">
        <v>7</v>
      </c>
      <c r="L48" s="683">
        <v>38</v>
      </c>
      <c r="M48" s="649" t="s">
        <v>1663</v>
      </c>
      <c r="N48" s="670" t="s">
        <v>1664</v>
      </c>
    </row>
    <row r="49" ht="16.5" spans="2:14">
      <c r="B49" s="605" t="s">
        <v>1585</v>
      </c>
      <c r="C49" s="606"/>
      <c r="D49" s="606"/>
      <c r="E49" s="606"/>
      <c r="F49" s="606"/>
      <c r="G49" s="606"/>
      <c r="H49" s="606"/>
      <c r="I49" s="606"/>
      <c r="J49" s="606"/>
      <c r="K49" s="606"/>
      <c r="L49" s="606"/>
      <c r="M49" s="606"/>
      <c r="N49" s="684"/>
    </row>
    <row r="50" ht="16.5" spans="2:14">
      <c r="B50" s="607" t="s">
        <v>1586</v>
      </c>
      <c r="C50" s="608"/>
      <c r="D50" s="609"/>
      <c r="E50" s="610"/>
      <c r="F50" s="611"/>
      <c r="G50" s="611"/>
      <c r="H50" s="611"/>
      <c r="I50" s="685"/>
      <c r="J50" s="685"/>
      <c r="K50" s="685"/>
      <c r="L50" s="685"/>
      <c r="M50" s="686"/>
      <c r="N50" s="687"/>
    </row>
    <row r="51" ht="16.5" spans="2:14">
      <c r="B51" s="612" t="s">
        <v>1587</v>
      </c>
      <c r="C51" s="613"/>
      <c r="D51" s="614"/>
      <c r="E51" s="615"/>
      <c r="F51" s="616"/>
      <c r="G51" s="616"/>
      <c r="H51" s="616"/>
      <c r="I51" s="688"/>
      <c r="J51" s="688"/>
      <c r="K51" s="688"/>
      <c r="L51" s="688"/>
      <c r="M51" s="689"/>
      <c r="N51" s="690"/>
    </row>
    <row r="52" ht="16.5" spans="2:14">
      <c r="B52" s="617" t="s">
        <v>1665</v>
      </c>
      <c r="C52" s="618"/>
      <c r="D52" s="618"/>
      <c r="E52" s="618"/>
      <c r="F52" s="618"/>
      <c r="G52" s="618"/>
      <c r="H52" s="618"/>
      <c r="I52" s="618"/>
      <c r="J52" s="618"/>
      <c r="K52" s="618"/>
      <c r="L52" s="618"/>
      <c r="M52" s="618"/>
      <c r="N52" s="691"/>
    </row>
    <row r="53" ht="16.5" spans="2:14">
      <c r="B53" s="617" t="s">
        <v>1666</v>
      </c>
      <c r="C53" s="618"/>
      <c r="D53" s="618"/>
      <c r="E53" s="618"/>
      <c r="F53" s="618"/>
      <c r="G53" s="618"/>
      <c r="H53" s="618"/>
      <c r="I53" s="618"/>
      <c r="J53" s="618"/>
      <c r="K53" s="618"/>
      <c r="L53" s="618"/>
      <c r="M53" s="618"/>
      <c r="N53" s="691"/>
    </row>
    <row r="54" ht="16.5" spans="2:14">
      <c r="B54" s="617" t="s">
        <v>1667</v>
      </c>
      <c r="C54" s="618"/>
      <c r="D54" s="618"/>
      <c r="E54" s="618"/>
      <c r="F54" s="618"/>
      <c r="G54" s="618"/>
      <c r="H54" s="618"/>
      <c r="I54" s="618"/>
      <c r="J54" s="618"/>
      <c r="K54" s="618"/>
      <c r="L54" s="618"/>
      <c r="M54" s="618"/>
      <c r="N54" s="691"/>
    </row>
    <row r="55" ht="16.5" spans="2:14">
      <c r="B55" s="617" t="s">
        <v>1668</v>
      </c>
      <c r="C55" s="618"/>
      <c r="D55" s="618"/>
      <c r="E55" s="618"/>
      <c r="F55" s="618"/>
      <c r="G55" s="618"/>
      <c r="H55" s="618"/>
      <c r="I55" s="618"/>
      <c r="J55" s="618"/>
      <c r="K55" s="618"/>
      <c r="L55" s="618"/>
      <c r="M55" s="618"/>
      <c r="N55" s="691"/>
    </row>
    <row r="56" ht="16.5" spans="2:14">
      <c r="B56" s="617" t="s">
        <v>1669</v>
      </c>
      <c r="C56" s="618"/>
      <c r="D56" s="618"/>
      <c r="E56" s="618"/>
      <c r="F56" s="618"/>
      <c r="G56" s="618"/>
      <c r="H56" s="618"/>
      <c r="I56" s="618"/>
      <c r="J56" s="618"/>
      <c r="K56" s="618"/>
      <c r="L56" s="618"/>
      <c r="M56" s="618"/>
      <c r="N56" s="691"/>
    </row>
    <row r="57" ht="16.5" spans="2:14">
      <c r="B57" s="617" t="s">
        <v>1670</v>
      </c>
      <c r="C57" s="618"/>
      <c r="D57" s="618"/>
      <c r="E57" s="618"/>
      <c r="F57" s="618"/>
      <c r="G57" s="618"/>
      <c r="H57" s="618"/>
      <c r="I57" s="618"/>
      <c r="J57" s="618"/>
      <c r="K57" s="618"/>
      <c r="L57" s="618"/>
      <c r="M57" s="618"/>
      <c r="N57" s="691"/>
    </row>
    <row r="58" ht="16.5" spans="2:14">
      <c r="B58" s="617" t="s">
        <v>1671</v>
      </c>
      <c r="C58" s="618"/>
      <c r="D58" s="618"/>
      <c r="E58" s="618"/>
      <c r="F58" s="618"/>
      <c r="G58" s="618"/>
      <c r="H58" s="618"/>
      <c r="I58" s="618"/>
      <c r="J58" s="618"/>
      <c r="K58" s="618"/>
      <c r="L58" s="618"/>
      <c r="M58" s="618"/>
      <c r="N58" s="691"/>
    </row>
    <row r="59" ht="16.5" spans="2:14">
      <c r="B59" s="619" t="s">
        <v>1672</v>
      </c>
      <c r="C59" s="620"/>
      <c r="D59" s="620"/>
      <c r="E59" s="620"/>
      <c r="F59" s="620"/>
      <c r="G59" s="620"/>
      <c r="H59" s="620"/>
      <c r="I59" s="620"/>
      <c r="J59" s="620"/>
      <c r="K59" s="620"/>
      <c r="L59" s="620"/>
      <c r="M59" s="620"/>
      <c r="N59" s="692"/>
    </row>
    <row r="60" ht="16.5" spans="2:14">
      <c r="B60" s="621" t="s">
        <v>1589</v>
      </c>
      <c r="C60" s="622"/>
      <c r="D60" s="622"/>
      <c r="E60" s="622"/>
      <c r="F60" s="622"/>
      <c r="G60" s="622"/>
      <c r="H60" s="622"/>
      <c r="I60" s="622"/>
      <c r="J60" s="622"/>
      <c r="K60" s="622"/>
      <c r="L60" s="622"/>
      <c r="M60" s="622"/>
      <c r="N60" s="693"/>
    </row>
    <row r="61" ht="16.5" spans="2:14">
      <c r="B61" s="623" t="s">
        <v>1590</v>
      </c>
      <c r="C61" s="624"/>
      <c r="D61" s="624"/>
      <c r="E61" s="624"/>
      <c r="F61" s="624"/>
      <c r="G61" s="624"/>
      <c r="H61" s="624"/>
      <c r="I61" s="624"/>
      <c r="J61" s="624"/>
      <c r="K61" s="624"/>
      <c r="L61" s="624"/>
      <c r="M61" s="624"/>
      <c r="N61" s="694"/>
    </row>
    <row r="62" ht="16.5" spans="2:14">
      <c r="B62" s="625" t="s">
        <v>1591</v>
      </c>
      <c r="C62" s="626"/>
      <c r="D62" s="626"/>
      <c r="E62" s="626"/>
      <c r="F62" s="626"/>
      <c r="G62" s="626"/>
      <c r="H62" s="626"/>
      <c r="I62" s="626"/>
      <c r="J62" s="626"/>
      <c r="K62" s="626"/>
      <c r="L62" s="626"/>
      <c r="M62" s="626"/>
      <c r="N62" s="695"/>
    </row>
    <row r="63" ht="16.5" spans="2:14">
      <c r="B63" s="627" t="s">
        <v>1592</v>
      </c>
      <c r="C63" s="628"/>
      <c r="D63" s="628"/>
      <c r="E63" s="628"/>
      <c r="F63" s="628"/>
      <c r="G63" s="628"/>
      <c r="H63" s="628"/>
      <c r="I63" s="628"/>
      <c r="J63" s="628"/>
      <c r="K63" s="628"/>
      <c r="L63" s="628"/>
      <c r="M63" s="628"/>
      <c r="N63" s="696"/>
    </row>
    <row r="64" ht="16.5" spans="2:14">
      <c r="B64" s="623" t="s">
        <v>1593</v>
      </c>
      <c r="C64" s="624"/>
      <c r="D64" s="624"/>
      <c r="E64" s="624"/>
      <c r="F64" s="624"/>
      <c r="G64" s="624"/>
      <c r="H64" s="624"/>
      <c r="I64" s="624"/>
      <c r="J64" s="624"/>
      <c r="K64" s="624"/>
      <c r="L64" s="624"/>
      <c r="M64" s="624"/>
      <c r="N64" s="697"/>
    </row>
    <row r="65" ht="16.5" spans="2:14">
      <c r="B65" s="623" t="s">
        <v>1673</v>
      </c>
      <c r="C65" s="624"/>
      <c r="D65" s="624"/>
      <c r="E65" s="624"/>
      <c r="F65" s="624"/>
      <c r="G65" s="624"/>
      <c r="H65" s="624"/>
      <c r="I65" s="624"/>
      <c r="J65" s="624"/>
      <c r="K65" s="624"/>
      <c r="L65" s="624"/>
      <c r="M65" s="624"/>
      <c r="N65" s="697"/>
    </row>
    <row r="66" ht="16.5" spans="2:14">
      <c r="B66" s="623" t="s">
        <v>1674</v>
      </c>
      <c r="C66" s="624"/>
      <c r="D66" s="624"/>
      <c r="E66" s="624"/>
      <c r="F66" s="624"/>
      <c r="G66" s="624"/>
      <c r="H66" s="624"/>
      <c r="I66" s="624"/>
      <c r="J66" s="624"/>
      <c r="K66" s="624"/>
      <c r="L66" s="624"/>
      <c r="M66" s="624"/>
      <c r="N66" s="697"/>
    </row>
    <row r="67" ht="16.5" spans="2:14">
      <c r="B67" s="623" t="s">
        <v>1675</v>
      </c>
      <c r="C67" s="624"/>
      <c r="D67" s="624"/>
      <c r="E67" s="624"/>
      <c r="F67" s="624"/>
      <c r="G67" s="624"/>
      <c r="H67" s="624"/>
      <c r="I67" s="624"/>
      <c r="J67" s="624"/>
      <c r="K67" s="624"/>
      <c r="L67" s="624"/>
      <c r="M67" s="624"/>
      <c r="N67" s="697"/>
    </row>
    <row r="68" ht="16.5" spans="2:14">
      <c r="B68" s="698" t="s">
        <v>1676</v>
      </c>
      <c r="C68" s="699"/>
      <c r="D68" s="699"/>
      <c r="E68" s="699"/>
      <c r="F68" s="699"/>
      <c r="G68" s="699"/>
      <c r="H68" s="699"/>
      <c r="I68" s="699"/>
      <c r="J68" s="699"/>
      <c r="K68" s="699"/>
      <c r="L68" s="699"/>
      <c r="M68" s="699"/>
      <c r="N68" s="702"/>
    </row>
    <row r="69" ht="16.5" spans="2:14">
      <c r="B69" s="623" t="s">
        <v>1677</v>
      </c>
      <c r="C69" s="624"/>
      <c r="D69" s="624"/>
      <c r="E69" s="624"/>
      <c r="F69" s="624"/>
      <c r="G69" s="624"/>
      <c r="H69" s="624"/>
      <c r="I69" s="624"/>
      <c r="J69" s="624"/>
      <c r="K69" s="624"/>
      <c r="L69" s="624"/>
      <c r="M69" s="624"/>
      <c r="N69" s="697"/>
    </row>
    <row r="70" ht="16.5" spans="2:14">
      <c r="B70" s="700" t="s">
        <v>1597</v>
      </c>
      <c r="C70" s="701"/>
      <c r="D70" s="701"/>
      <c r="E70" s="701"/>
      <c r="F70" s="701"/>
      <c r="G70" s="701"/>
      <c r="H70" s="701"/>
      <c r="I70" s="701"/>
      <c r="J70" s="701"/>
      <c r="K70" s="701"/>
      <c r="L70" s="701"/>
      <c r="M70" s="701"/>
      <c r="N70" s="703"/>
    </row>
    <row r="71" ht="16.5" spans="2:14">
      <c r="B71" s="623" t="s">
        <v>1598</v>
      </c>
      <c r="C71" s="624"/>
      <c r="D71" s="624"/>
      <c r="E71" s="624"/>
      <c r="F71" s="624"/>
      <c r="G71" s="624"/>
      <c r="H71" s="624"/>
      <c r="I71" s="624"/>
      <c r="J71" s="624"/>
      <c r="K71" s="624"/>
      <c r="L71" s="624"/>
      <c r="M71" s="624"/>
      <c r="N71" s="694"/>
    </row>
    <row r="72" ht="16.5" spans="2:14">
      <c r="B72" s="623" t="s">
        <v>1599</v>
      </c>
      <c r="C72" s="624"/>
      <c r="D72" s="624"/>
      <c r="E72" s="624"/>
      <c r="F72" s="624"/>
      <c r="G72" s="624"/>
      <c r="H72" s="624"/>
      <c r="I72" s="624"/>
      <c r="J72" s="624"/>
      <c r="K72" s="624"/>
      <c r="L72" s="624"/>
      <c r="M72" s="624"/>
      <c r="N72" s="694"/>
    </row>
    <row r="73" ht="16.5" spans="2:14">
      <c r="B73" s="623" t="s">
        <v>1600</v>
      </c>
      <c r="C73" s="624"/>
      <c r="D73" s="624"/>
      <c r="E73" s="624"/>
      <c r="F73" s="624"/>
      <c r="G73" s="624"/>
      <c r="H73" s="624"/>
      <c r="I73" s="624"/>
      <c r="J73" s="624"/>
      <c r="K73" s="624"/>
      <c r="L73" s="624"/>
      <c r="M73" s="624"/>
      <c r="N73" s="694"/>
    </row>
    <row r="74" ht="16.5" spans="2:14">
      <c r="B74" s="623" t="s">
        <v>1601</v>
      </c>
      <c r="C74" s="624"/>
      <c r="D74" s="624"/>
      <c r="E74" s="624"/>
      <c r="F74" s="624"/>
      <c r="G74" s="624"/>
      <c r="H74" s="624"/>
      <c r="I74" s="624"/>
      <c r="J74" s="624"/>
      <c r="K74" s="624"/>
      <c r="L74" s="624"/>
      <c r="M74" s="624"/>
      <c r="N74" s="694"/>
    </row>
    <row r="75" ht="16.5" spans="2:14">
      <c r="B75" s="623" t="s">
        <v>1602</v>
      </c>
      <c r="C75" s="624"/>
      <c r="D75" s="624"/>
      <c r="E75" s="624"/>
      <c r="F75" s="624"/>
      <c r="G75" s="624"/>
      <c r="H75" s="624"/>
      <c r="I75" s="624"/>
      <c r="J75" s="624"/>
      <c r="K75" s="624"/>
      <c r="L75" s="624"/>
      <c r="M75" s="624"/>
      <c r="N75" s="694"/>
    </row>
    <row r="76" ht="16.5" spans="2:14">
      <c r="B76" s="625" t="s">
        <v>1603</v>
      </c>
      <c r="C76" s="626"/>
      <c r="D76" s="626"/>
      <c r="E76" s="626"/>
      <c r="F76" s="626"/>
      <c r="G76" s="626"/>
      <c r="H76" s="626"/>
      <c r="I76" s="626"/>
      <c r="J76" s="626"/>
      <c r="K76" s="626"/>
      <c r="L76" s="626"/>
      <c r="M76" s="626"/>
      <c r="N76" s="695"/>
    </row>
    <row r="77" ht="16.5" spans="2:14">
      <c r="B77" s="700" t="s">
        <v>1604</v>
      </c>
      <c r="C77" s="701"/>
      <c r="D77" s="701"/>
      <c r="E77" s="701"/>
      <c r="F77" s="701"/>
      <c r="G77" s="701"/>
      <c r="H77" s="701"/>
      <c r="I77" s="701"/>
      <c r="J77" s="701"/>
      <c r="K77" s="701"/>
      <c r="L77" s="701"/>
      <c r="M77" s="701"/>
      <c r="N77" s="703"/>
    </row>
    <row r="78" ht="16.5" spans="2:14">
      <c r="B78" s="623" t="s">
        <v>1678</v>
      </c>
      <c r="C78" s="624"/>
      <c r="D78" s="624"/>
      <c r="E78" s="624"/>
      <c r="F78" s="624"/>
      <c r="G78" s="624"/>
      <c r="H78" s="624"/>
      <c r="I78" s="624"/>
      <c r="J78" s="624"/>
      <c r="K78" s="624"/>
      <c r="L78" s="624"/>
      <c r="M78" s="624"/>
      <c r="N78" s="694"/>
    </row>
    <row r="79" ht="16.5" spans="2:14">
      <c r="B79" s="623" t="s">
        <v>1606</v>
      </c>
      <c r="C79" s="624"/>
      <c r="D79" s="624"/>
      <c r="E79" s="624"/>
      <c r="F79" s="624"/>
      <c r="G79" s="624"/>
      <c r="H79" s="624"/>
      <c r="I79" s="624"/>
      <c r="J79" s="624"/>
      <c r="K79" s="624"/>
      <c r="L79" s="624"/>
      <c r="M79" s="624"/>
      <c r="N79" s="694"/>
    </row>
    <row r="80" ht="16.5" spans="2:14">
      <c r="B80" s="698" t="s">
        <v>1679</v>
      </c>
      <c r="C80" s="699"/>
      <c r="D80" s="699"/>
      <c r="E80" s="699"/>
      <c r="F80" s="699"/>
      <c r="G80" s="699"/>
      <c r="H80" s="699"/>
      <c r="I80" s="699"/>
      <c r="J80" s="699"/>
      <c r="K80" s="699"/>
      <c r="L80" s="699"/>
      <c r="M80" s="699"/>
      <c r="N80" s="704"/>
    </row>
    <row r="81" ht="16.5" spans="2:14">
      <c r="B81" s="623" t="s">
        <v>1608</v>
      </c>
      <c r="C81" s="624"/>
      <c r="D81" s="624"/>
      <c r="E81" s="624"/>
      <c r="F81" s="624"/>
      <c r="G81" s="624"/>
      <c r="H81" s="624"/>
      <c r="I81" s="624"/>
      <c r="J81" s="624"/>
      <c r="K81" s="624"/>
      <c r="L81" s="624"/>
      <c r="M81" s="624"/>
      <c r="N81" s="694"/>
    </row>
    <row r="82" ht="16.5" spans="2:14">
      <c r="B82" s="623" t="s">
        <v>1609</v>
      </c>
      <c r="C82" s="624"/>
      <c r="D82" s="624"/>
      <c r="E82" s="624"/>
      <c r="F82" s="624"/>
      <c r="G82" s="624"/>
      <c r="H82" s="624"/>
      <c r="I82" s="624"/>
      <c r="J82" s="624"/>
      <c r="K82" s="624"/>
      <c r="L82" s="624"/>
      <c r="M82" s="624"/>
      <c r="N82" s="694"/>
    </row>
    <row r="83" ht="16.5" spans="2:14">
      <c r="B83" s="625" t="s">
        <v>1610</v>
      </c>
      <c r="C83" s="626"/>
      <c r="D83" s="626"/>
      <c r="E83" s="626"/>
      <c r="F83" s="626"/>
      <c r="G83" s="626"/>
      <c r="H83" s="626"/>
      <c r="I83" s="626"/>
      <c r="J83" s="626"/>
      <c r="K83" s="626"/>
      <c r="L83" s="626"/>
      <c r="M83" s="626"/>
      <c r="N83" s="695"/>
    </row>
    <row r="84" ht="16.5" spans="2:14">
      <c r="B84" s="700" t="s">
        <v>1680</v>
      </c>
      <c r="C84" s="701"/>
      <c r="D84" s="701"/>
      <c r="E84" s="701"/>
      <c r="F84" s="701"/>
      <c r="G84" s="701"/>
      <c r="H84" s="701"/>
      <c r="I84" s="701"/>
      <c r="J84" s="701"/>
      <c r="K84" s="701"/>
      <c r="L84" s="701"/>
      <c r="M84" s="701"/>
      <c r="N84" s="703"/>
    </row>
    <row r="85" ht="16.5" spans="2:14">
      <c r="B85" s="623" t="s">
        <v>1616</v>
      </c>
      <c r="C85" s="624"/>
      <c r="D85" s="624"/>
      <c r="E85" s="624"/>
      <c r="F85" s="624"/>
      <c r="G85" s="624"/>
      <c r="H85" s="624"/>
      <c r="I85" s="624"/>
      <c r="J85" s="624"/>
      <c r="K85" s="624"/>
      <c r="L85" s="624"/>
      <c r="M85" s="624"/>
      <c r="N85" s="694"/>
    </row>
    <row r="86" ht="16.5" spans="2:14">
      <c r="B86" s="623" t="s">
        <v>1617</v>
      </c>
      <c r="C86" s="624"/>
      <c r="D86" s="624"/>
      <c r="E86" s="624"/>
      <c r="F86" s="624"/>
      <c r="G86" s="624"/>
      <c r="H86" s="624"/>
      <c r="I86" s="624"/>
      <c r="J86" s="624"/>
      <c r="K86" s="624"/>
      <c r="L86" s="624"/>
      <c r="M86" s="624"/>
      <c r="N86" s="694"/>
    </row>
    <row r="87" ht="16.5" spans="2:14">
      <c r="B87" s="625" t="s">
        <v>1618</v>
      </c>
      <c r="C87" s="626"/>
      <c r="D87" s="626"/>
      <c r="E87" s="626"/>
      <c r="F87" s="626"/>
      <c r="G87" s="626"/>
      <c r="H87" s="626"/>
      <c r="I87" s="626"/>
      <c r="J87" s="626"/>
      <c r="K87" s="626"/>
      <c r="L87" s="626"/>
      <c r="M87" s="626"/>
      <c r="N87" s="695"/>
    </row>
  </sheetData>
  <sheetProtection formatCells="0" formatColumns="0" formatRows="0" insertRows="0" insertColumns="0" insertHyperlinks="0" deleteColumns="0" deleteRows="0" sort="0" autoFilter="0" pivotTables="0"/>
  <autoFilter xmlns:etc="http://www.wps.cn/officeDocument/2017/etCustomData" ref="B1:R87" etc:filterBottomFollowUsedRange="0">
    <extLst/>
  </autoFilter>
  <mergeCells count="99">
    <mergeCell ref="B49:N49"/>
    <mergeCell ref="B52:N52"/>
    <mergeCell ref="B53:N53"/>
    <mergeCell ref="B54:N54"/>
    <mergeCell ref="B55:N55"/>
    <mergeCell ref="B56:N56"/>
    <mergeCell ref="B57:N57"/>
    <mergeCell ref="B59:N59"/>
    <mergeCell ref="B61:N61"/>
    <mergeCell ref="B62:N62"/>
    <mergeCell ref="B63:N63"/>
    <mergeCell ref="B64:N64"/>
    <mergeCell ref="B65:N65"/>
    <mergeCell ref="B66:N66"/>
    <mergeCell ref="B67:N67"/>
    <mergeCell ref="B68:N68"/>
    <mergeCell ref="B69:N69"/>
    <mergeCell ref="B70:N70"/>
    <mergeCell ref="B71:N71"/>
    <mergeCell ref="B72:N72"/>
    <mergeCell ref="B73:N73"/>
    <mergeCell ref="B74:N74"/>
    <mergeCell ref="B75:N75"/>
    <mergeCell ref="B76:N76"/>
    <mergeCell ref="B77:N77"/>
    <mergeCell ref="B78:N78"/>
    <mergeCell ref="B79:N79"/>
    <mergeCell ref="B80:N80"/>
    <mergeCell ref="B81:N81"/>
    <mergeCell ref="B82:N82"/>
    <mergeCell ref="B83:N83"/>
    <mergeCell ref="B84:N84"/>
    <mergeCell ref="B85:N85"/>
    <mergeCell ref="B86:N86"/>
    <mergeCell ref="B87:N87"/>
    <mergeCell ref="I2:I8"/>
    <mergeCell ref="I9:I11"/>
    <mergeCell ref="I12:I14"/>
    <mergeCell ref="I15:I16"/>
    <mergeCell ref="I17:I18"/>
    <mergeCell ref="I19:I20"/>
    <mergeCell ref="I21:I22"/>
    <mergeCell ref="I23:I25"/>
    <mergeCell ref="I26:I27"/>
    <mergeCell ref="I28:I30"/>
    <mergeCell ref="I31:I32"/>
    <mergeCell ref="I33:I34"/>
    <mergeCell ref="I35:I37"/>
    <mergeCell ref="I38:I40"/>
    <mergeCell ref="I41:I42"/>
    <mergeCell ref="I43:I45"/>
    <mergeCell ref="J2:J8"/>
    <mergeCell ref="J9:J11"/>
    <mergeCell ref="J12:J14"/>
    <mergeCell ref="J15:J16"/>
    <mergeCell ref="J17:J18"/>
    <mergeCell ref="J19:J20"/>
    <mergeCell ref="J21:J22"/>
    <mergeCell ref="J23:J25"/>
    <mergeCell ref="J26:J27"/>
    <mergeCell ref="J28:J30"/>
    <mergeCell ref="J31:J32"/>
    <mergeCell ref="J33:J34"/>
    <mergeCell ref="J35:J37"/>
    <mergeCell ref="J38:J40"/>
    <mergeCell ref="J41:J42"/>
    <mergeCell ref="J43:J45"/>
    <mergeCell ref="M2:M8"/>
    <mergeCell ref="M9:M11"/>
    <mergeCell ref="M12:M14"/>
    <mergeCell ref="M15:M16"/>
    <mergeCell ref="M17:M18"/>
    <mergeCell ref="M19:M20"/>
    <mergeCell ref="M21:M22"/>
    <mergeCell ref="M23:M25"/>
    <mergeCell ref="M26:M27"/>
    <mergeCell ref="M28:M30"/>
    <mergeCell ref="M31:M32"/>
    <mergeCell ref="M33:M34"/>
    <mergeCell ref="M35:M37"/>
    <mergeCell ref="M38:M40"/>
    <mergeCell ref="M41:M42"/>
    <mergeCell ref="M43:M45"/>
    <mergeCell ref="N2:N8"/>
    <mergeCell ref="N9:N11"/>
    <mergeCell ref="N12:N14"/>
    <mergeCell ref="N15:N16"/>
    <mergeCell ref="N17:N18"/>
    <mergeCell ref="N19:N20"/>
    <mergeCell ref="N21:N22"/>
    <mergeCell ref="N23:N25"/>
    <mergeCell ref="N26:N27"/>
    <mergeCell ref="N28:N30"/>
    <mergeCell ref="N31:N32"/>
    <mergeCell ref="N33:N34"/>
    <mergeCell ref="N35:N37"/>
    <mergeCell ref="N38:N40"/>
    <mergeCell ref="N41:N42"/>
    <mergeCell ref="N43:N45"/>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9"/>
  <sheetViews>
    <sheetView topLeftCell="A47" workbookViewId="0">
      <selection activeCell="J14" sqref="J14"/>
    </sheetView>
  </sheetViews>
  <sheetFormatPr defaultColWidth="8.725" defaultRowHeight="13.5"/>
  <sheetData>
    <row r="1" ht="16.5" spans="1:16">
      <c r="A1" s="267"/>
      <c r="B1" s="267"/>
      <c r="C1" s="267"/>
      <c r="D1" s="520"/>
      <c r="E1" s="520"/>
      <c r="F1" s="520"/>
      <c r="G1" s="520"/>
      <c r="H1" s="520"/>
      <c r="I1" s="520"/>
      <c r="J1" s="520"/>
      <c r="K1" s="266"/>
      <c r="L1" s="266"/>
      <c r="M1" s="266"/>
      <c r="N1" s="266"/>
      <c r="O1" s="327" t="s">
        <v>1681</v>
      </c>
      <c r="P1" s="560" t="s">
        <v>660</v>
      </c>
    </row>
    <row r="2" ht="16.5" spans="1:16">
      <c r="A2" s="547" t="s">
        <v>1682</v>
      </c>
      <c r="B2" s="547" t="s">
        <v>1683</v>
      </c>
      <c r="C2" s="547"/>
      <c r="D2" s="547" t="s">
        <v>1684</v>
      </c>
      <c r="E2" s="547" t="s">
        <v>1685</v>
      </c>
      <c r="F2" s="332" t="s">
        <v>1544</v>
      </c>
      <c r="G2" s="332"/>
      <c r="H2" s="332"/>
      <c r="I2" s="332"/>
      <c r="J2" s="332"/>
      <c r="K2" s="336" t="s">
        <v>1686</v>
      </c>
      <c r="L2" s="336"/>
      <c r="M2" s="332" t="s">
        <v>1687</v>
      </c>
      <c r="N2" s="332" t="s">
        <v>1688</v>
      </c>
      <c r="O2" s="336" t="s">
        <v>1689</v>
      </c>
      <c r="P2" s="336" t="s">
        <v>1690</v>
      </c>
    </row>
    <row r="3" ht="33" spans="1:16">
      <c r="A3" s="548"/>
      <c r="B3" s="547"/>
      <c r="C3" s="547"/>
      <c r="D3" s="547"/>
      <c r="E3" s="547"/>
      <c r="F3" s="275"/>
      <c r="G3" s="275" t="s">
        <v>1545</v>
      </c>
      <c r="H3" s="275" t="s">
        <v>1546</v>
      </c>
      <c r="I3" s="275"/>
      <c r="J3" s="275"/>
      <c r="K3" s="336" t="s">
        <v>1691</v>
      </c>
      <c r="L3" s="336" t="s">
        <v>1692</v>
      </c>
      <c r="M3" s="275"/>
      <c r="N3" s="561"/>
      <c r="O3" s="547"/>
      <c r="P3" s="336"/>
    </row>
    <row r="4" ht="16.5" spans="1:16">
      <c r="A4" s="468" t="s">
        <v>1693</v>
      </c>
      <c r="B4" s="549" t="s">
        <v>24</v>
      </c>
      <c r="C4" s="293" t="s">
        <v>25</v>
      </c>
      <c r="D4" s="293" t="s">
        <v>1694</v>
      </c>
      <c r="E4" s="293" t="s">
        <v>1695</v>
      </c>
      <c r="F4" s="550" t="s">
        <v>1569</v>
      </c>
      <c r="G4" s="551">
        <v>0</v>
      </c>
      <c r="H4" s="551">
        <v>0.1</v>
      </c>
      <c r="I4" s="298"/>
      <c r="J4" s="298"/>
      <c r="K4" s="550">
        <v>149</v>
      </c>
      <c r="L4" s="550">
        <v>49</v>
      </c>
      <c r="M4" s="562" t="s">
        <v>1696</v>
      </c>
      <c r="N4" s="563" t="s">
        <v>1697</v>
      </c>
      <c r="O4" s="564" t="s">
        <v>1698</v>
      </c>
      <c r="P4" s="565" t="s">
        <v>1699</v>
      </c>
    </row>
    <row r="5" ht="16.5" spans="1:16">
      <c r="A5" s="468"/>
      <c r="B5" s="549" t="s">
        <v>24</v>
      </c>
      <c r="C5" s="293" t="s">
        <v>25</v>
      </c>
      <c r="D5" s="293"/>
      <c r="E5" s="293"/>
      <c r="F5" s="550" t="s">
        <v>1700</v>
      </c>
      <c r="G5" s="551">
        <v>0.101</v>
      </c>
      <c r="H5" s="551">
        <v>0.2</v>
      </c>
      <c r="I5" s="298"/>
      <c r="J5" s="298"/>
      <c r="K5" s="550">
        <v>161</v>
      </c>
      <c r="L5" s="550">
        <v>49</v>
      </c>
      <c r="M5" s="562"/>
      <c r="N5" s="563"/>
      <c r="O5" s="564"/>
      <c r="P5" s="566"/>
    </row>
    <row r="6" ht="16.5" spans="1:16">
      <c r="A6" s="468"/>
      <c r="B6" s="549" t="s">
        <v>24</v>
      </c>
      <c r="C6" s="293" t="s">
        <v>25</v>
      </c>
      <c r="D6" s="293"/>
      <c r="E6" s="293"/>
      <c r="F6" s="550" t="s">
        <v>1701</v>
      </c>
      <c r="G6" s="551">
        <v>0.201</v>
      </c>
      <c r="H6" s="551">
        <v>0.45</v>
      </c>
      <c r="I6" s="298"/>
      <c r="J6" s="298"/>
      <c r="K6" s="550">
        <v>165</v>
      </c>
      <c r="L6" s="550">
        <v>48</v>
      </c>
      <c r="M6" s="562"/>
      <c r="N6" s="563"/>
      <c r="O6" s="564"/>
      <c r="P6" s="566"/>
    </row>
    <row r="7" ht="16.5" spans="1:16">
      <c r="A7" s="468"/>
      <c r="B7" s="549" t="s">
        <v>24</v>
      </c>
      <c r="C7" s="293" t="s">
        <v>25</v>
      </c>
      <c r="D7" s="293"/>
      <c r="E7" s="293"/>
      <c r="F7" s="550" t="s">
        <v>1702</v>
      </c>
      <c r="G7" s="551">
        <v>0.451</v>
      </c>
      <c r="H7" s="551">
        <v>0.7</v>
      </c>
      <c r="I7" s="298"/>
      <c r="J7" s="298"/>
      <c r="K7" s="550">
        <v>165</v>
      </c>
      <c r="L7" s="550">
        <v>48</v>
      </c>
      <c r="M7" s="562"/>
      <c r="N7" s="563"/>
      <c r="O7" s="564"/>
      <c r="P7" s="566"/>
    </row>
    <row r="8" ht="16.5" spans="1:16">
      <c r="A8" s="468"/>
      <c r="B8" s="549" t="s">
        <v>24</v>
      </c>
      <c r="C8" s="293" t="s">
        <v>25</v>
      </c>
      <c r="D8" s="293"/>
      <c r="E8" s="293"/>
      <c r="F8" s="550" t="s">
        <v>1703</v>
      </c>
      <c r="G8" s="551">
        <v>0.701</v>
      </c>
      <c r="H8" s="551">
        <v>1</v>
      </c>
      <c r="I8" s="298"/>
      <c r="J8" s="298"/>
      <c r="K8" s="550">
        <v>165</v>
      </c>
      <c r="L8" s="550">
        <v>39</v>
      </c>
      <c r="M8" s="562"/>
      <c r="N8" s="563"/>
      <c r="O8" s="564"/>
      <c r="P8" s="566"/>
    </row>
    <row r="9" ht="16.5" spans="1:16">
      <c r="A9" s="468"/>
      <c r="B9" s="549" t="s">
        <v>24</v>
      </c>
      <c r="C9" s="293" t="s">
        <v>25</v>
      </c>
      <c r="D9" s="293"/>
      <c r="E9" s="293"/>
      <c r="F9" s="550" t="s">
        <v>1704</v>
      </c>
      <c r="G9" s="551">
        <v>1.001</v>
      </c>
      <c r="H9" s="551">
        <v>2</v>
      </c>
      <c r="I9" s="567"/>
      <c r="J9" s="567"/>
      <c r="K9" s="550">
        <v>160</v>
      </c>
      <c r="L9" s="550">
        <v>39</v>
      </c>
      <c r="M9" s="562"/>
      <c r="N9" s="563"/>
      <c r="O9" s="564"/>
      <c r="P9" s="566"/>
    </row>
    <row r="10" ht="16.5" spans="1:16">
      <c r="A10" s="468"/>
      <c r="B10" s="552" t="s">
        <v>78</v>
      </c>
      <c r="C10" s="293" t="s">
        <v>79</v>
      </c>
      <c r="D10" s="553" t="s">
        <v>1694</v>
      </c>
      <c r="E10" s="293" t="s">
        <v>1695</v>
      </c>
      <c r="F10" s="298" t="s">
        <v>1562</v>
      </c>
      <c r="G10" s="551">
        <v>0</v>
      </c>
      <c r="H10" s="551">
        <v>0.3</v>
      </c>
      <c r="I10" s="298"/>
      <c r="J10" s="298"/>
      <c r="K10" s="550">
        <v>162</v>
      </c>
      <c r="L10" s="550">
        <v>24</v>
      </c>
      <c r="M10" s="562" t="s">
        <v>1705</v>
      </c>
      <c r="N10" s="293" t="s">
        <v>1697</v>
      </c>
      <c r="O10" s="564" t="s">
        <v>1553</v>
      </c>
      <c r="P10" s="562" t="s">
        <v>1697</v>
      </c>
    </row>
    <row r="11" ht="16.5" spans="1:16">
      <c r="A11" s="468"/>
      <c r="B11" s="552" t="s">
        <v>78</v>
      </c>
      <c r="C11" s="293" t="s">
        <v>79</v>
      </c>
      <c r="D11" s="554"/>
      <c r="E11" s="554"/>
      <c r="F11" s="298" t="s">
        <v>1706</v>
      </c>
      <c r="G11" s="551">
        <v>0.301</v>
      </c>
      <c r="H11" s="551">
        <v>0.5</v>
      </c>
      <c r="I11" s="298"/>
      <c r="J11" s="298"/>
      <c r="K11" s="550">
        <v>162</v>
      </c>
      <c r="L11" s="550">
        <v>24</v>
      </c>
      <c r="M11" s="387"/>
      <c r="N11" s="293"/>
      <c r="O11" s="553"/>
      <c r="P11" s="562"/>
    </row>
    <row r="12" ht="16.5" spans="1:16">
      <c r="A12" s="468"/>
      <c r="B12" s="552" t="s">
        <v>78</v>
      </c>
      <c r="C12" s="293" t="s">
        <v>79</v>
      </c>
      <c r="D12" s="554"/>
      <c r="E12" s="554"/>
      <c r="F12" s="298" t="s">
        <v>1707</v>
      </c>
      <c r="G12" s="551">
        <v>0.501</v>
      </c>
      <c r="H12" s="551">
        <v>2</v>
      </c>
      <c r="I12" s="298"/>
      <c r="J12" s="298"/>
      <c r="K12" s="550">
        <v>162</v>
      </c>
      <c r="L12" s="550">
        <v>24</v>
      </c>
      <c r="M12" s="387"/>
      <c r="N12" s="293"/>
      <c r="O12" s="553"/>
      <c r="P12" s="562"/>
    </row>
    <row r="13" ht="16.5" spans="1:16">
      <c r="A13" s="468"/>
      <c r="B13" s="552" t="s">
        <v>78</v>
      </c>
      <c r="C13" s="293" t="s">
        <v>79</v>
      </c>
      <c r="D13" s="554"/>
      <c r="E13" s="554"/>
      <c r="F13" s="298" t="s">
        <v>1708</v>
      </c>
      <c r="G13" s="551">
        <v>2.001</v>
      </c>
      <c r="H13" s="551">
        <v>5</v>
      </c>
      <c r="I13" s="298"/>
      <c r="J13" s="298"/>
      <c r="K13" s="550">
        <v>162</v>
      </c>
      <c r="L13" s="550">
        <v>24</v>
      </c>
      <c r="M13" s="387"/>
      <c r="N13" s="293"/>
      <c r="O13" s="553"/>
      <c r="P13" s="562"/>
    </row>
    <row r="14" ht="16.5" spans="1:16">
      <c r="A14" s="468"/>
      <c r="B14" s="552" t="s">
        <v>94</v>
      </c>
      <c r="C14" s="293" t="s">
        <v>95</v>
      </c>
      <c r="D14" s="553" t="s">
        <v>1694</v>
      </c>
      <c r="E14" s="293" t="s">
        <v>1695</v>
      </c>
      <c r="F14" s="298" t="s">
        <v>1632</v>
      </c>
      <c r="G14" s="551">
        <v>0</v>
      </c>
      <c r="H14" s="551">
        <v>0.5</v>
      </c>
      <c r="I14" s="298"/>
      <c r="J14" s="298"/>
      <c r="K14" s="550">
        <v>115</v>
      </c>
      <c r="L14" s="550">
        <v>21</v>
      </c>
      <c r="M14" s="483" t="s">
        <v>1709</v>
      </c>
      <c r="N14" s="293" t="s">
        <v>1697</v>
      </c>
      <c r="O14" s="564" t="s">
        <v>1710</v>
      </c>
      <c r="P14" s="568" t="s">
        <v>1699</v>
      </c>
    </row>
    <row r="15" ht="16.5" spans="1:16">
      <c r="A15" s="468"/>
      <c r="B15" s="552" t="s">
        <v>94</v>
      </c>
      <c r="C15" s="293" t="s">
        <v>95</v>
      </c>
      <c r="D15" s="554"/>
      <c r="E15" s="554"/>
      <c r="F15" s="298" t="s">
        <v>1711</v>
      </c>
      <c r="G15" s="551">
        <v>0.501</v>
      </c>
      <c r="H15" s="551">
        <v>1</v>
      </c>
      <c r="I15" s="298"/>
      <c r="J15" s="298"/>
      <c r="K15" s="550">
        <v>115</v>
      </c>
      <c r="L15" s="550">
        <v>21</v>
      </c>
      <c r="M15" s="488"/>
      <c r="N15" s="293"/>
      <c r="O15" s="553"/>
      <c r="P15" s="568"/>
    </row>
    <row r="16" ht="16.5" spans="1:16">
      <c r="A16" s="468"/>
      <c r="B16" s="552" t="s">
        <v>94</v>
      </c>
      <c r="C16" s="293" t="s">
        <v>95</v>
      </c>
      <c r="D16" s="554"/>
      <c r="E16" s="554"/>
      <c r="F16" s="298" t="s">
        <v>1712</v>
      </c>
      <c r="G16" s="551">
        <v>1.001</v>
      </c>
      <c r="H16" s="551">
        <v>5</v>
      </c>
      <c r="I16" s="298"/>
      <c r="J16" s="298"/>
      <c r="K16" s="550">
        <v>115</v>
      </c>
      <c r="L16" s="550">
        <v>23</v>
      </c>
      <c r="M16" s="488"/>
      <c r="N16" s="293"/>
      <c r="O16" s="553"/>
      <c r="P16" s="568"/>
    </row>
    <row r="17" ht="16.5" spans="1:16">
      <c r="A17" s="300" t="s">
        <v>1713</v>
      </c>
      <c r="B17" s="555" t="s">
        <v>150</v>
      </c>
      <c r="C17" s="293" t="s">
        <v>151</v>
      </c>
      <c r="D17" s="556" t="s">
        <v>1694</v>
      </c>
      <c r="E17" s="556" t="s">
        <v>1695</v>
      </c>
      <c r="F17" s="298" t="s">
        <v>1621</v>
      </c>
      <c r="G17" s="551">
        <v>0</v>
      </c>
      <c r="H17" s="551">
        <v>0.2</v>
      </c>
      <c r="I17" s="298"/>
      <c r="J17" s="298"/>
      <c r="K17" s="550">
        <v>90</v>
      </c>
      <c r="L17" s="550">
        <v>37</v>
      </c>
      <c r="M17" s="569" t="s">
        <v>1714</v>
      </c>
      <c r="N17" s="294" t="s">
        <v>1697</v>
      </c>
      <c r="O17" s="294" t="s">
        <v>1715</v>
      </c>
      <c r="P17" s="570" t="s">
        <v>1697</v>
      </c>
    </row>
    <row r="18" ht="16.5" spans="1:16">
      <c r="A18" s="300"/>
      <c r="B18" s="295" t="s">
        <v>150</v>
      </c>
      <c r="C18" s="293" t="s">
        <v>151</v>
      </c>
      <c r="D18" s="557"/>
      <c r="E18" s="557"/>
      <c r="F18" s="298" t="s">
        <v>1716</v>
      </c>
      <c r="G18" s="551">
        <v>0.201</v>
      </c>
      <c r="H18" s="551">
        <v>0.5</v>
      </c>
      <c r="I18" s="298"/>
      <c r="J18" s="298"/>
      <c r="K18" s="550">
        <v>90</v>
      </c>
      <c r="L18" s="550">
        <v>37</v>
      </c>
      <c r="M18" s="571"/>
      <c r="N18" s="300"/>
      <c r="O18" s="300"/>
      <c r="P18" s="570"/>
    </row>
    <row r="19" ht="16.5" spans="1:16">
      <c r="A19" s="300"/>
      <c r="B19" s="295" t="s">
        <v>150</v>
      </c>
      <c r="C19" s="293" t="s">
        <v>151</v>
      </c>
      <c r="D19" s="557"/>
      <c r="E19" s="557"/>
      <c r="F19" s="298" t="s">
        <v>1717</v>
      </c>
      <c r="G19" s="551">
        <v>0.501</v>
      </c>
      <c r="H19" s="551">
        <v>1</v>
      </c>
      <c r="I19" s="298"/>
      <c r="J19" s="298"/>
      <c r="K19" s="550">
        <v>90</v>
      </c>
      <c r="L19" s="550">
        <v>41</v>
      </c>
      <c r="M19" s="571"/>
      <c r="N19" s="300"/>
      <c r="O19" s="300"/>
      <c r="P19" s="570"/>
    </row>
    <row r="20" ht="16.5" spans="1:16">
      <c r="A20" s="300"/>
      <c r="B20" s="295" t="s">
        <v>150</v>
      </c>
      <c r="C20" s="293" t="s">
        <v>151</v>
      </c>
      <c r="D20" s="557"/>
      <c r="E20" s="557"/>
      <c r="F20" s="298" t="s">
        <v>1718</v>
      </c>
      <c r="G20" s="551">
        <v>1.01</v>
      </c>
      <c r="H20" s="551">
        <v>1.5</v>
      </c>
      <c r="I20" s="298"/>
      <c r="J20" s="298"/>
      <c r="K20" s="550">
        <v>90</v>
      </c>
      <c r="L20" s="550">
        <v>49</v>
      </c>
      <c r="M20" s="571"/>
      <c r="N20" s="300"/>
      <c r="O20" s="300"/>
      <c r="P20" s="570"/>
    </row>
    <row r="21" ht="16.5" spans="1:16">
      <c r="A21" s="300"/>
      <c r="B21" s="295" t="s">
        <v>150</v>
      </c>
      <c r="C21" s="293" t="s">
        <v>151</v>
      </c>
      <c r="D21" s="557"/>
      <c r="E21" s="557"/>
      <c r="F21" s="298" t="s">
        <v>1719</v>
      </c>
      <c r="G21" s="551">
        <v>1.501</v>
      </c>
      <c r="H21" s="551">
        <v>2</v>
      </c>
      <c r="I21" s="298"/>
      <c r="J21" s="298"/>
      <c r="K21" s="550">
        <v>90</v>
      </c>
      <c r="L21" s="550">
        <v>53</v>
      </c>
      <c r="M21" s="571"/>
      <c r="N21" s="300"/>
      <c r="O21" s="300"/>
      <c r="P21" s="570"/>
    </row>
    <row r="22" ht="16.5" spans="1:16">
      <c r="A22" s="300"/>
      <c r="B22" s="558" t="s">
        <v>150</v>
      </c>
      <c r="C22" s="293" t="s">
        <v>151</v>
      </c>
      <c r="D22" s="557"/>
      <c r="E22" s="557"/>
      <c r="F22" s="298" t="s">
        <v>1720</v>
      </c>
      <c r="G22" s="551">
        <v>2.01</v>
      </c>
      <c r="H22" s="551">
        <v>30</v>
      </c>
      <c r="I22" s="298"/>
      <c r="J22" s="298"/>
      <c r="K22" s="550">
        <v>90</v>
      </c>
      <c r="L22" s="550">
        <v>64</v>
      </c>
      <c r="M22" s="571"/>
      <c r="N22" s="300"/>
      <c r="O22" s="300"/>
      <c r="P22" s="570"/>
    </row>
    <row r="23" ht="66" spans="1:16">
      <c r="A23" s="556" t="s">
        <v>1721</v>
      </c>
      <c r="B23" s="553" t="s">
        <v>28</v>
      </c>
      <c r="C23" s="293" t="s">
        <v>29</v>
      </c>
      <c r="D23" s="556" t="s">
        <v>1694</v>
      </c>
      <c r="E23" s="294" t="s">
        <v>1695</v>
      </c>
      <c r="F23" s="298" t="s">
        <v>1722</v>
      </c>
      <c r="G23" s="551">
        <v>0</v>
      </c>
      <c r="H23" s="551">
        <v>2</v>
      </c>
      <c r="I23" s="298"/>
      <c r="J23" s="298"/>
      <c r="K23" s="550">
        <v>119</v>
      </c>
      <c r="L23" s="550">
        <v>23</v>
      </c>
      <c r="M23" s="572" t="s">
        <v>1723</v>
      </c>
      <c r="N23" s="573" t="s">
        <v>1697</v>
      </c>
      <c r="O23" s="574" t="s">
        <v>1553</v>
      </c>
      <c r="P23" s="572" t="s">
        <v>1724</v>
      </c>
    </row>
    <row r="24" ht="66" spans="1:16">
      <c r="A24" s="557"/>
      <c r="B24" s="553" t="s">
        <v>72</v>
      </c>
      <c r="C24" s="293" t="s">
        <v>73</v>
      </c>
      <c r="D24" s="557"/>
      <c r="E24" s="300"/>
      <c r="F24" s="298" t="s">
        <v>1722</v>
      </c>
      <c r="G24" s="551">
        <v>0</v>
      </c>
      <c r="H24" s="551">
        <v>2</v>
      </c>
      <c r="I24" s="298"/>
      <c r="J24" s="298"/>
      <c r="K24" s="550">
        <v>120</v>
      </c>
      <c r="L24" s="550">
        <v>22</v>
      </c>
      <c r="M24" s="575"/>
      <c r="N24" s="576"/>
      <c r="O24" s="577"/>
      <c r="P24" s="572" t="s">
        <v>1725</v>
      </c>
    </row>
    <row r="25" ht="99" spans="1:16">
      <c r="A25" s="557"/>
      <c r="B25" s="553" t="s">
        <v>32</v>
      </c>
      <c r="C25" s="293" t="s">
        <v>33</v>
      </c>
      <c r="D25" s="557"/>
      <c r="E25" s="300"/>
      <c r="F25" s="298" t="s">
        <v>1722</v>
      </c>
      <c r="G25" s="551">
        <v>0</v>
      </c>
      <c r="H25" s="551">
        <v>2</v>
      </c>
      <c r="I25" s="298"/>
      <c r="J25" s="298"/>
      <c r="K25" s="550">
        <v>116</v>
      </c>
      <c r="L25" s="550">
        <v>25</v>
      </c>
      <c r="M25" s="575"/>
      <c r="N25" s="576"/>
      <c r="O25" s="577"/>
      <c r="P25" s="572" t="s">
        <v>1726</v>
      </c>
    </row>
    <row r="26" ht="115.5" spans="1:16">
      <c r="A26" s="557"/>
      <c r="B26" s="553" t="s">
        <v>34</v>
      </c>
      <c r="C26" s="293" t="s">
        <v>35</v>
      </c>
      <c r="D26" s="557"/>
      <c r="E26" s="300"/>
      <c r="F26" s="298" t="s">
        <v>1722</v>
      </c>
      <c r="G26" s="551">
        <v>0</v>
      </c>
      <c r="H26" s="551">
        <v>2</v>
      </c>
      <c r="I26" s="298"/>
      <c r="J26" s="298"/>
      <c r="K26" s="550">
        <v>135</v>
      </c>
      <c r="L26" s="550">
        <v>18</v>
      </c>
      <c r="M26" s="575"/>
      <c r="N26" s="576"/>
      <c r="O26" s="577"/>
      <c r="P26" s="572" t="s">
        <v>1727</v>
      </c>
    </row>
    <row r="27" ht="16.5" spans="1:16">
      <c r="A27" s="557"/>
      <c r="B27" s="553" t="s">
        <v>92</v>
      </c>
      <c r="C27" s="293" t="s">
        <v>93</v>
      </c>
      <c r="D27" s="557"/>
      <c r="E27" s="300"/>
      <c r="F27" s="298" t="s">
        <v>1722</v>
      </c>
      <c r="G27" s="551">
        <v>0</v>
      </c>
      <c r="H27" s="551">
        <v>2</v>
      </c>
      <c r="I27" s="298"/>
      <c r="J27" s="298"/>
      <c r="K27" s="550">
        <v>111</v>
      </c>
      <c r="L27" s="550">
        <v>24</v>
      </c>
      <c r="M27" s="575"/>
      <c r="N27" s="576"/>
      <c r="O27" s="577"/>
      <c r="P27" s="572"/>
    </row>
    <row r="28" ht="16.5" spans="1:16">
      <c r="A28" s="557"/>
      <c r="B28" s="553" t="s">
        <v>36</v>
      </c>
      <c r="C28" s="293" t="s">
        <v>37</v>
      </c>
      <c r="D28" s="557"/>
      <c r="E28" s="300"/>
      <c r="F28" s="298" t="s">
        <v>1722</v>
      </c>
      <c r="G28" s="551">
        <v>0</v>
      </c>
      <c r="H28" s="551">
        <v>2</v>
      </c>
      <c r="I28" s="298"/>
      <c r="J28" s="298"/>
      <c r="K28" s="550">
        <v>149</v>
      </c>
      <c r="L28" s="550">
        <v>22</v>
      </c>
      <c r="M28" s="575"/>
      <c r="N28" s="576"/>
      <c r="O28" s="577"/>
      <c r="P28" s="572"/>
    </row>
    <row r="29" ht="16.5" spans="1:16">
      <c r="A29" s="557"/>
      <c r="B29" s="553" t="s">
        <v>40</v>
      </c>
      <c r="C29" s="293" t="s">
        <v>41</v>
      </c>
      <c r="D29" s="557"/>
      <c r="E29" s="300"/>
      <c r="F29" s="298" t="s">
        <v>1722</v>
      </c>
      <c r="G29" s="551">
        <v>0</v>
      </c>
      <c r="H29" s="551">
        <v>2</v>
      </c>
      <c r="I29" s="298"/>
      <c r="J29" s="298"/>
      <c r="K29" s="550">
        <v>133</v>
      </c>
      <c r="L29" s="550">
        <v>26</v>
      </c>
      <c r="M29" s="575"/>
      <c r="N29" s="576"/>
      <c r="O29" s="577"/>
      <c r="P29" s="572"/>
    </row>
    <row r="30" ht="16.5" spans="1:16">
      <c r="A30" s="557"/>
      <c r="B30" s="553" t="s">
        <v>62</v>
      </c>
      <c r="C30" s="293" t="s">
        <v>63</v>
      </c>
      <c r="D30" s="557"/>
      <c r="E30" s="300"/>
      <c r="F30" s="298" t="s">
        <v>1722</v>
      </c>
      <c r="G30" s="551">
        <v>0</v>
      </c>
      <c r="H30" s="551">
        <v>2</v>
      </c>
      <c r="I30" s="298"/>
      <c r="J30" s="298"/>
      <c r="K30" s="550">
        <v>139</v>
      </c>
      <c r="L30" s="550">
        <v>20</v>
      </c>
      <c r="M30" s="575"/>
      <c r="N30" s="576"/>
      <c r="O30" s="577"/>
      <c r="P30" s="572"/>
    </row>
    <row r="31" ht="82.5" spans="1:16">
      <c r="A31" s="557"/>
      <c r="B31" s="553" t="s">
        <v>74</v>
      </c>
      <c r="C31" s="293" t="s">
        <v>75</v>
      </c>
      <c r="D31" s="557"/>
      <c r="E31" s="300"/>
      <c r="F31" s="298" t="s">
        <v>1722</v>
      </c>
      <c r="G31" s="551">
        <v>0</v>
      </c>
      <c r="H31" s="551">
        <v>2</v>
      </c>
      <c r="I31" s="298"/>
      <c r="J31" s="298"/>
      <c r="K31" s="550">
        <v>117</v>
      </c>
      <c r="L31" s="550">
        <v>24</v>
      </c>
      <c r="M31" s="575"/>
      <c r="N31" s="576"/>
      <c r="O31" s="577"/>
      <c r="P31" s="572" t="s">
        <v>1728</v>
      </c>
    </row>
    <row r="32" ht="16.5" spans="1:16">
      <c r="A32" s="557"/>
      <c r="B32" s="553" t="s">
        <v>46</v>
      </c>
      <c r="C32" s="293" t="s">
        <v>47</v>
      </c>
      <c r="D32" s="557"/>
      <c r="E32" s="300"/>
      <c r="F32" s="298" t="s">
        <v>1722</v>
      </c>
      <c r="G32" s="551">
        <v>0</v>
      </c>
      <c r="H32" s="551">
        <v>2</v>
      </c>
      <c r="I32" s="298"/>
      <c r="J32" s="298"/>
      <c r="K32" s="550">
        <v>115</v>
      </c>
      <c r="L32" s="550">
        <v>26</v>
      </c>
      <c r="M32" s="575"/>
      <c r="N32" s="576"/>
      <c r="O32" s="577"/>
      <c r="P32" s="572"/>
    </row>
    <row r="33" ht="16.5" spans="1:16">
      <c r="A33" s="557"/>
      <c r="B33" s="553" t="s">
        <v>54</v>
      </c>
      <c r="C33" s="293" t="s">
        <v>55</v>
      </c>
      <c r="D33" s="557"/>
      <c r="E33" s="300"/>
      <c r="F33" s="298" t="s">
        <v>1722</v>
      </c>
      <c r="G33" s="551">
        <v>0</v>
      </c>
      <c r="H33" s="551">
        <v>2</v>
      </c>
      <c r="I33" s="298"/>
      <c r="J33" s="298"/>
      <c r="K33" s="550">
        <v>108</v>
      </c>
      <c r="L33" s="550">
        <v>21</v>
      </c>
      <c r="M33" s="575"/>
      <c r="N33" s="576"/>
      <c r="O33" s="577"/>
      <c r="P33" s="572"/>
    </row>
    <row r="34" ht="16.5" spans="1:16">
      <c r="A34" s="557"/>
      <c r="B34" s="553" t="s">
        <v>108</v>
      </c>
      <c r="C34" s="293" t="s">
        <v>109</v>
      </c>
      <c r="D34" s="557"/>
      <c r="E34" s="300"/>
      <c r="F34" s="298" t="s">
        <v>1722</v>
      </c>
      <c r="G34" s="551">
        <v>0</v>
      </c>
      <c r="H34" s="551">
        <v>2</v>
      </c>
      <c r="I34" s="298"/>
      <c r="J34" s="298"/>
      <c r="K34" s="550">
        <v>115</v>
      </c>
      <c r="L34" s="550">
        <v>24</v>
      </c>
      <c r="M34" s="575"/>
      <c r="N34" s="576"/>
      <c r="O34" s="577"/>
      <c r="P34" s="572"/>
    </row>
    <row r="35" ht="16.5" spans="1:16">
      <c r="A35" s="557"/>
      <c r="B35" s="553" t="s">
        <v>30</v>
      </c>
      <c r="C35" s="293" t="s">
        <v>31</v>
      </c>
      <c r="D35" s="557"/>
      <c r="E35" s="300"/>
      <c r="F35" s="298" t="s">
        <v>1722</v>
      </c>
      <c r="G35" s="551">
        <v>0</v>
      </c>
      <c r="H35" s="551">
        <v>2</v>
      </c>
      <c r="I35" s="298"/>
      <c r="J35" s="298"/>
      <c r="K35" s="550">
        <v>115</v>
      </c>
      <c r="L35" s="550">
        <v>23</v>
      </c>
      <c r="M35" s="575"/>
      <c r="N35" s="576"/>
      <c r="O35" s="577"/>
      <c r="P35" s="572"/>
    </row>
    <row r="36" ht="49.5" spans="1:16">
      <c r="A36" s="557"/>
      <c r="B36" s="553" t="s">
        <v>76</v>
      </c>
      <c r="C36" s="293" t="s">
        <v>77</v>
      </c>
      <c r="D36" s="557"/>
      <c r="E36" s="300"/>
      <c r="F36" s="298" t="s">
        <v>1722</v>
      </c>
      <c r="G36" s="551">
        <v>0</v>
      </c>
      <c r="H36" s="551">
        <v>2</v>
      </c>
      <c r="I36" s="298"/>
      <c r="J36" s="298"/>
      <c r="K36" s="550">
        <v>127</v>
      </c>
      <c r="L36" s="550">
        <v>23</v>
      </c>
      <c r="M36" s="575"/>
      <c r="N36" s="576"/>
      <c r="O36" s="577"/>
      <c r="P36" s="572" t="s">
        <v>1729</v>
      </c>
    </row>
    <row r="37" ht="16.5" spans="1:16">
      <c r="A37" s="557"/>
      <c r="B37" s="553" t="s">
        <v>56</v>
      </c>
      <c r="C37" s="293" t="s">
        <v>57</v>
      </c>
      <c r="D37" s="557"/>
      <c r="E37" s="300"/>
      <c r="F37" s="298" t="s">
        <v>1722</v>
      </c>
      <c r="G37" s="551">
        <v>0</v>
      </c>
      <c r="H37" s="551">
        <v>2</v>
      </c>
      <c r="I37" s="298"/>
      <c r="J37" s="298"/>
      <c r="K37" s="550">
        <v>108</v>
      </c>
      <c r="L37" s="550">
        <v>25</v>
      </c>
      <c r="M37" s="575"/>
      <c r="N37" s="576"/>
      <c r="O37" s="577"/>
      <c r="P37" s="572"/>
    </row>
    <row r="38" ht="16.5" spans="1:16">
      <c r="A38" s="557"/>
      <c r="B38" s="553" t="s">
        <v>48</v>
      </c>
      <c r="C38" s="293" t="s">
        <v>49</v>
      </c>
      <c r="D38" s="557"/>
      <c r="E38" s="300"/>
      <c r="F38" s="298" t="s">
        <v>1722</v>
      </c>
      <c r="G38" s="551">
        <v>0</v>
      </c>
      <c r="H38" s="551">
        <v>2</v>
      </c>
      <c r="I38" s="298"/>
      <c r="J38" s="298"/>
      <c r="K38" s="550">
        <v>111</v>
      </c>
      <c r="L38" s="550">
        <v>21</v>
      </c>
      <c r="M38" s="575"/>
      <c r="N38" s="576"/>
      <c r="O38" s="577"/>
      <c r="P38" s="572"/>
    </row>
    <row r="39" ht="16.5" spans="1:16">
      <c r="A39" s="557"/>
      <c r="B39" s="553" t="s">
        <v>66</v>
      </c>
      <c r="C39" s="293" t="s">
        <v>67</v>
      </c>
      <c r="D39" s="557"/>
      <c r="E39" s="300"/>
      <c r="F39" s="298" t="s">
        <v>1722</v>
      </c>
      <c r="G39" s="551">
        <v>0</v>
      </c>
      <c r="H39" s="551">
        <v>2</v>
      </c>
      <c r="I39" s="298"/>
      <c r="J39" s="298"/>
      <c r="K39" s="550">
        <v>109</v>
      </c>
      <c r="L39" s="550">
        <v>21</v>
      </c>
      <c r="M39" s="575"/>
      <c r="N39" s="576"/>
      <c r="O39" s="577"/>
      <c r="P39" s="572"/>
    </row>
    <row r="40" ht="16.5" spans="1:16">
      <c r="A40" s="557"/>
      <c r="B40" s="553" t="s">
        <v>68</v>
      </c>
      <c r="C40" s="293" t="s">
        <v>69</v>
      </c>
      <c r="D40" s="557"/>
      <c r="E40" s="300"/>
      <c r="F40" s="298" t="s">
        <v>1722</v>
      </c>
      <c r="G40" s="551">
        <v>0</v>
      </c>
      <c r="H40" s="551">
        <v>2</v>
      </c>
      <c r="I40" s="298"/>
      <c r="J40" s="298"/>
      <c r="K40" s="550">
        <v>122</v>
      </c>
      <c r="L40" s="550">
        <v>26</v>
      </c>
      <c r="M40" s="575"/>
      <c r="N40" s="576"/>
      <c r="O40" s="577"/>
      <c r="P40" s="572"/>
    </row>
    <row r="41" ht="16.5" spans="1:16">
      <c r="A41" s="557"/>
      <c r="B41" s="553" t="s">
        <v>60</v>
      </c>
      <c r="C41" s="293" t="s">
        <v>61</v>
      </c>
      <c r="D41" s="557"/>
      <c r="E41" s="300"/>
      <c r="F41" s="298" t="s">
        <v>1722</v>
      </c>
      <c r="G41" s="551">
        <v>0</v>
      </c>
      <c r="H41" s="551">
        <v>2</v>
      </c>
      <c r="I41" s="298"/>
      <c r="J41" s="298"/>
      <c r="K41" s="550">
        <v>133</v>
      </c>
      <c r="L41" s="550">
        <v>15</v>
      </c>
      <c r="M41" s="575"/>
      <c r="N41" s="576"/>
      <c r="O41" s="577"/>
      <c r="P41" s="572"/>
    </row>
    <row r="42" ht="16.5" spans="1:16">
      <c r="A42" s="557"/>
      <c r="B42" s="553" t="s">
        <v>42</v>
      </c>
      <c r="C42" s="293" t="s">
        <v>43</v>
      </c>
      <c r="D42" s="557"/>
      <c r="E42" s="300"/>
      <c r="F42" s="298" t="s">
        <v>1722</v>
      </c>
      <c r="G42" s="551">
        <v>0</v>
      </c>
      <c r="H42" s="551">
        <v>2</v>
      </c>
      <c r="I42" s="298"/>
      <c r="J42" s="298"/>
      <c r="K42" s="550">
        <v>117</v>
      </c>
      <c r="L42" s="550">
        <v>23</v>
      </c>
      <c r="M42" s="575"/>
      <c r="N42" s="576"/>
      <c r="O42" s="577"/>
      <c r="P42" s="572"/>
    </row>
    <row r="43" ht="16.5" spans="1:16">
      <c r="A43" s="557"/>
      <c r="B43" s="553" t="s">
        <v>70</v>
      </c>
      <c r="C43" s="293" t="s">
        <v>71</v>
      </c>
      <c r="D43" s="557"/>
      <c r="E43" s="300"/>
      <c r="F43" s="298" t="s">
        <v>1722</v>
      </c>
      <c r="G43" s="551">
        <v>0</v>
      </c>
      <c r="H43" s="551">
        <v>2</v>
      </c>
      <c r="I43" s="298"/>
      <c r="J43" s="298"/>
      <c r="K43" s="550">
        <v>102</v>
      </c>
      <c r="L43" s="550">
        <v>23</v>
      </c>
      <c r="M43" s="575"/>
      <c r="N43" s="576"/>
      <c r="O43" s="577"/>
      <c r="P43" s="572"/>
    </row>
    <row r="44" ht="16.5" spans="1:16">
      <c r="A44" s="557"/>
      <c r="B44" s="553" t="s">
        <v>58</v>
      </c>
      <c r="C44" s="293" t="s">
        <v>59</v>
      </c>
      <c r="D44" s="557"/>
      <c r="E44" s="300"/>
      <c r="F44" s="298" t="s">
        <v>1722</v>
      </c>
      <c r="G44" s="551">
        <v>0</v>
      </c>
      <c r="H44" s="551">
        <v>2</v>
      </c>
      <c r="I44" s="298"/>
      <c r="J44" s="298"/>
      <c r="K44" s="550">
        <v>106</v>
      </c>
      <c r="L44" s="550">
        <v>22</v>
      </c>
      <c r="M44" s="575"/>
      <c r="N44" s="576"/>
      <c r="O44" s="577"/>
      <c r="P44" s="572"/>
    </row>
    <row r="45" ht="16.5" spans="1:16">
      <c r="A45" s="557"/>
      <c r="B45" s="553" t="s">
        <v>64</v>
      </c>
      <c r="C45" s="293" t="s">
        <v>65</v>
      </c>
      <c r="D45" s="557"/>
      <c r="E45" s="300"/>
      <c r="F45" s="298" t="s">
        <v>1722</v>
      </c>
      <c r="G45" s="551">
        <v>0</v>
      </c>
      <c r="H45" s="551">
        <v>2</v>
      </c>
      <c r="I45" s="298"/>
      <c r="J45" s="298"/>
      <c r="K45" s="550">
        <v>126</v>
      </c>
      <c r="L45" s="550">
        <v>20</v>
      </c>
      <c r="M45" s="575"/>
      <c r="N45" s="576"/>
      <c r="O45" s="577"/>
      <c r="P45" s="572"/>
    </row>
    <row r="46" ht="66" spans="1:16">
      <c r="A46" s="557"/>
      <c r="B46" s="553" t="s">
        <v>52</v>
      </c>
      <c r="C46" s="293" t="s">
        <v>53</v>
      </c>
      <c r="D46" s="557"/>
      <c r="E46" s="300"/>
      <c r="F46" s="298" t="s">
        <v>1722</v>
      </c>
      <c r="G46" s="551">
        <v>0</v>
      </c>
      <c r="H46" s="551">
        <v>2</v>
      </c>
      <c r="I46" s="298"/>
      <c r="J46" s="298"/>
      <c r="K46" s="550">
        <v>99</v>
      </c>
      <c r="L46" s="550">
        <v>36</v>
      </c>
      <c r="M46" s="575"/>
      <c r="N46" s="576"/>
      <c r="O46" s="577"/>
      <c r="P46" s="572" t="s">
        <v>1730</v>
      </c>
    </row>
    <row r="47" ht="16.5" spans="1:16">
      <c r="A47" s="557"/>
      <c r="B47" s="553" t="s">
        <v>142</v>
      </c>
      <c r="C47" s="293" t="s">
        <v>143</v>
      </c>
      <c r="D47" s="557"/>
      <c r="E47" s="300"/>
      <c r="F47" s="298" t="s">
        <v>1722</v>
      </c>
      <c r="G47" s="551">
        <v>0</v>
      </c>
      <c r="H47" s="551">
        <v>2</v>
      </c>
      <c r="I47" s="298"/>
      <c r="J47" s="298"/>
      <c r="K47" s="550">
        <v>170</v>
      </c>
      <c r="L47" s="550">
        <v>30</v>
      </c>
      <c r="M47" s="575"/>
      <c r="N47" s="576"/>
      <c r="O47" s="577"/>
      <c r="P47" s="562"/>
    </row>
    <row r="48" ht="16.5" spans="1:16">
      <c r="A48" s="557"/>
      <c r="B48" s="553" t="s">
        <v>44</v>
      </c>
      <c r="C48" s="293" t="s">
        <v>45</v>
      </c>
      <c r="D48" s="557"/>
      <c r="E48" s="300"/>
      <c r="F48" s="298" t="s">
        <v>1722</v>
      </c>
      <c r="G48" s="551">
        <v>0</v>
      </c>
      <c r="H48" s="551">
        <v>2</v>
      </c>
      <c r="I48" s="298"/>
      <c r="J48" s="298"/>
      <c r="K48" s="550">
        <v>100</v>
      </c>
      <c r="L48" s="550">
        <v>18</v>
      </c>
      <c r="M48" s="575"/>
      <c r="N48" s="576"/>
      <c r="O48" s="577"/>
      <c r="P48" s="562"/>
    </row>
    <row r="49" ht="16.5" spans="1:16">
      <c r="A49" s="559"/>
      <c r="B49" s="553" t="s">
        <v>50</v>
      </c>
      <c r="C49" s="293" t="s">
        <v>51</v>
      </c>
      <c r="D49" s="559"/>
      <c r="E49" s="302"/>
      <c r="F49" s="298" t="s">
        <v>1722</v>
      </c>
      <c r="G49" s="551">
        <v>0</v>
      </c>
      <c r="H49" s="551">
        <v>2</v>
      </c>
      <c r="I49" s="298"/>
      <c r="J49" s="298"/>
      <c r="K49" s="550">
        <v>106</v>
      </c>
      <c r="L49" s="550">
        <v>25</v>
      </c>
      <c r="M49" s="578"/>
      <c r="N49" s="579"/>
      <c r="O49" s="580"/>
      <c r="P49" s="562"/>
    </row>
  </sheetData>
  <sheetProtection formatCells="0" formatColumns="0" formatRows="0" insertRows="0" insertColumns="0" insertHyperlinks="0" deleteColumns="0" deleteRows="0" sort="0" autoFilter="0" pivotTables="0"/>
  <autoFilter xmlns:etc="http://www.wps.cn/officeDocument/2017/etCustomData" ref="A3:P49" etc:filterBottomFollowUsedRange="0">
    <extLst/>
  </autoFilter>
  <mergeCells count="42">
    <mergeCell ref="K2:L2"/>
    <mergeCell ref="A2:A3"/>
    <mergeCell ref="A4:A16"/>
    <mergeCell ref="A17:A22"/>
    <mergeCell ref="A23:A49"/>
    <mergeCell ref="B2:B3"/>
    <mergeCell ref="D2:D3"/>
    <mergeCell ref="D4:D9"/>
    <mergeCell ref="D10:D13"/>
    <mergeCell ref="D14:D16"/>
    <mergeCell ref="D17:D22"/>
    <mergeCell ref="D23:D49"/>
    <mergeCell ref="E2:E3"/>
    <mergeCell ref="E4:E9"/>
    <mergeCell ref="E10:E13"/>
    <mergeCell ref="E14:E16"/>
    <mergeCell ref="E17:E22"/>
    <mergeCell ref="E23:E49"/>
    <mergeCell ref="F2:F3"/>
    <mergeCell ref="M2:M3"/>
    <mergeCell ref="M4:M9"/>
    <mergeCell ref="M10:M13"/>
    <mergeCell ref="M14:M16"/>
    <mergeCell ref="M17:M22"/>
    <mergeCell ref="M23:M49"/>
    <mergeCell ref="N2:N3"/>
    <mergeCell ref="N4:N9"/>
    <mergeCell ref="N10:N13"/>
    <mergeCell ref="N14:N16"/>
    <mergeCell ref="N17:N22"/>
    <mergeCell ref="N23:N49"/>
    <mergeCell ref="O2:O3"/>
    <mergeCell ref="O4:O9"/>
    <mergeCell ref="O10:O13"/>
    <mergeCell ref="O14:O16"/>
    <mergeCell ref="O17:O22"/>
    <mergeCell ref="O23:O49"/>
    <mergeCell ref="P2:P3"/>
    <mergeCell ref="P4:P9"/>
    <mergeCell ref="P10:P13"/>
    <mergeCell ref="P14:P16"/>
    <mergeCell ref="P17:P22"/>
  </mergeCells>
  <hyperlinks>
    <hyperlink ref="P1" location="'价格表目录'!A1" display="返回目录"/>
    <hyperlink ref="P4:P9" location="'分区&amp;无服务邮编表'!A1" display="可服务邮编，见“分区&amp;无服务邮编表”"/>
    <hyperlink ref="P14:P16" location="'分区&amp;无服务邮编表'!A1" display="可服务邮编，见“分区&amp;无服务邮编表”"/>
  </hyperlink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P117"/>
  <sheetViews>
    <sheetView workbookViewId="0">
      <selection activeCell="J14" sqref="J14"/>
    </sheetView>
  </sheetViews>
  <sheetFormatPr defaultColWidth="8.725" defaultRowHeight="13.5"/>
  <cols>
    <col min="6" max="6" width="11.0916666666667" customWidth="1"/>
  </cols>
  <sheetData>
    <row r="1" ht="16.5" spans="1:16">
      <c r="A1" s="267"/>
      <c r="B1" s="267"/>
      <c r="C1" s="267"/>
      <c r="D1" s="520"/>
      <c r="E1" s="520"/>
      <c r="F1" s="520"/>
      <c r="G1" s="520"/>
      <c r="H1" s="520"/>
      <c r="I1" s="520"/>
      <c r="J1" s="520"/>
      <c r="K1" s="266"/>
      <c r="L1" s="266"/>
      <c r="M1" s="266"/>
      <c r="N1" s="266"/>
      <c r="O1" s="327" t="s">
        <v>1731</v>
      </c>
      <c r="P1" s="529" t="s">
        <v>660</v>
      </c>
    </row>
    <row r="2" ht="16.5" spans="1:16">
      <c r="A2" s="521" t="s">
        <v>1732</v>
      </c>
      <c r="B2" s="521" t="s">
        <v>1683</v>
      </c>
      <c r="C2" s="521"/>
      <c r="D2" s="521" t="s">
        <v>1684</v>
      </c>
      <c r="E2" s="521" t="s">
        <v>1685</v>
      </c>
      <c r="F2" s="270" t="s">
        <v>1544</v>
      </c>
      <c r="G2" s="522"/>
      <c r="H2" s="522"/>
      <c r="I2" s="522"/>
      <c r="J2" s="522"/>
      <c r="K2" s="530" t="s">
        <v>1686</v>
      </c>
      <c r="L2" s="530"/>
      <c r="M2" s="332" t="s">
        <v>1687</v>
      </c>
      <c r="N2" s="332" t="s">
        <v>1688</v>
      </c>
      <c r="O2" s="530" t="s">
        <v>1689</v>
      </c>
      <c r="P2" s="530" t="s">
        <v>1690</v>
      </c>
    </row>
    <row r="3" ht="33" spans="1:16">
      <c r="A3" s="521"/>
      <c r="B3" s="521"/>
      <c r="C3" s="521"/>
      <c r="D3" s="521"/>
      <c r="E3" s="521"/>
      <c r="F3" s="274"/>
      <c r="G3" s="275" t="s">
        <v>1545</v>
      </c>
      <c r="H3" s="275" t="s">
        <v>1546</v>
      </c>
      <c r="I3" s="531"/>
      <c r="J3" s="531"/>
      <c r="K3" s="530" t="s">
        <v>1691</v>
      </c>
      <c r="L3" s="530" t="s">
        <v>1692</v>
      </c>
      <c r="M3" s="275"/>
      <c r="N3" s="337"/>
      <c r="O3" s="521"/>
      <c r="P3" s="530"/>
    </row>
    <row r="4" ht="16.5" spans="1:16">
      <c r="A4" s="393" t="s">
        <v>1693</v>
      </c>
      <c r="B4" s="313" t="s">
        <v>24</v>
      </c>
      <c r="C4" s="279" t="str">
        <f>VLOOKUP(B4,'[13]Detailed Calculation table'!$A$4:$B$79,2,0)</f>
        <v>US</v>
      </c>
      <c r="D4" s="279" t="s">
        <v>1733</v>
      </c>
      <c r="E4" s="468" t="s">
        <v>1695</v>
      </c>
      <c r="F4" s="279" t="s">
        <v>1569</v>
      </c>
      <c r="G4" s="280">
        <v>0</v>
      </c>
      <c r="H4" s="280">
        <v>0.1</v>
      </c>
      <c r="I4" s="279"/>
      <c r="J4" s="279"/>
      <c r="K4" s="532">
        <v>138</v>
      </c>
      <c r="L4" s="482">
        <v>20</v>
      </c>
      <c r="M4" s="483" t="s">
        <v>1734</v>
      </c>
      <c r="N4" s="484" t="s">
        <v>1697</v>
      </c>
      <c r="O4" s="485" t="s">
        <v>1735</v>
      </c>
      <c r="P4" s="486" t="s">
        <v>1736</v>
      </c>
    </row>
    <row r="5" ht="16.5" spans="1:16">
      <c r="A5" s="412"/>
      <c r="B5" s="313" t="s">
        <v>24</v>
      </c>
      <c r="C5" s="279" t="str">
        <f>VLOOKUP(B5,'[13]Detailed Calculation table'!$A$4:$B$79,2,0)</f>
        <v>US</v>
      </c>
      <c r="D5" s="279"/>
      <c r="E5" s="388"/>
      <c r="F5" s="279" t="s">
        <v>1700</v>
      </c>
      <c r="G5" s="280">
        <v>0.101</v>
      </c>
      <c r="H5" s="280">
        <v>0.2</v>
      </c>
      <c r="I5" s="279"/>
      <c r="J5" s="279"/>
      <c r="K5" s="532">
        <v>133</v>
      </c>
      <c r="L5" s="487">
        <v>18</v>
      </c>
      <c r="M5" s="488"/>
      <c r="N5" s="348"/>
      <c r="O5" s="489"/>
      <c r="P5" s="486"/>
    </row>
    <row r="6" ht="16.5" spans="1:16">
      <c r="A6" s="412"/>
      <c r="B6" s="313" t="s">
        <v>24</v>
      </c>
      <c r="C6" s="279" t="str">
        <f>VLOOKUP(B6,'[13]Detailed Calculation table'!$A$4:$B$79,2,0)</f>
        <v>US</v>
      </c>
      <c r="D6" s="279"/>
      <c r="E6" s="388"/>
      <c r="F6" s="279" t="s">
        <v>1701</v>
      </c>
      <c r="G6" s="280">
        <v>0.201</v>
      </c>
      <c r="H6" s="280">
        <v>0.45</v>
      </c>
      <c r="I6" s="279"/>
      <c r="J6" s="279"/>
      <c r="K6" s="532">
        <v>127</v>
      </c>
      <c r="L6" s="487">
        <v>16</v>
      </c>
      <c r="M6" s="488"/>
      <c r="N6" s="348"/>
      <c r="O6" s="489"/>
      <c r="P6" s="486"/>
    </row>
    <row r="7" ht="16.5" spans="1:16">
      <c r="A7" s="412"/>
      <c r="B7" s="313" t="s">
        <v>24</v>
      </c>
      <c r="C7" s="279" t="str">
        <f>VLOOKUP(B7,'[13]Detailed Calculation table'!$A$4:$B$79,2,0)</f>
        <v>US</v>
      </c>
      <c r="D7" s="279"/>
      <c r="E7" s="388"/>
      <c r="F7" s="279" t="s">
        <v>1702</v>
      </c>
      <c r="G7" s="280">
        <v>0.451</v>
      </c>
      <c r="H7" s="280">
        <v>0.7</v>
      </c>
      <c r="I7" s="279"/>
      <c r="J7" s="279"/>
      <c r="K7" s="532">
        <v>125</v>
      </c>
      <c r="L7" s="487">
        <v>16</v>
      </c>
      <c r="M7" s="488"/>
      <c r="N7" s="348"/>
      <c r="O7" s="489"/>
      <c r="P7" s="486"/>
    </row>
    <row r="8" ht="16.5" spans="1:16">
      <c r="A8" s="412"/>
      <c r="B8" s="313" t="s">
        <v>24</v>
      </c>
      <c r="C8" s="279" t="str">
        <f>VLOOKUP(B8,'[13]Detailed Calculation table'!$A$4:$B$79,2,0)</f>
        <v>US</v>
      </c>
      <c r="D8" s="279"/>
      <c r="E8" s="388"/>
      <c r="F8" s="279" t="s">
        <v>1703</v>
      </c>
      <c r="G8" s="280">
        <v>0.701</v>
      </c>
      <c r="H8" s="280">
        <v>1</v>
      </c>
      <c r="I8" s="279"/>
      <c r="J8" s="279"/>
      <c r="K8" s="532">
        <v>125</v>
      </c>
      <c r="L8" s="487">
        <v>9</v>
      </c>
      <c r="M8" s="488"/>
      <c r="N8" s="348"/>
      <c r="O8" s="489"/>
      <c r="P8" s="486"/>
    </row>
    <row r="9" ht="16.5" spans="1:16">
      <c r="A9" s="412"/>
      <c r="B9" s="313" t="s">
        <v>24</v>
      </c>
      <c r="C9" s="279" t="str">
        <f>VLOOKUP(B9,'[13]Detailed Calculation table'!$A$4:$B$79,2,0)</f>
        <v>US</v>
      </c>
      <c r="D9" s="279"/>
      <c r="E9" s="388"/>
      <c r="F9" s="279" t="s">
        <v>1737</v>
      </c>
      <c r="G9" s="280">
        <v>1.001</v>
      </c>
      <c r="H9" s="280">
        <v>3</v>
      </c>
      <c r="I9" s="279"/>
      <c r="J9" s="279"/>
      <c r="K9" s="532">
        <v>125</v>
      </c>
      <c r="L9" s="487">
        <v>9</v>
      </c>
      <c r="M9" s="488"/>
      <c r="N9" s="348"/>
      <c r="O9" s="489"/>
      <c r="P9" s="486"/>
    </row>
    <row r="10" ht="16.5" spans="1:16">
      <c r="A10" s="412"/>
      <c r="B10" s="313" t="s">
        <v>24</v>
      </c>
      <c r="C10" s="279" t="str">
        <f>VLOOKUP(B10,'[13]Detailed Calculation table'!$A$4:$B$79,2,0)</f>
        <v>US</v>
      </c>
      <c r="D10" s="279"/>
      <c r="E10" s="388"/>
      <c r="F10" s="284" t="s">
        <v>1738</v>
      </c>
      <c r="G10" s="280">
        <v>3.001</v>
      </c>
      <c r="H10" s="280">
        <v>6</v>
      </c>
      <c r="I10" s="284"/>
      <c r="J10" s="284"/>
      <c r="K10" s="532">
        <v>125</v>
      </c>
      <c r="L10" s="487">
        <v>9</v>
      </c>
      <c r="M10" s="488"/>
      <c r="N10" s="348"/>
      <c r="O10" s="489"/>
      <c r="P10" s="486"/>
    </row>
    <row r="11" ht="16.5" spans="1:16">
      <c r="A11" s="412"/>
      <c r="B11" s="313" t="s">
        <v>24</v>
      </c>
      <c r="C11" s="279" t="str">
        <f>VLOOKUP(B11,'[13]Detailed Calculation table'!$A$4:$B$79,2,0)</f>
        <v>US</v>
      </c>
      <c r="D11" s="279"/>
      <c r="E11" s="388"/>
      <c r="F11" s="284" t="s">
        <v>1739</v>
      </c>
      <c r="G11" s="280">
        <v>6.001</v>
      </c>
      <c r="H11" s="280">
        <v>30</v>
      </c>
      <c r="I11" s="284"/>
      <c r="J11" s="284"/>
      <c r="K11" s="532">
        <v>125</v>
      </c>
      <c r="L11" s="487">
        <v>9</v>
      </c>
      <c r="M11" s="488"/>
      <c r="N11" s="348"/>
      <c r="O11" s="489"/>
      <c r="P11" s="486"/>
    </row>
    <row r="12" ht="16.5" spans="1:16">
      <c r="A12" s="412"/>
      <c r="B12" s="469" t="s">
        <v>78</v>
      </c>
      <c r="C12" s="279" t="str">
        <f>VLOOKUP(B12,'[13]Detailed Calculation table'!$A$4:$B$79,2,0)</f>
        <v>CA</v>
      </c>
      <c r="D12" s="470" t="s">
        <v>1733</v>
      </c>
      <c r="E12" s="470" t="s">
        <v>1695</v>
      </c>
      <c r="F12" s="471" t="s">
        <v>1562</v>
      </c>
      <c r="G12" s="280">
        <v>0</v>
      </c>
      <c r="H12" s="280">
        <v>0.3</v>
      </c>
      <c r="I12" s="471"/>
      <c r="J12" s="471"/>
      <c r="K12" s="487">
        <v>90</v>
      </c>
      <c r="L12" s="487">
        <v>19</v>
      </c>
      <c r="M12" s="364" t="s">
        <v>1740</v>
      </c>
      <c r="N12" s="390" t="s">
        <v>1697</v>
      </c>
      <c r="O12" s="344" t="s">
        <v>1741</v>
      </c>
      <c r="P12" s="364" t="s">
        <v>1697</v>
      </c>
    </row>
    <row r="13" ht="16.5" spans="1:16">
      <c r="A13" s="412"/>
      <c r="B13" s="469" t="s">
        <v>78</v>
      </c>
      <c r="C13" s="279" t="str">
        <f>VLOOKUP(B13,'[13]Detailed Calculation table'!$A$4:$B$79,2,0)</f>
        <v>CA</v>
      </c>
      <c r="D13" s="470"/>
      <c r="E13" s="470"/>
      <c r="F13" s="472" t="s">
        <v>1706</v>
      </c>
      <c r="G13" s="280">
        <v>0.301</v>
      </c>
      <c r="H13" s="280">
        <v>0.5</v>
      </c>
      <c r="I13" s="472"/>
      <c r="J13" s="472"/>
      <c r="K13" s="487">
        <v>90</v>
      </c>
      <c r="L13" s="487">
        <v>19</v>
      </c>
      <c r="M13" s="364"/>
      <c r="N13" s="390"/>
      <c r="O13" s="344"/>
      <c r="P13" s="364"/>
    </row>
    <row r="14" ht="16.5" spans="1:16">
      <c r="A14" s="412"/>
      <c r="B14" s="469" t="s">
        <v>78</v>
      </c>
      <c r="C14" s="279" t="str">
        <f>VLOOKUP(B14,'[13]Detailed Calculation table'!$A$4:$B$79,2,0)</f>
        <v>CA</v>
      </c>
      <c r="D14" s="470"/>
      <c r="E14" s="470"/>
      <c r="F14" s="472" t="s">
        <v>1742</v>
      </c>
      <c r="G14" s="280">
        <v>0.501</v>
      </c>
      <c r="H14" s="280">
        <v>1.5</v>
      </c>
      <c r="I14" s="472"/>
      <c r="J14" s="472"/>
      <c r="K14" s="487">
        <v>99</v>
      </c>
      <c r="L14" s="487">
        <v>20</v>
      </c>
      <c r="M14" s="364"/>
      <c r="N14" s="390"/>
      <c r="O14" s="344"/>
      <c r="P14" s="364"/>
    </row>
    <row r="15" ht="16.5" spans="1:16">
      <c r="A15" s="412"/>
      <c r="B15" s="469" t="s">
        <v>78</v>
      </c>
      <c r="C15" s="279" t="str">
        <f>VLOOKUP(B15,'[13]Detailed Calculation table'!$A$4:$B$79,2,0)</f>
        <v>CA</v>
      </c>
      <c r="D15" s="470"/>
      <c r="E15" s="470"/>
      <c r="F15" s="472" t="s">
        <v>1719</v>
      </c>
      <c r="G15" s="280">
        <v>1.501</v>
      </c>
      <c r="H15" s="280">
        <v>2</v>
      </c>
      <c r="I15" s="472"/>
      <c r="J15" s="472"/>
      <c r="K15" s="487">
        <v>106</v>
      </c>
      <c r="L15" s="487">
        <v>22</v>
      </c>
      <c r="M15" s="364"/>
      <c r="N15" s="390"/>
      <c r="O15" s="344"/>
      <c r="P15" s="364"/>
    </row>
    <row r="16" ht="16.5" spans="1:16">
      <c r="A16" s="412"/>
      <c r="B16" s="469" t="s">
        <v>78</v>
      </c>
      <c r="C16" s="279" t="str">
        <f>VLOOKUP(B16,'[13]Detailed Calculation table'!$A$4:$B$79,2,0)</f>
        <v>CA</v>
      </c>
      <c r="D16" s="470"/>
      <c r="E16" s="470"/>
      <c r="F16" s="472" t="s">
        <v>1743</v>
      </c>
      <c r="G16" s="280">
        <v>2.001</v>
      </c>
      <c r="H16" s="280">
        <v>30</v>
      </c>
      <c r="I16" s="472"/>
      <c r="J16" s="472"/>
      <c r="K16" s="487">
        <v>107</v>
      </c>
      <c r="L16" s="487">
        <v>23</v>
      </c>
      <c r="M16" s="364"/>
      <c r="N16" s="390"/>
      <c r="O16" s="344"/>
      <c r="P16" s="364"/>
    </row>
    <row r="17" ht="16.5" spans="1:16">
      <c r="A17" s="412"/>
      <c r="B17" s="473" t="s">
        <v>94</v>
      </c>
      <c r="C17" s="279" t="str">
        <f>VLOOKUP(B17,'[13]Detailed Calculation table'!$A$4:$B$79,2,0)</f>
        <v>MX</v>
      </c>
      <c r="D17" s="474" t="s">
        <v>1733</v>
      </c>
      <c r="E17" s="474" t="s">
        <v>1695</v>
      </c>
      <c r="F17" s="284" t="s">
        <v>1744</v>
      </c>
      <c r="G17" s="280">
        <v>0</v>
      </c>
      <c r="H17" s="280">
        <v>0.25</v>
      </c>
      <c r="I17" s="284"/>
      <c r="J17" s="284"/>
      <c r="K17" s="487">
        <v>87</v>
      </c>
      <c r="L17" s="487">
        <v>18</v>
      </c>
      <c r="M17" s="490" t="s">
        <v>1745</v>
      </c>
      <c r="N17" s="491" t="s">
        <v>1697</v>
      </c>
      <c r="O17" s="492" t="s">
        <v>1746</v>
      </c>
      <c r="P17" s="490" t="s">
        <v>1747</v>
      </c>
    </row>
    <row r="18" ht="16.5" spans="1:16">
      <c r="A18" s="412"/>
      <c r="B18" s="475" t="s">
        <v>94</v>
      </c>
      <c r="C18" s="279" t="str">
        <f>VLOOKUP(B18,'[13]Detailed Calculation table'!$A$4:$B$79,2,0)</f>
        <v>MX</v>
      </c>
      <c r="D18" s="350"/>
      <c r="E18" s="350"/>
      <c r="F18" s="284" t="s">
        <v>1748</v>
      </c>
      <c r="G18" s="280">
        <v>0.251</v>
      </c>
      <c r="H18" s="280">
        <v>0.5</v>
      </c>
      <c r="I18" s="284"/>
      <c r="J18" s="284"/>
      <c r="K18" s="487">
        <v>87</v>
      </c>
      <c r="L18" s="487">
        <v>18</v>
      </c>
      <c r="M18" s="493"/>
      <c r="N18" s="494"/>
      <c r="O18" s="495"/>
      <c r="P18" s="493"/>
    </row>
    <row r="19" ht="16.5" spans="1:16">
      <c r="A19" s="412"/>
      <c r="B19" s="475" t="s">
        <v>94</v>
      </c>
      <c r="C19" s="279" t="str">
        <f>VLOOKUP(B19,'[13]Detailed Calculation table'!$A$4:$B$79,2,0)</f>
        <v>MX</v>
      </c>
      <c r="D19" s="350"/>
      <c r="E19" s="350"/>
      <c r="F19" s="476" t="s">
        <v>1717</v>
      </c>
      <c r="G19" s="280">
        <v>0.501</v>
      </c>
      <c r="H19" s="280">
        <v>1</v>
      </c>
      <c r="I19" s="476"/>
      <c r="J19" s="476"/>
      <c r="K19" s="487">
        <v>87</v>
      </c>
      <c r="L19" s="487">
        <v>18</v>
      </c>
      <c r="M19" s="493"/>
      <c r="N19" s="494"/>
      <c r="O19" s="495"/>
      <c r="P19" s="493"/>
    </row>
    <row r="20" ht="16.5" spans="1:16">
      <c r="A20" s="412"/>
      <c r="B20" s="475" t="s">
        <v>94</v>
      </c>
      <c r="C20" s="279" t="str">
        <f>VLOOKUP(B20,'[13]Detailed Calculation table'!$A$4:$B$79,2,0)</f>
        <v>MX</v>
      </c>
      <c r="D20" s="350"/>
      <c r="E20" s="350"/>
      <c r="F20" s="476" t="s">
        <v>1749</v>
      </c>
      <c r="G20" s="280">
        <v>1.001</v>
      </c>
      <c r="H20" s="280">
        <v>1.5</v>
      </c>
      <c r="I20" s="476"/>
      <c r="J20" s="476"/>
      <c r="K20" s="487">
        <v>94</v>
      </c>
      <c r="L20" s="487">
        <v>20</v>
      </c>
      <c r="M20" s="493"/>
      <c r="N20" s="494"/>
      <c r="O20" s="495"/>
      <c r="P20" s="493"/>
    </row>
    <row r="21" ht="16.5" spans="1:16">
      <c r="A21" s="412"/>
      <c r="B21" s="475" t="s">
        <v>94</v>
      </c>
      <c r="C21" s="279" t="str">
        <f>VLOOKUP(B21,'[13]Detailed Calculation table'!$A$4:$B$79,2,0)</f>
        <v>MX</v>
      </c>
      <c r="D21" s="350"/>
      <c r="E21" s="350"/>
      <c r="F21" s="476" t="s">
        <v>1719</v>
      </c>
      <c r="G21" s="280">
        <v>1.501</v>
      </c>
      <c r="H21" s="280">
        <v>2</v>
      </c>
      <c r="I21" s="476"/>
      <c r="J21" s="476"/>
      <c r="K21" s="487">
        <v>94</v>
      </c>
      <c r="L21" s="487">
        <v>20</v>
      </c>
      <c r="M21" s="493"/>
      <c r="N21" s="494"/>
      <c r="O21" s="495"/>
      <c r="P21" s="493"/>
    </row>
    <row r="22" ht="16.5" spans="1:16">
      <c r="A22" s="415"/>
      <c r="B22" s="477" t="s">
        <v>94</v>
      </c>
      <c r="C22" s="279" t="str">
        <f>VLOOKUP(B22,'[13]Detailed Calculation table'!$A$4:$B$79,2,0)</f>
        <v>MX</v>
      </c>
      <c r="D22" s="351"/>
      <c r="E22" s="351"/>
      <c r="F22" s="476" t="s">
        <v>1561</v>
      </c>
      <c r="G22" s="280">
        <v>2.001</v>
      </c>
      <c r="H22" s="280">
        <v>10</v>
      </c>
      <c r="I22" s="476"/>
      <c r="J22" s="476"/>
      <c r="K22" s="487">
        <v>94</v>
      </c>
      <c r="L22" s="487">
        <v>20</v>
      </c>
      <c r="M22" s="496"/>
      <c r="N22" s="497"/>
      <c r="O22" s="498"/>
      <c r="P22" s="496"/>
    </row>
    <row r="23" ht="16.5" spans="1:16">
      <c r="A23" s="279" t="s">
        <v>1721</v>
      </c>
      <c r="B23" s="313" t="s">
        <v>26</v>
      </c>
      <c r="C23" s="279" t="str">
        <f>VLOOKUP(B23,'[13]Detailed Calculation table'!$A$4:$B$79,2,0)</f>
        <v>UK/GB</v>
      </c>
      <c r="D23" s="279" t="s">
        <v>1733</v>
      </c>
      <c r="E23" s="279" t="s">
        <v>1695</v>
      </c>
      <c r="F23" s="284" t="s">
        <v>1722</v>
      </c>
      <c r="G23" s="280">
        <v>0</v>
      </c>
      <c r="H23" s="280">
        <v>2</v>
      </c>
      <c r="I23" s="284"/>
      <c r="J23" s="284"/>
      <c r="K23" s="487">
        <v>69</v>
      </c>
      <c r="L23" s="487">
        <v>16</v>
      </c>
      <c r="M23" s="364" t="s">
        <v>1750</v>
      </c>
      <c r="N23" s="364" t="s">
        <v>1751</v>
      </c>
      <c r="O23" s="405" t="s">
        <v>1656</v>
      </c>
      <c r="P23" s="533" t="s">
        <v>1752</v>
      </c>
    </row>
    <row r="24" ht="16.5" spans="1:16">
      <c r="A24" s="279"/>
      <c r="B24" s="313" t="s">
        <v>26</v>
      </c>
      <c r="C24" s="279" t="str">
        <f>VLOOKUP(B24,'[13]Detailed Calculation table'!$A$4:$B$79,2,0)</f>
        <v>UK/GB</v>
      </c>
      <c r="D24" s="388"/>
      <c r="E24" s="388"/>
      <c r="F24" s="284" t="s">
        <v>1753</v>
      </c>
      <c r="G24" s="280">
        <v>2.001</v>
      </c>
      <c r="H24" s="280">
        <v>15</v>
      </c>
      <c r="I24" s="284"/>
      <c r="J24" s="284"/>
      <c r="K24" s="487">
        <v>66</v>
      </c>
      <c r="L24" s="487">
        <v>16</v>
      </c>
      <c r="M24" s="368"/>
      <c r="N24" s="368"/>
      <c r="O24" s="534"/>
      <c r="P24" s="535"/>
    </row>
    <row r="25" ht="16.5" spans="1:16">
      <c r="A25" s="279"/>
      <c r="B25" s="523" t="s">
        <v>72</v>
      </c>
      <c r="C25" s="279" t="str">
        <f>VLOOKUP(B25,'[13]Detailed Calculation table'!$A$4:$B$79,2,0)</f>
        <v>DE</v>
      </c>
      <c r="D25" s="468" t="s">
        <v>1733</v>
      </c>
      <c r="E25" s="468" t="s">
        <v>1695</v>
      </c>
      <c r="F25" s="284" t="s">
        <v>1562</v>
      </c>
      <c r="G25" s="280">
        <v>0</v>
      </c>
      <c r="H25" s="280">
        <v>0.3</v>
      </c>
      <c r="I25" s="284"/>
      <c r="J25" s="284"/>
      <c r="K25" s="487">
        <v>84</v>
      </c>
      <c r="L25" s="487">
        <v>19</v>
      </c>
      <c r="M25" s="536" t="s">
        <v>1754</v>
      </c>
      <c r="N25" s="491" t="s">
        <v>1697</v>
      </c>
      <c r="O25" s="344" t="s">
        <v>1755</v>
      </c>
      <c r="P25" s="364" t="s">
        <v>1756</v>
      </c>
    </row>
    <row r="26" ht="16.5" spans="1:16">
      <c r="A26" s="279"/>
      <c r="B26" s="523" t="s">
        <v>72</v>
      </c>
      <c r="C26" s="279" t="str">
        <f>VLOOKUP(B26,'[13]Detailed Calculation table'!$A$4:$B$79,2,0)</f>
        <v>DE</v>
      </c>
      <c r="D26" s="388"/>
      <c r="E26" s="388"/>
      <c r="F26" s="284" t="s">
        <v>1757</v>
      </c>
      <c r="G26" s="280">
        <v>0.301</v>
      </c>
      <c r="H26" s="280">
        <v>2</v>
      </c>
      <c r="I26" s="284"/>
      <c r="J26" s="284"/>
      <c r="K26" s="487">
        <v>84</v>
      </c>
      <c r="L26" s="487">
        <v>22</v>
      </c>
      <c r="M26" s="536"/>
      <c r="N26" s="494"/>
      <c r="O26" s="344"/>
      <c r="P26" s="364"/>
    </row>
    <row r="27" ht="16.5" spans="1:16">
      <c r="A27" s="279"/>
      <c r="B27" s="523" t="s">
        <v>72</v>
      </c>
      <c r="C27" s="279" t="str">
        <f>VLOOKUP(B27,'[13]Detailed Calculation table'!$A$4:$B$79,2,0)</f>
        <v>DE</v>
      </c>
      <c r="D27" s="388"/>
      <c r="E27" s="388"/>
      <c r="F27" s="284" t="s">
        <v>1758</v>
      </c>
      <c r="G27" s="280">
        <v>2.001</v>
      </c>
      <c r="H27" s="280">
        <v>3</v>
      </c>
      <c r="I27" s="284"/>
      <c r="J27" s="284"/>
      <c r="K27" s="487">
        <v>84</v>
      </c>
      <c r="L27" s="487">
        <v>22</v>
      </c>
      <c r="M27" s="536"/>
      <c r="N27" s="494"/>
      <c r="O27" s="344"/>
      <c r="P27" s="364"/>
    </row>
    <row r="28" ht="16.5" spans="1:16">
      <c r="A28" s="279"/>
      <c r="B28" s="523" t="s">
        <v>72</v>
      </c>
      <c r="C28" s="279" t="str">
        <f>VLOOKUP(B28,'[13]Detailed Calculation table'!$A$4:$B$79,2,0)</f>
        <v>DE</v>
      </c>
      <c r="D28" s="388"/>
      <c r="E28" s="388"/>
      <c r="F28" s="284" t="s">
        <v>1759</v>
      </c>
      <c r="G28" s="280">
        <v>3.001</v>
      </c>
      <c r="H28" s="280">
        <v>30</v>
      </c>
      <c r="I28" s="284"/>
      <c r="J28" s="284"/>
      <c r="K28" s="487">
        <v>89</v>
      </c>
      <c r="L28" s="487">
        <v>22</v>
      </c>
      <c r="M28" s="536"/>
      <c r="N28" s="497"/>
      <c r="O28" s="344"/>
      <c r="P28" s="364"/>
    </row>
    <row r="29" ht="16.5" spans="1:16">
      <c r="A29" s="279"/>
      <c r="B29" s="523" t="s">
        <v>28</v>
      </c>
      <c r="C29" s="279" t="str">
        <f>VLOOKUP(B29,'[13]Detailed Calculation table'!$A$4:$B$79,2,0)</f>
        <v>FR</v>
      </c>
      <c r="D29" s="468" t="s">
        <v>1733</v>
      </c>
      <c r="E29" s="468" t="s">
        <v>1695</v>
      </c>
      <c r="F29" s="284" t="s">
        <v>1760</v>
      </c>
      <c r="G29" s="280">
        <v>0</v>
      </c>
      <c r="H29" s="280">
        <v>0.4</v>
      </c>
      <c r="I29" s="284"/>
      <c r="J29" s="284"/>
      <c r="K29" s="487">
        <v>98</v>
      </c>
      <c r="L29" s="487">
        <v>19</v>
      </c>
      <c r="M29" s="503" t="s">
        <v>1761</v>
      </c>
      <c r="N29" s="504" t="s">
        <v>1762</v>
      </c>
      <c r="O29" s="379" t="s">
        <v>1755</v>
      </c>
      <c r="P29" s="537" t="s">
        <v>1763</v>
      </c>
    </row>
    <row r="30" ht="16.5" spans="1:16">
      <c r="A30" s="279"/>
      <c r="B30" s="523" t="s">
        <v>28</v>
      </c>
      <c r="C30" s="279" t="str">
        <f>VLOOKUP(B30,'[13]Detailed Calculation table'!$A$4:$B$79,2,0)</f>
        <v>FR</v>
      </c>
      <c r="D30" s="279"/>
      <c r="E30" s="279"/>
      <c r="F30" s="284" t="s">
        <v>1764</v>
      </c>
      <c r="G30" s="280">
        <v>0.401</v>
      </c>
      <c r="H30" s="280">
        <v>30</v>
      </c>
      <c r="I30" s="284"/>
      <c r="J30" s="284"/>
      <c r="K30" s="487">
        <v>98</v>
      </c>
      <c r="L30" s="487">
        <v>23</v>
      </c>
      <c r="M30" s="505"/>
      <c r="N30" s="506"/>
      <c r="O30" s="381"/>
      <c r="P30" s="368"/>
    </row>
    <row r="31" ht="132" spans="1:16">
      <c r="A31" s="279"/>
      <c r="B31" s="279" t="s">
        <v>42</v>
      </c>
      <c r="C31" s="279" t="str">
        <f>VLOOKUP(B31,'[13]Detailed Calculation table'!$A$4:$B$79,2,0)</f>
        <v>IE</v>
      </c>
      <c r="D31" s="279" t="s">
        <v>1733</v>
      </c>
      <c r="E31" s="279" t="s">
        <v>1695</v>
      </c>
      <c r="F31" s="284" t="s">
        <v>1765</v>
      </c>
      <c r="G31" s="280">
        <v>0</v>
      </c>
      <c r="H31" s="279" t="str">
        <f>RIGHT(F31,2)</f>
        <v>20</v>
      </c>
      <c r="I31" s="284"/>
      <c r="J31" s="284"/>
      <c r="K31" s="487">
        <v>91</v>
      </c>
      <c r="L31" s="487">
        <v>23</v>
      </c>
      <c r="M31" s="509" t="s">
        <v>1766</v>
      </c>
      <c r="N31" s="404" t="s">
        <v>1697</v>
      </c>
      <c r="O31" s="405" t="s">
        <v>1755</v>
      </c>
      <c r="P31" s="368"/>
    </row>
    <row r="32" ht="16.5" spans="1:16">
      <c r="A32" s="278" t="s">
        <v>1767</v>
      </c>
      <c r="B32" s="277" t="s">
        <v>90</v>
      </c>
      <c r="C32" s="279" t="str">
        <f>VLOOKUP(B32,'[13]Detailed Calculation table'!$A$4:$B$79,2,0)</f>
        <v>JP</v>
      </c>
      <c r="D32" s="278" t="s">
        <v>1733</v>
      </c>
      <c r="E32" s="278" t="s">
        <v>1695</v>
      </c>
      <c r="F32" s="279" t="s">
        <v>1562</v>
      </c>
      <c r="G32" s="280">
        <v>0</v>
      </c>
      <c r="H32" s="279" t="str">
        <f>RIGHT(F32,3)</f>
        <v>0.3</v>
      </c>
      <c r="I32" s="279"/>
      <c r="J32" s="279"/>
      <c r="K32" s="487">
        <v>25</v>
      </c>
      <c r="L32" s="487">
        <v>23</v>
      </c>
      <c r="M32" s="510" t="s">
        <v>1768</v>
      </c>
      <c r="N32" s="511" t="s">
        <v>1697</v>
      </c>
      <c r="O32" s="512" t="s">
        <v>1769</v>
      </c>
      <c r="P32" s="512" t="s">
        <v>1697</v>
      </c>
    </row>
    <row r="33" ht="16.5" spans="1:16">
      <c r="A33" s="283"/>
      <c r="B33" s="282" t="s">
        <v>90</v>
      </c>
      <c r="C33" s="279" t="str">
        <f>VLOOKUP(B33,'[13]Detailed Calculation table'!$A$4:$B$79,2,0)</f>
        <v>JP</v>
      </c>
      <c r="D33" s="283"/>
      <c r="E33" s="283"/>
      <c r="F33" s="279" t="s">
        <v>1706</v>
      </c>
      <c r="G33" s="280">
        <v>0.301</v>
      </c>
      <c r="H33" s="279" t="str">
        <f>RIGHT(F33,3)</f>
        <v>0.5</v>
      </c>
      <c r="I33" s="279"/>
      <c r="J33" s="279"/>
      <c r="K33" s="487">
        <v>25</v>
      </c>
      <c r="L33" s="487">
        <v>24</v>
      </c>
      <c r="M33" s="513"/>
      <c r="N33" s="514"/>
      <c r="O33" s="515"/>
      <c r="P33" s="515"/>
    </row>
    <row r="34" ht="16.5" spans="1:16">
      <c r="A34" s="283"/>
      <c r="B34" s="282" t="s">
        <v>90</v>
      </c>
      <c r="C34" s="279" t="str">
        <f>VLOOKUP(B34,'[13]Detailed Calculation table'!$A$4:$B$79,2,0)</f>
        <v>JP</v>
      </c>
      <c r="D34" s="283"/>
      <c r="E34" s="283"/>
      <c r="F34" s="279" t="s">
        <v>1717</v>
      </c>
      <c r="G34" s="280">
        <v>0.501</v>
      </c>
      <c r="H34" s="279" t="str">
        <f>RIGHT(F34,1)</f>
        <v>1</v>
      </c>
      <c r="I34" s="279"/>
      <c r="J34" s="279"/>
      <c r="K34" s="487">
        <v>25</v>
      </c>
      <c r="L34" s="487">
        <v>24</v>
      </c>
      <c r="M34" s="513"/>
      <c r="N34" s="514"/>
      <c r="O34" s="515"/>
      <c r="P34" s="515"/>
    </row>
    <row r="35" ht="16.5" spans="1:16">
      <c r="A35" s="283"/>
      <c r="B35" s="282" t="s">
        <v>90</v>
      </c>
      <c r="C35" s="279" t="str">
        <f>VLOOKUP(B35,'[13]Detailed Calculation table'!$A$4:$B$79,2,0)</f>
        <v>JP</v>
      </c>
      <c r="D35" s="283"/>
      <c r="E35" s="283"/>
      <c r="F35" s="279" t="s">
        <v>1704</v>
      </c>
      <c r="G35" s="280">
        <v>1.001</v>
      </c>
      <c r="H35" s="279" t="str">
        <f>RIGHT(F35,1)</f>
        <v>2</v>
      </c>
      <c r="I35" s="279"/>
      <c r="J35" s="279"/>
      <c r="K35" s="487">
        <v>25</v>
      </c>
      <c r="L35" s="487">
        <v>28</v>
      </c>
      <c r="M35" s="513"/>
      <c r="N35" s="514"/>
      <c r="O35" s="515"/>
      <c r="P35" s="515"/>
    </row>
    <row r="36" ht="16.5" spans="1:16">
      <c r="A36" s="286"/>
      <c r="B36" s="285" t="s">
        <v>90</v>
      </c>
      <c r="C36" s="279" t="str">
        <f>VLOOKUP(B36,'[13]Detailed Calculation table'!$A$4:$B$79,2,0)</f>
        <v>JP</v>
      </c>
      <c r="D36" s="286"/>
      <c r="E36" s="286"/>
      <c r="F36" s="279" t="s">
        <v>1770</v>
      </c>
      <c r="G36" s="280">
        <v>2.001</v>
      </c>
      <c r="H36" s="279" t="str">
        <f>RIGHT(F36,2)</f>
        <v>20</v>
      </c>
      <c r="I36" s="279"/>
      <c r="J36" s="279"/>
      <c r="K36" s="487">
        <v>26</v>
      </c>
      <c r="L36" s="487">
        <v>28</v>
      </c>
      <c r="M36" s="516"/>
      <c r="N36" s="517"/>
      <c r="O36" s="518"/>
      <c r="P36" s="518"/>
    </row>
    <row r="37" ht="33" spans="1:16">
      <c r="A37" s="468"/>
      <c r="B37" s="523" t="s">
        <v>1771</v>
      </c>
      <c r="C37" s="468"/>
      <c r="D37" s="468" t="s">
        <v>1733</v>
      </c>
      <c r="E37" s="468" t="s">
        <v>1695</v>
      </c>
      <c r="F37" s="279" t="s">
        <v>1562</v>
      </c>
      <c r="G37" s="279"/>
      <c r="H37" s="279"/>
      <c r="I37" s="279"/>
      <c r="J37" s="279"/>
      <c r="K37" s="487">
        <v>97</v>
      </c>
      <c r="L37" s="487">
        <v>19</v>
      </c>
      <c r="M37" s="507"/>
      <c r="N37" s="414"/>
      <c r="O37" s="515"/>
      <c r="P37" s="519"/>
    </row>
    <row r="38" ht="33" spans="1:16">
      <c r="A38" s="468"/>
      <c r="B38" s="523" t="s">
        <v>1771</v>
      </c>
      <c r="C38" s="468"/>
      <c r="D38" s="468"/>
      <c r="E38" s="468"/>
      <c r="F38" s="279" t="s">
        <v>1772</v>
      </c>
      <c r="G38" s="279"/>
      <c r="H38" s="279"/>
      <c r="I38" s="279"/>
      <c r="J38" s="279"/>
      <c r="K38" s="487">
        <v>97</v>
      </c>
      <c r="L38" s="487">
        <v>19</v>
      </c>
      <c r="M38" s="507"/>
      <c r="N38" s="414"/>
      <c r="O38" s="515"/>
      <c r="P38" s="519"/>
    </row>
    <row r="39" ht="33" spans="1:16">
      <c r="A39" s="468"/>
      <c r="B39" s="523" t="s">
        <v>1771</v>
      </c>
      <c r="C39" s="468"/>
      <c r="D39" s="468"/>
      <c r="E39" s="468"/>
      <c r="F39" s="279" t="s">
        <v>1773</v>
      </c>
      <c r="G39" s="279"/>
      <c r="H39" s="279"/>
      <c r="I39" s="279"/>
      <c r="J39" s="279"/>
      <c r="K39" s="487">
        <v>97</v>
      </c>
      <c r="L39" s="487">
        <v>19</v>
      </c>
      <c r="M39" s="507"/>
      <c r="N39" s="414"/>
      <c r="O39" s="515"/>
      <c r="P39" s="519"/>
    </row>
    <row r="40" ht="33" spans="1:16">
      <c r="A40" s="468"/>
      <c r="B40" s="523" t="s">
        <v>1771</v>
      </c>
      <c r="C40" s="468"/>
      <c r="D40" s="468"/>
      <c r="E40" s="468"/>
      <c r="F40" s="279" t="s">
        <v>1774</v>
      </c>
      <c r="G40" s="279"/>
      <c r="H40" s="279"/>
      <c r="I40" s="279"/>
      <c r="J40" s="279"/>
      <c r="K40" s="487">
        <v>97</v>
      </c>
      <c r="L40" s="487">
        <v>19</v>
      </c>
      <c r="M40" s="507"/>
      <c r="N40" s="414"/>
      <c r="O40" s="515"/>
      <c r="P40" s="519"/>
    </row>
    <row r="41" ht="16.5" spans="1:16">
      <c r="A41" s="316" t="s">
        <v>1775</v>
      </c>
      <c r="B41" s="317"/>
      <c r="C41" s="317"/>
      <c r="D41" s="317"/>
      <c r="E41" s="317"/>
      <c r="F41" s="317"/>
      <c r="G41" s="317"/>
      <c r="H41" s="317"/>
      <c r="I41" s="317"/>
      <c r="J41" s="317"/>
      <c r="K41" s="317"/>
      <c r="L41" s="317"/>
      <c r="M41" s="418"/>
      <c r="N41" s="418"/>
      <c r="O41" s="317"/>
      <c r="P41" s="419"/>
    </row>
    <row r="42" ht="16.5" spans="1:16">
      <c r="A42" s="320" t="s">
        <v>1776</v>
      </c>
      <c r="B42" s="321"/>
      <c r="C42" s="321"/>
      <c r="D42" s="321"/>
      <c r="E42" s="321"/>
      <c r="F42" s="321"/>
      <c r="G42" s="321"/>
      <c r="H42" s="321"/>
      <c r="I42" s="321"/>
      <c r="J42" s="321"/>
      <c r="K42" s="321"/>
      <c r="L42" s="321"/>
      <c r="M42" s="422"/>
      <c r="N42" s="422"/>
      <c r="O42" s="321"/>
      <c r="P42" s="423"/>
    </row>
    <row r="43" ht="16.5" spans="1:16">
      <c r="A43" s="322" t="s">
        <v>1777</v>
      </c>
      <c r="B43" s="321"/>
      <c r="C43" s="321"/>
      <c r="D43" s="321"/>
      <c r="E43" s="321"/>
      <c r="F43" s="321"/>
      <c r="G43" s="321"/>
      <c r="H43" s="321"/>
      <c r="I43" s="321"/>
      <c r="J43" s="321"/>
      <c r="K43" s="321"/>
      <c r="L43" s="321"/>
      <c r="M43" s="422"/>
      <c r="N43" s="422"/>
      <c r="O43" s="321"/>
      <c r="P43" s="423"/>
    </row>
    <row r="44" ht="16.5" spans="1:16">
      <c r="A44" s="427" t="s">
        <v>1778</v>
      </c>
      <c r="B44" s="321"/>
      <c r="C44" s="321"/>
      <c r="D44" s="321"/>
      <c r="E44" s="321"/>
      <c r="F44" s="321"/>
      <c r="G44" s="321"/>
      <c r="H44" s="321"/>
      <c r="I44" s="321"/>
      <c r="J44" s="321"/>
      <c r="K44" s="321"/>
      <c r="L44" s="321"/>
      <c r="M44" s="422"/>
      <c r="N44" s="422"/>
      <c r="O44" s="321"/>
      <c r="P44" s="423"/>
    </row>
    <row r="45" ht="16.5" spans="1:16">
      <c r="A45" s="431" t="s">
        <v>1779</v>
      </c>
      <c r="B45" s="420"/>
      <c r="C45" s="420"/>
      <c r="D45" s="420"/>
      <c r="E45" s="420"/>
      <c r="F45" s="420"/>
      <c r="G45" s="420"/>
      <c r="H45" s="420"/>
      <c r="I45" s="420"/>
      <c r="J45" s="420"/>
      <c r="K45" s="420"/>
      <c r="L45" s="420"/>
      <c r="M45" s="420"/>
      <c r="N45" s="420"/>
      <c r="O45" s="420"/>
      <c r="P45" s="421"/>
    </row>
    <row r="46" ht="16.5" spans="1:16">
      <c r="A46" s="320" t="s">
        <v>1780</v>
      </c>
      <c r="B46" s="321"/>
      <c r="C46" s="321"/>
      <c r="D46" s="321"/>
      <c r="E46" s="321"/>
      <c r="F46" s="321"/>
      <c r="G46" s="321"/>
      <c r="H46" s="321"/>
      <c r="I46" s="321"/>
      <c r="J46" s="321"/>
      <c r="K46" s="321"/>
      <c r="L46" s="321"/>
      <c r="M46" s="422"/>
      <c r="N46" s="422"/>
      <c r="O46" s="321"/>
      <c r="P46" s="423"/>
    </row>
    <row r="47" ht="16.5" spans="1:16">
      <c r="A47" s="431" t="s">
        <v>1781</v>
      </c>
      <c r="B47" s="524"/>
      <c r="C47" s="524"/>
      <c r="D47" s="524"/>
      <c r="E47" s="524"/>
      <c r="F47" s="524"/>
      <c r="G47" s="524"/>
      <c r="H47" s="524"/>
      <c r="I47" s="524"/>
      <c r="J47" s="524"/>
      <c r="K47" s="524"/>
      <c r="L47" s="524"/>
      <c r="M47" s="524"/>
      <c r="N47" s="524"/>
      <c r="O47" s="524"/>
      <c r="P47" s="461"/>
    </row>
    <row r="48" ht="16.5" spans="1:16">
      <c r="A48" s="431" t="s">
        <v>1782</v>
      </c>
      <c r="B48" s="524"/>
      <c r="C48" s="524"/>
      <c r="D48" s="524"/>
      <c r="E48" s="524"/>
      <c r="F48" s="524"/>
      <c r="G48" s="524"/>
      <c r="H48" s="524"/>
      <c r="I48" s="524"/>
      <c r="J48" s="524"/>
      <c r="K48" s="524"/>
      <c r="L48" s="524"/>
      <c r="M48" s="524"/>
      <c r="N48" s="524"/>
      <c r="O48" s="524"/>
      <c r="P48" s="461"/>
    </row>
    <row r="49" ht="16.5" spans="1:16">
      <c r="A49" s="324" t="s">
        <v>1783</v>
      </c>
      <c r="B49" s="325"/>
      <c r="C49" s="325"/>
      <c r="D49" s="325"/>
      <c r="E49" s="325"/>
      <c r="F49" s="325"/>
      <c r="G49" s="325"/>
      <c r="H49" s="325"/>
      <c r="I49" s="325"/>
      <c r="J49" s="325"/>
      <c r="K49" s="325"/>
      <c r="L49" s="325"/>
      <c r="M49" s="325"/>
      <c r="N49" s="325"/>
      <c r="O49" s="325"/>
      <c r="P49" s="424"/>
    </row>
    <row r="50" ht="16.5" spans="1:16">
      <c r="A50" s="433" t="s">
        <v>1784</v>
      </c>
      <c r="B50" s="325"/>
      <c r="C50" s="325"/>
      <c r="D50" s="325"/>
      <c r="E50" s="325"/>
      <c r="F50" s="325"/>
      <c r="G50" s="325"/>
      <c r="H50" s="325"/>
      <c r="I50" s="325"/>
      <c r="J50" s="325"/>
      <c r="K50" s="325"/>
      <c r="L50" s="325"/>
      <c r="M50" s="325"/>
      <c r="N50" s="325"/>
      <c r="O50" s="325"/>
      <c r="P50" s="424"/>
    </row>
    <row r="51" ht="16.5" spans="1:16">
      <c r="A51" s="425" t="s">
        <v>1785</v>
      </c>
      <c r="B51" s="321"/>
      <c r="C51" s="321"/>
      <c r="D51" s="321"/>
      <c r="E51" s="321"/>
      <c r="F51" s="321"/>
      <c r="G51" s="321"/>
      <c r="H51" s="321"/>
      <c r="I51" s="321"/>
      <c r="J51" s="321"/>
      <c r="K51" s="321"/>
      <c r="L51" s="321"/>
      <c r="M51" s="422"/>
      <c r="N51" s="422"/>
      <c r="O51" s="321"/>
      <c r="P51" s="423"/>
    </row>
    <row r="52" ht="16.5" spans="1:16">
      <c r="A52" s="320" t="s">
        <v>1786</v>
      </c>
      <c r="B52" s="321"/>
      <c r="C52" s="321"/>
      <c r="D52" s="321"/>
      <c r="E52" s="321"/>
      <c r="F52" s="321"/>
      <c r="G52" s="321"/>
      <c r="H52" s="321"/>
      <c r="I52" s="321"/>
      <c r="J52" s="321"/>
      <c r="K52" s="321"/>
      <c r="L52" s="321"/>
      <c r="M52" s="422"/>
      <c r="N52" s="422"/>
      <c r="O52" s="321"/>
      <c r="P52" s="423"/>
    </row>
    <row r="53" ht="16.5" spans="1:16">
      <c r="A53" s="427" t="s">
        <v>1787</v>
      </c>
      <c r="B53" s="321"/>
      <c r="C53" s="321"/>
      <c r="D53" s="321"/>
      <c r="E53" s="321"/>
      <c r="F53" s="321"/>
      <c r="G53" s="321"/>
      <c r="H53" s="321"/>
      <c r="I53" s="321"/>
      <c r="J53" s="321"/>
      <c r="K53" s="321"/>
      <c r="L53" s="321"/>
      <c r="M53" s="422"/>
      <c r="N53" s="422"/>
      <c r="O53" s="321"/>
      <c r="P53" s="423"/>
    </row>
    <row r="54" ht="16.5" spans="1:16">
      <c r="A54" s="408" t="s">
        <v>1788</v>
      </c>
      <c r="B54" s="420"/>
      <c r="C54" s="420"/>
      <c r="D54" s="420"/>
      <c r="E54" s="420"/>
      <c r="F54" s="420"/>
      <c r="G54" s="420"/>
      <c r="H54" s="420"/>
      <c r="I54" s="420"/>
      <c r="J54" s="420"/>
      <c r="K54" s="420"/>
      <c r="L54" s="420"/>
      <c r="M54" s="420"/>
      <c r="N54" s="420"/>
      <c r="O54" s="420"/>
      <c r="P54" s="421"/>
    </row>
    <row r="55" ht="16.5" spans="1:16">
      <c r="A55" s="322" t="s">
        <v>1789</v>
      </c>
      <c r="B55" s="321"/>
      <c r="C55" s="321"/>
      <c r="D55" s="321"/>
      <c r="E55" s="321"/>
      <c r="F55" s="321"/>
      <c r="G55" s="321"/>
      <c r="H55" s="321"/>
      <c r="I55" s="321"/>
      <c r="J55" s="321"/>
      <c r="K55" s="321"/>
      <c r="L55" s="321"/>
      <c r="M55" s="422"/>
      <c r="N55" s="422"/>
      <c r="O55" s="321"/>
      <c r="P55" s="423"/>
    </row>
    <row r="56" ht="16.5" spans="1:16">
      <c r="A56" s="322" t="s">
        <v>1790</v>
      </c>
      <c r="B56" s="321"/>
      <c r="C56" s="321"/>
      <c r="D56" s="321"/>
      <c r="E56" s="321"/>
      <c r="F56" s="321"/>
      <c r="G56" s="321"/>
      <c r="H56" s="321"/>
      <c r="I56" s="321"/>
      <c r="J56" s="321"/>
      <c r="K56" s="321"/>
      <c r="L56" s="321"/>
      <c r="M56" s="422"/>
      <c r="N56" s="422"/>
      <c r="O56" s="321"/>
      <c r="P56" s="423"/>
    </row>
    <row r="57" ht="16.5" spans="1:16">
      <c r="A57" s="322" t="s">
        <v>1791</v>
      </c>
      <c r="B57" s="321"/>
      <c r="C57" s="321"/>
      <c r="D57" s="321"/>
      <c r="E57" s="321"/>
      <c r="F57" s="321"/>
      <c r="G57" s="321"/>
      <c r="H57" s="321"/>
      <c r="I57" s="321"/>
      <c r="J57" s="321"/>
      <c r="K57" s="321"/>
      <c r="L57" s="321"/>
      <c r="M57" s="422"/>
      <c r="N57" s="422"/>
      <c r="O57" s="321"/>
      <c r="P57" s="423"/>
    </row>
    <row r="58" ht="16.5" spans="1:16">
      <c r="A58" s="427" t="s">
        <v>1792</v>
      </c>
      <c r="B58" s="321"/>
      <c r="C58" s="321"/>
      <c r="D58" s="321"/>
      <c r="E58" s="321"/>
      <c r="F58" s="321"/>
      <c r="G58" s="321"/>
      <c r="H58" s="321"/>
      <c r="I58" s="321"/>
      <c r="J58" s="321"/>
      <c r="K58" s="321"/>
      <c r="L58" s="321"/>
      <c r="M58" s="422"/>
      <c r="N58" s="422"/>
      <c r="O58" s="321"/>
      <c r="P58" s="423"/>
    </row>
    <row r="59" ht="16.5" spans="1:16">
      <c r="A59" s="428" t="s">
        <v>1793</v>
      </c>
      <c r="B59" s="429"/>
      <c r="C59" s="429"/>
      <c r="D59" s="429"/>
      <c r="E59" s="429"/>
      <c r="F59" s="429"/>
      <c r="G59" s="429"/>
      <c r="H59" s="429"/>
      <c r="I59" s="429"/>
      <c r="J59" s="429"/>
      <c r="K59" s="429"/>
      <c r="L59" s="429"/>
      <c r="M59" s="429"/>
      <c r="N59" s="429"/>
      <c r="O59" s="429"/>
      <c r="P59" s="447"/>
    </row>
    <row r="60" ht="16.5" spans="1:16">
      <c r="A60" s="525" t="s">
        <v>1794</v>
      </c>
      <c r="B60" s="525"/>
      <c r="C60" s="525"/>
      <c r="D60" s="525"/>
      <c r="E60" s="525"/>
      <c r="F60" s="525"/>
      <c r="G60" s="525"/>
      <c r="H60" s="525"/>
      <c r="I60" s="525"/>
      <c r="J60" s="525"/>
      <c r="K60" s="525"/>
      <c r="L60" s="525"/>
      <c r="M60" s="525"/>
      <c r="N60" s="525"/>
      <c r="O60" s="525"/>
      <c r="P60" s="525"/>
    </row>
    <row r="61" ht="16.5" spans="1:16">
      <c r="A61" s="430" t="s">
        <v>1795</v>
      </c>
      <c r="B61" s="325"/>
      <c r="C61" s="325"/>
      <c r="D61" s="325"/>
      <c r="E61" s="325"/>
      <c r="F61" s="325"/>
      <c r="G61" s="325"/>
      <c r="H61" s="325"/>
      <c r="I61" s="325"/>
      <c r="J61" s="325"/>
      <c r="K61" s="325"/>
      <c r="L61" s="325"/>
      <c r="M61" s="325"/>
      <c r="N61" s="325"/>
      <c r="O61" s="325"/>
      <c r="P61" s="447"/>
    </row>
    <row r="62" ht="16.5" spans="1:16">
      <c r="A62" s="434" t="s">
        <v>1796</v>
      </c>
      <c r="B62" s="266"/>
      <c r="C62" s="266"/>
      <c r="D62" s="266"/>
      <c r="E62" s="266"/>
      <c r="F62" s="266"/>
      <c r="G62" s="266"/>
      <c r="H62" s="266"/>
      <c r="I62" s="266"/>
      <c r="J62" s="266"/>
      <c r="K62" s="266"/>
      <c r="L62" s="266"/>
      <c r="M62" s="266"/>
      <c r="N62" s="266"/>
      <c r="O62" s="266"/>
      <c r="P62" s="448"/>
    </row>
    <row r="63" ht="16.5" spans="1:16">
      <c r="A63" s="526" t="s">
        <v>1797</v>
      </c>
      <c r="B63" s="527"/>
      <c r="C63" s="527"/>
      <c r="D63" s="527"/>
      <c r="E63" s="527"/>
      <c r="F63" s="527"/>
      <c r="G63" s="527"/>
      <c r="H63" s="527"/>
      <c r="I63" s="527"/>
      <c r="J63" s="527"/>
      <c r="K63" s="527"/>
      <c r="L63" s="527"/>
      <c r="M63" s="527"/>
      <c r="N63" s="527"/>
      <c r="O63" s="527"/>
      <c r="P63" s="538"/>
    </row>
    <row r="64" ht="16.5" spans="1:16">
      <c r="A64" s="431" t="s">
        <v>1798</v>
      </c>
      <c r="B64" s="528"/>
      <c r="C64" s="528"/>
      <c r="D64" s="528"/>
      <c r="E64" s="528"/>
      <c r="F64" s="528"/>
      <c r="G64" s="528"/>
      <c r="H64" s="528"/>
      <c r="I64" s="528"/>
      <c r="J64" s="528"/>
      <c r="K64" s="528"/>
      <c r="L64" s="528"/>
      <c r="M64" s="539"/>
      <c r="N64" s="539"/>
      <c r="O64" s="528"/>
      <c r="P64" s="540"/>
    </row>
    <row r="65" ht="16.5" spans="1:16">
      <c r="A65" s="432" t="s">
        <v>1799</v>
      </c>
      <c r="B65" s="321"/>
      <c r="C65" s="321"/>
      <c r="D65" s="321"/>
      <c r="E65" s="321"/>
      <c r="F65" s="321"/>
      <c r="G65" s="321"/>
      <c r="H65" s="321"/>
      <c r="I65" s="321"/>
      <c r="J65" s="321"/>
      <c r="K65" s="321"/>
      <c r="L65" s="321"/>
      <c r="M65" s="422"/>
      <c r="N65" s="422"/>
      <c r="O65" s="321"/>
      <c r="P65" s="423"/>
    </row>
    <row r="66" ht="16.5" spans="1:16">
      <c r="A66" s="322" t="s">
        <v>1800</v>
      </c>
      <c r="B66" s="321"/>
      <c r="C66" s="321"/>
      <c r="D66" s="321"/>
      <c r="E66" s="321"/>
      <c r="F66" s="321"/>
      <c r="G66" s="321"/>
      <c r="H66" s="321"/>
      <c r="I66" s="321"/>
      <c r="J66" s="321"/>
      <c r="K66" s="321"/>
      <c r="L66" s="321"/>
      <c r="M66" s="422"/>
      <c r="N66" s="422"/>
      <c r="O66" s="321"/>
      <c r="P66" s="423"/>
    </row>
    <row r="67" ht="16.5" spans="1:16">
      <c r="A67" s="322" t="s">
        <v>1801</v>
      </c>
      <c r="B67" s="321"/>
      <c r="C67" s="321"/>
      <c r="D67" s="321"/>
      <c r="E67" s="321"/>
      <c r="F67" s="321"/>
      <c r="G67" s="321"/>
      <c r="H67" s="321"/>
      <c r="I67" s="321"/>
      <c r="J67" s="321"/>
      <c r="K67" s="321"/>
      <c r="L67" s="321"/>
      <c r="M67" s="422"/>
      <c r="N67" s="422"/>
      <c r="O67" s="321"/>
      <c r="P67" s="423"/>
    </row>
    <row r="68" ht="16.5" spans="1:16">
      <c r="A68" s="322" t="s">
        <v>1802</v>
      </c>
      <c r="B68" s="321"/>
      <c r="C68" s="321"/>
      <c r="D68" s="321"/>
      <c r="E68" s="321"/>
      <c r="F68" s="321"/>
      <c r="G68" s="321"/>
      <c r="H68" s="321"/>
      <c r="I68" s="321"/>
      <c r="J68" s="321"/>
      <c r="K68" s="321"/>
      <c r="L68" s="321"/>
      <c r="M68" s="422"/>
      <c r="N68" s="422"/>
      <c r="O68" s="321"/>
      <c r="P68" s="423"/>
    </row>
    <row r="69" ht="16.5" spans="1:16">
      <c r="A69" s="428" t="s">
        <v>1803</v>
      </c>
      <c r="B69" s="429"/>
      <c r="C69" s="429"/>
      <c r="D69" s="429"/>
      <c r="E69" s="429"/>
      <c r="F69" s="429"/>
      <c r="G69" s="429"/>
      <c r="H69" s="429"/>
      <c r="I69" s="429"/>
      <c r="J69" s="429"/>
      <c r="K69" s="429"/>
      <c r="L69" s="429"/>
      <c r="M69" s="429"/>
      <c r="N69" s="429"/>
      <c r="O69" s="429"/>
      <c r="P69" s="447"/>
    </row>
    <row r="70" ht="16.5" spans="1:16">
      <c r="A70" s="320" t="s">
        <v>1804</v>
      </c>
      <c r="B70" s="321"/>
      <c r="C70" s="321"/>
      <c r="D70" s="321"/>
      <c r="E70" s="321"/>
      <c r="F70" s="321"/>
      <c r="G70" s="321"/>
      <c r="H70" s="321"/>
      <c r="I70" s="321"/>
      <c r="J70" s="321"/>
      <c r="K70" s="321"/>
      <c r="L70" s="321"/>
      <c r="M70" s="422"/>
      <c r="N70" s="422"/>
      <c r="O70" s="321"/>
      <c r="P70" s="423"/>
    </row>
    <row r="71" ht="16.5" spans="1:16">
      <c r="A71" s="322" t="s">
        <v>1805</v>
      </c>
      <c r="B71" s="420"/>
      <c r="C71" s="420"/>
      <c r="D71" s="420"/>
      <c r="E71" s="420"/>
      <c r="F71" s="420"/>
      <c r="G71" s="420"/>
      <c r="H71" s="420"/>
      <c r="I71" s="420"/>
      <c r="J71" s="420"/>
      <c r="K71" s="420"/>
      <c r="L71" s="420"/>
      <c r="M71" s="410"/>
      <c r="N71" s="410"/>
      <c r="O71" s="420"/>
      <c r="P71" s="423"/>
    </row>
    <row r="72" ht="16.5" spans="1:16">
      <c r="A72" s="322" t="s">
        <v>1806</v>
      </c>
      <c r="B72" s="420"/>
      <c r="C72" s="420"/>
      <c r="D72" s="420"/>
      <c r="E72" s="420"/>
      <c r="F72" s="323"/>
      <c r="G72" s="323"/>
      <c r="H72" s="323"/>
      <c r="I72" s="323"/>
      <c r="J72" s="323"/>
      <c r="K72" s="420"/>
      <c r="L72" s="420"/>
      <c r="M72" s="410"/>
      <c r="N72" s="410"/>
      <c r="O72" s="420"/>
      <c r="P72" s="423"/>
    </row>
    <row r="73" ht="16.5" spans="1:16">
      <c r="A73" s="541" t="s">
        <v>1807</v>
      </c>
      <c r="B73" s="420"/>
      <c r="C73" s="420"/>
      <c r="D73" s="420"/>
      <c r="E73" s="420"/>
      <c r="F73" s="323"/>
      <c r="G73" s="323"/>
      <c r="H73" s="323"/>
      <c r="I73" s="323"/>
      <c r="J73" s="323"/>
      <c r="K73" s="420"/>
      <c r="L73" s="420"/>
      <c r="M73" s="410"/>
      <c r="N73" s="410"/>
      <c r="O73" s="420"/>
      <c r="P73" s="423"/>
    </row>
    <row r="74" ht="16.5" spans="1:16">
      <c r="A74" s="435" t="s">
        <v>1808</v>
      </c>
      <c r="B74" s="420"/>
      <c r="C74" s="420"/>
      <c r="D74" s="420"/>
      <c r="E74" s="420"/>
      <c r="F74" s="420"/>
      <c r="G74" s="420"/>
      <c r="H74" s="420"/>
      <c r="I74" s="420"/>
      <c r="J74" s="420"/>
      <c r="K74" s="420"/>
      <c r="L74" s="420"/>
      <c r="M74" s="410"/>
      <c r="N74" s="410"/>
      <c r="O74" s="420"/>
      <c r="P74" s="423"/>
    </row>
    <row r="75" ht="16.5" spans="1:16">
      <c r="A75" s="542" t="s">
        <v>1809</v>
      </c>
      <c r="B75" s="542"/>
      <c r="C75" s="542"/>
      <c r="D75" s="542"/>
      <c r="E75" s="542"/>
      <c r="F75" s="542"/>
      <c r="G75" s="542"/>
      <c r="H75" s="542"/>
      <c r="I75" s="542"/>
      <c r="J75" s="542"/>
      <c r="K75" s="542"/>
      <c r="L75" s="542"/>
      <c r="M75" s="542"/>
      <c r="N75" s="542"/>
      <c r="O75" s="542"/>
      <c r="P75" s="542"/>
    </row>
    <row r="76" ht="16.5" spans="1:16">
      <c r="A76" s="427" t="s">
        <v>1810</v>
      </c>
      <c r="B76" s="543"/>
      <c r="C76" s="543"/>
      <c r="D76" s="543"/>
      <c r="E76" s="543"/>
      <c r="F76" s="543"/>
      <c r="G76" s="543"/>
      <c r="H76" s="543"/>
      <c r="I76" s="543"/>
      <c r="J76" s="543"/>
      <c r="K76" s="543"/>
      <c r="L76" s="543"/>
      <c r="M76" s="543"/>
      <c r="N76" s="543"/>
      <c r="O76" s="543"/>
      <c r="P76" s="545"/>
    </row>
    <row r="77" ht="16.5" spans="1:16">
      <c r="A77" s="320" t="s">
        <v>1811</v>
      </c>
      <c r="B77" s="420"/>
      <c r="C77" s="420"/>
      <c r="D77" s="420"/>
      <c r="E77" s="420"/>
      <c r="F77" s="420"/>
      <c r="G77" s="420"/>
      <c r="H77" s="420"/>
      <c r="I77" s="420"/>
      <c r="J77" s="420"/>
      <c r="K77" s="420"/>
      <c r="L77" s="420"/>
      <c r="M77" s="410"/>
      <c r="N77" s="410"/>
      <c r="O77" s="420"/>
      <c r="P77" s="423"/>
    </row>
    <row r="78" ht="16.5" spans="1:16">
      <c r="A78" s="430" t="s">
        <v>1812</v>
      </c>
      <c r="B78" s="429"/>
      <c r="C78" s="429"/>
      <c r="D78" s="429"/>
      <c r="E78" s="429"/>
      <c r="F78" s="429"/>
      <c r="G78" s="429"/>
      <c r="H78" s="429"/>
      <c r="I78" s="429"/>
      <c r="J78" s="429"/>
      <c r="K78" s="429"/>
      <c r="L78" s="429"/>
      <c r="M78" s="429"/>
      <c r="N78" s="429"/>
      <c r="O78" s="429"/>
      <c r="P78" s="447"/>
    </row>
    <row r="79" ht="16.5" spans="1:16">
      <c r="A79" s="428" t="s">
        <v>1813</v>
      </c>
      <c r="B79" s="429"/>
      <c r="C79" s="429"/>
      <c r="D79" s="429"/>
      <c r="E79" s="429"/>
      <c r="F79" s="429"/>
      <c r="G79" s="429"/>
      <c r="H79" s="429"/>
      <c r="I79" s="429"/>
      <c r="J79" s="429"/>
      <c r="K79" s="429"/>
      <c r="L79" s="429"/>
      <c r="M79" s="429"/>
      <c r="N79" s="429"/>
      <c r="O79" s="429"/>
      <c r="P79" s="447"/>
    </row>
    <row r="80" ht="16.5" spans="1:16">
      <c r="A80" s="544" t="s">
        <v>1814</v>
      </c>
      <c r="B80" s="440"/>
      <c r="C80" s="440"/>
      <c r="D80" s="440"/>
      <c r="E80" s="440"/>
      <c r="F80" s="440"/>
      <c r="G80" s="440"/>
      <c r="H80" s="440"/>
      <c r="I80" s="440"/>
      <c r="J80" s="440"/>
      <c r="K80" s="440"/>
      <c r="L80" s="440"/>
      <c r="M80" s="451"/>
      <c r="N80" s="451"/>
      <c r="O80" s="440"/>
      <c r="P80" s="452"/>
    </row>
    <row r="81" ht="16.5" spans="1:16">
      <c r="A81" s="431" t="s">
        <v>1815</v>
      </c>
      <c r="B81" s="524"/>
      <c r="C81" s="524"/>
      <c r="D81" s="524"/>
      <c r="E81" s="524"/>
      <c r="F81" s="524"/>
      <c r="G81" s="524"/>
      <c r="H81" s="524"/>
      <c r="I81" s="524"/>
      <c r="J81" s="524"/>
      <c r="K81" s="524"/>
      <c r="L81" s="524"/>
      <c r="M81" s="524"/>
      <c r="N81" s="524"/>
      <c r="O81" s="524"/>
      <c r="P81" s="461"/>
    </row>
    <row r="82" ht="16.5" spans="1:16">
      <c r="A82" s="434" t="s">
        <v>1816</v>
      </c>
      <c r="B82" s="420"/>
      <c r="C82" s="420"/>
      <c r="D82" s="420"/>
      <c r="E82" s="420"/>
      <c r="F82" s="420"/>
      <c r="G82" s="420"/>
      <c r="H82" s="420"/>
      <c r="I82" s="420"/>
      <c r="J82" s="420"/>
      <c r="K82" s="420"/>
      <c r="L82" s="420"/>
      <c r="M82" s="420"/>
      <c r="N82" s="420"/>
      <c r="O82" s="420"/>
      <c r="P82" s="421"/>
    </row>
    <row r="83" ht="16.5" spans="1:16">
      <c r="A83" s="320" t="s">
        <v>1817</v>
      </c>
      <c r="B83" s="420"/>
      <c r="C83" s="420"/>
      <c r="D83" s="420"/>
      <c r="E83" s="420"/>
      <c r="F83" s="420"/>
      <c r="G83" s="420"/>
      <c r="H83" s="420"/>
      <c r="I83" s="420"/>
      <c r="J83" s="420"/>
      <c r="K83" s="420"/>
      <c r="L83" s="420"/>
      <c r="M83" s="410"/>
      <c r="N83" s="410"/>
      <c r="O83" s="420"/>
      <c r="P83" s="423"/>
    </row>
    <row r="84" ht="16.5" spans="1:16">
      <c r="A84" s="431" t="s">
        <v>1818</v>
      </c>
      <c r="B84" s="457"/>
      <c r="C84" s="457"/>
      <c r="D84" s="457"/>
      <c r="E84" s="457"/>
      <c r="F84" s="457"/>
      <c r="G84" s="457"/>
      <c r="H84" s="457"/>
      <c r="I84" s="457"/>
      <c r="J84" s="457"/>
      <c r="K84" s="457"/>
      <c r="L84" s="457"/>
      <c r="M84" s="457"/>
      <c r="N84" s="457"/>
      <c r="O84" s="457"/>
      <c r="P84" s="462"/>
    </row>
    <row r="85" ht="16.5" spans="1:16">
      <c r="A85" s="320" t="s">
        <v>1819</v>
      </c>
      <c r="B85" s="420"/>
      <c r="C85" s="420"/>
      <c r="D85" s="420"/>
      <c r="E85" s="420"/>
      <c r="F85" s="420"/>
      <c r="G85" s="420"/>
      <c r="H85" s="420"/>
      <c r="I85" s="420"/>
      <c r="J85" s="420"/>
      <c r="K85" s="420"/>
      <c r="L85" s="420"/>
      <c r="M85" s="410"/>
      <c r="N85" s="410"/>
      <c r="O85" s="420"/>
      <c r="P85" s="423"/>
    </row>
    <row r="86" ht="16.5" spans="1:16">
      <c r="A86" s="322" t="s">
        <v>1820</v>
      </c>
      <c r="B86" s="420"/>
      <c r="C86" s="420"/>
      <c r="D86" s="420"/>
      <c r="E86" s="420"/>
      <c r="F86" s="420"/>
      <c r="G86" s="420"/>
      <c r="H86" s="420"/>
      <c r="I86" s="420"/>
      <c r="J86" s="420"/>
      <c r="K86" s="420"/>
      <c r="L86" s="420"/>
      <c r="M86" s="410"/>
      <c r="N86" s="410"/>
      <c r="O86" s="420"/>
      <c r="P86" s="423"/>
    </row>
    <row r="87" ht="16.5" spans="1:16">
      <c r="A87" s="408" t="s">
        <v>1821</v>
      </c>
      <c r="B87" s="420"/>
      <c r="C87" s="420"/>
      <c r="D87" s="420"/>
      <c r="E87" s="420"/>
      <c r="F87" s="420"/>
      <c r="G87" s="420"/>
      <c r="H87" s="420"/>
      <c r="I87" s="420"/>
      <c r="J87" s="420"/>
      <c r="K87" s="420"/>
      <c r="L87" s="420"/>
      <c r="M87" s="420"/>
      <c r="N87" s="420"/>
      <c r="O87" s="420"/>
      <c r="P87" s="421"/>
    </row>
    <row r="88" ht="16.5" spans="1:16">
      <c r="A88" s="320" t="s">
        <v>1822</v>
      </c>
      <c r="B88" s="420"/>
      <c r="C88" s="420"/>
      <c r="D88" s="420"/>
      <c r="E88" s="420"/>
      <c r="F88" s="420"/>
      <c r="G88" s="420"/>
      <c r="H88" s="420"/>
      <c r="I88" s="420"/>
      <c r="J88" s="420"/>
      <c r="K88" s="420"/>
      <c r="L88" s="420"/>
      <c r="M88" s="410"/>
      <c r="N88" s="410"/>
      <c r="O88" s="420"/>
      <c r="P88" s="423"/>
    </row>
    <row r="89" ht="16.5" spans="1:16">
      <c r="A89" s="408" t="s">
        <v>1823</v>
      </c>
      <c r="B89" s="266"/>
      <c r="C89" s="266"/>
      <c r="D89" s="266"/>
      <c r="E89" s="266"/>
      <c r="F89" s="266"/>
      <c r="G89" s="266"/>
      <c r="H89" s="266"/>
      <c r="I89" s="266"/>
      <c r="J89" s="266"/>
      <c r="K89" s="266"/>
      <c r="L89" s="266"/>
      <c r="M89" s="266"/>
      <c r="N89" s="266"/>
      <c r="O89" s="266"/>
      <c r="P89" s="453"/>
    </row>
    <row r="90" ht="16.5" spans="1:16">
      <c r="A90" s="441" t="s">
        <v>1824</v>
      </c>
      <c r="B90" s="442"/>
      <c r="C90" s="442"/>
      <c r="D90" s="442"/>
      <c r="E90" s="442"/>
      <c r="F90" s="442"/>
      <c r="G90" s="442"/>
      <c r="H90" s="442"/>
      <c r="I90" s="442"/>
      <c r="J90" s="442"/>
      <c r="K90" s="442"/>
      <c r="L90" s="442"/>
      <c r="M90" s="442"/>
      <c r="N90" s="442"/>
      <c r="O90" s="442"/>
      <c r="P90" s="454"/>
    </row>
    <row r="91" ht="16.5" spans="1:16">
      <c r="A91" s="320" t="s">
        <v>1825</v>
      </c>
      <c r="B91" s="420"/>
      <c r="C91" s="420"/>
      <c r="D91" s="420"/>
      <c r="E91" s="420"/>
      <c r="F91" s="420"/>
      <c r="G91" s="420"/>
      <c r="H91" s="420"/>
      <c r="I91" s="420"/>
      <c r="J91" s="420"/>
      <c r="K91" s="420"/>
      <c r="L91" s="420"/>
      <c r="M91" s="410"/>
      <c r="N91" s="410"/>
      <c r="O91" s="420"/>
      <c r="P91" s="423"/>
    </row>
    <row r="92" ht="16.5" spans="1:16">
      <c r="A92" s="322" t="s">
        <v>1826</v>
      </c>
      <c r="B92" s="420"/>
      <c r="C92" s="420"/>
      <c r="D92" s="420"/>
      <c r="E92" s="420"/>
      <c r="F92" s="420"/>
      <c r="G92" s="420"/>
      <c r="H92" s="420"/>
      <c r="I92" s="420"/>
      <c r="J92" s="420"/>
      <c r="K92" s="420"/>
      <c r="L92" s="420"/>
      <c r="M92" s="410"/>
      <c r="N92" s="410"/>
      <c r="O92" s="420"/>
      <c r="P92" s="423"/>
    </row>
    <row r="93" ht="16.5" spans="1:16">
      <c r="A93" s="322" t="s">
        <v>1827</v>
      </c>
      <c r="B93" s="420"/>
      <c r="C93" s="420"/>
      <c r="D93" s="420"/>
      <c r="E93" s="420"/>
      <c r="F93" s="420"/>
      <c r="G93" s="420"/>
      <c r="H93" s="420"/>
      <c r="I93" s="420"/>
      <c r="J93" s="420"/>
      <c r="K93" s="420"/>
      <c r="L93" s="420"/>
      <c r="M93" s="410"/>
      <c r="N93" s="410"/>
      <c r="O93" s="420"/>
      <c r="P93" s="423"/>
    </row>
    <row r="94" ht="16.5" spans="1:16">
      <c r="A94" s="408" t="s">
        <v>1828</v>
      </c>
      <c r="B94" s="420"/>
      <c r="C94" s="420"/>
      <c r="D94" s="420"/>
      <c r="E94" s="420"/>
      <c r="F94" s="420"/>
      <c r="G94" s="420"/>
      <c r="H94" s="420"/>
      <c r="I94" s="420"/>
      <c r="J94" s="420"/>
      <c r="K94" s="420"/>
      <c r="L94" s="420"/>
      <c r="M94" s="420"/>
      <c r="N94" s="420"/>
      <c r="O94" s="420"/>
      <c r="P94" s="421"/>
    </row>
    <row r="95" ht="16.5" spans="1:16">
      <c r="A95" s="322" t="s">
        <v>1829</v>
      </c>
      <c r="B95" s="420"/>
      <c r="C95" s="420"/>
      <c r="D95" s="420"/>
      <c r="E95" s="420"/>
      <c r="F95" s="420"/>
      <c r="G95" s="420"/>
      <c r="H95" s="420"/>
      <c r="I95" s="420"/>
      <c r="J95" s="420"/>
      <c r="K95" s="420"/>
      <c r="L95" s="420"/>
      <c r="M95" s="410"/>
      <c r="N95" s="410"/>
      <c r="O95" s="420"/>
      <c r="P95" s="423"/>
    </row>
    <row r="96" ht="16.5" spans="1:16">
      <c r="A96" s="408" t="s">
        <v>1830</v>
      </c>
      <c r="B96" s="420"/>
      <c r="C96" s="420"/>
      <c r="D96" s="420"/>
      <c r="E96" s="420"/>
      <c r="F96" s="420"/>
      <c r="G96" s="420"/>
      <c r="H96" s="420"/>
      <c r="I96" s="420"/>
      <c r="J96" s="420"/>
      <c r="K96" s="420"/>
      <c r="L96" s="420"/>
      <c r="M96" s="420"/>
      <c r="N96" s="420"/>
      <c r="O96" s="420"/>
      <c r="P96" s="421"/>
    </row>
    <row r="97" ht="16.5" spans="1:16">
      <c r="A97" s="408" t="s">
        <v>1831</v>
      </c>
      <c r="B97" s="420"/>
      <c r="C97" s="420"/>
      <c r="D97" s="420"/>
      <c r="E97" s="420"/>
      <c r="F97" s="420"/>
      <c r="G97" s="420"/>
      <c r="H97" s="420"/>
      <c r="I97" s="420"/>
      <c r="J97" s="420"/>
      <c r="K97" s="420"/>
      <c r="L97" s="420"/>
      <c r="M97" s="420"/>
      <c r="N97" s="420"/>
      <c r="O97" s="420"/>
      <c r="P97" s="421"/>
    </row>
    <row r="98" ht="16.5" spans="1:16">
      <c r="A98" s="322" t="s">
        <v>1832</v>
      </c>
      <c r="B98" s="420"/>
      <c r="C98" s="420"/>
      <c r="D98" s="420"/>
      <c r="E98" s="420"/>
      <c r="F98" s="420"/>
      <c r="G98" s="420"/>
      <c r="H98" s="420"/>
      <c r="I98" s="420"/>
      <c r="J98" s="420"/>
      <c r="K98" s="420"/>
      <c r="L98" s="420"/>
      <c r="M98" s="410"/>
      <c r="N98" s="410"/>
      <c r="O98" s="420"/>
      <c r="P98" s="423"/>
    </row>
    <row r="99" ht="16.5" spans="1:16">
      <c r="A99" s="443" t="s">
        <v>1833</v>
      </c>
      <c r="B99" s="444"/>
      <c r="C99" s="444"/>
      <c r="D99" s="444"/>
      <c r="E99" s="444"/>
      <c r="F99" s="444"/>
      <c r="G99" s="444"/>
      <c r="H99" s="444"/>
      <c r="I99" s="444"/>
      <c r="J99" s="444"/>
      <c r="K99" s="444"/>
      <c r="L99" s="444"/>
      <c r="M99" s="444"/>
      <c r="N99" s="444"/>
      <c r="O99" s="444"/>
      <c r="P99" s="455"/>
    </row>
    <row r="100" ht="16.5" spans="1:16">
      <c r="A100" s="443" t="s">
        <v>1834</v>
      </c>
      <c r="B100" s="458"/>
      <c r="C100" s="458"/>
      <c r="D100" s="458"/>
      <c r="E100" s="458"/>
      <c r="F100" s="458"/>
      <c r="G100" s="458"/>
      <c r="H100" s="458"/>
      <c r="I100" s="458"/>
      <c r="J100" s="458"/>
      <c r="K100" s="458"/>
      <c r="L100" s="458"/>
      <c r="M100" s="458"/>
      <c r="N100" s="458"/>
      <c r="O100" s="458"/>
      <c r="P100" s="546"/>
    </row>
    <row r="101" ht="16.5" spans="1:16">
      <c r="A101" s="320" t="s">
        <v>1835</v>
      </c>
      <c r="B101" s="420"/>
      <c r="C101" s="420"/>
      <c r="D101" s="420"/>
      <c r="E101" s="420"/>
      <c r="F101" s="420"/>
      <c r="G101" s="420"/>
      <c r="H101" s="420"/>
      <c r="I101" s="420"/>
      <c r="J101" s="420"/>
      <c r="K101" s="420"/>
      <c r="L101" s="420"/>
      <c r="M101" s="410"/>
      <c r="N101" s="410"/>
      <c r="O101" s="420"/>
      <c r="P101" s="423"/>
    </row>
    <row r="102" ht="16.5" spans="1:16">
      <c r="A102" s="445" t="s">
        <v>1836</v>
      </c>
      <c r="B102" s="325"/>
      <c r="C102" s="325"/>
      <c r="D102" s="325"/>
      <c r="E102" s="325"/>
      <c r="F102" s="325"/>
      <c r="G102" s="325"/>
      <c r="H102" s="325"/>
      <c r="I102" s="325"/>
      <c r="J102" s="325"/>
      <c r="K102" s="325"/>
      <c r="L102" s="325"/>
      <c r="M102" s="325"/>
      <c r="N102" s="325"/>
      <c r="O102" s="325"/>
      <c r="P102" s="424"/>
    </row>
    <row r="103" ht="16.5" spans="1:16">
      <c r="A103" s="525" t="s">
        <v>1837</v>
      </c>
      <c r="B103" s="525"/>
      <c r="C103" s="525"/>
      <c r="D103" s="525"/>
      <c r="E103" s="525"/>
      <c r="F103" s="525"/>
      <c r="G103" s="525"/>
      <c r="H103" s="525"/>
      <c r="I103" s="525"/>
      <c r="J103" s="525"/>
      <c r="K103" s="525"/>
      <c r="L103" s="525"/>
      <c r="M103" s="525"/>
      <c r="N103" s="525"/>
      <c r="O103" s="525"/>
      <c r="P103" s="525"/>
    </row>
    <row r="104" ht="16.5" spans="1:16">
      <c r="A104" s="434" t="s">
        <v>1838</v>
      </c>
      <c r="B104" s="420"/>
      <c r="C104" s="420"/>
      <c r="D104" s="420"/>
      <c r="E104" s="420"/>
      <c r="F104" s="420"/>
      <c r="G104" s="420"/>
      <c r="H104" s="420"/>
      <c r="I104" s="420"/>
      <c r="J104" s="420"/>
      <c r="K104" s="420"/>
      <c r="L104" s="420"/>
      <c r="M104" s="420"/>
      <c r="N104" s="420"/>
      <c r="O104" s="420"/>
      <c r="P104" s="421"/>
    </row>
    <row r="105" ht="16.5" spans="1:16">
      <c r="A105" s="434" t="s">
        <v>1839</v>
      </c>
      <c r="B105" s="426"/>
      <c r="C105" s="426"/>
      <c r="D105" s="426"/>
      <c r="E105" s="426"/>
      <c r="F105" s="426"/>
      <c r="G105" s="426"/>
      <c r="H105" s="426"/>
      <c r="I105" s="426"/>
      <c r="J105" s="426"/>
      <c r="K105" s="426"/>
      <c r="L105" s="426"/>
      <c r="M105" s="426"/>
      <c r="N105" s="426"/>
      <c r="O105" s="426"/>
      <c r="P105" s="446"/>
    </row>
    <row r="106" ht="16.5" spans="1:16">
      <c r="A106" s="434" t="s">
        <v>1840</v>
      </c>
      <c r="B106" s="426"/>
      <c r="C106" s="426"/>
      <c r="D106" s="426"/>
      <c r="E106" s="426"/>
      <c r="F106" s="426"/>
      <c r="G106" s="426"/>
      <c r="H106" s="426"/>
      <c r="I106" s="426"/>
      <c r="J106" s="426"/>
      <c r="K106" s="426"/>
      <c r="L106" s="426"/>
      <c r="M106" s="426"/>
      <c r="N106" s="426"/>
      <c r="O106" s="426"/>
      <c r="P106" s="446"/>
    </row>
    <row r="107" ht="16.5" spans="1:16">
      <c r="A107" s="428" t="s">
        <v>1841</v>
      </c>
      <c r="B107" s="325"/>
      <c r="C107" s="325"/>
      <c r="D107" s="325"/>
      <c r="E107" s="325"/>
      <c r="F107" s="325"/>
      <c r="G107" s="325"/>
      <c r="H107" s="325"/>
      <c r="I107" s="325"/>
      <c r="J107" s="325"/>
      <c r="K107" s="325"/>
      <c r="L107" s="325"/>
      <c r="M107" s="325"/>
      <c r="N107" s="325"/>
      <c r="O107" s="325"/>
      <c r="P107" s="424"/>
    </row>
    <row r="108" ht="16.5" spans="1:16">
      <c r="A108" s="408" t="s">
        <v>1842</v>
      </c>
      <c r="B108" s="426"/>
      <c r="C108" s="426"/>
      <c r="D108" s="426"/>
      <c r="E108" s="426"/>
      <c r="F108" s="426"/>
      <c r="G108" s="426"/>
      <c r="H108" s="426"/>
      <c r="I108" s="426"/>
      <c r="J108" s="426"/>
      <c r="K108" s="426"/>
      <c r="L108" s="426"/>
      <c r="M108" s="426"/>
      <c r="N108" s="426"/>
      <c r="O108" s="426"/>
      <c r="P108" s="421"/>
    </row>
    <row r="109" ht="16.5" spans="1:16">
      <c r="A109" s="324" t="s">
        <v>1843</v>
      </c>
      <c r="B109" s="325"/>
      <c r="C109" s="325"/>
      <c r="D109" s="325"/>
      <c r="E109" s="325"/>
      <c r="F109" s="325"/>
      <c r="G109" s="325"/>
      <c r="H109" s="325"/>
      <c r="I109" s="325"/>
      <c r="J109" s="325"/>
      <c r="K109" s="325"/>
      <c r="L109" s="325"/>
      <c r="M109" s="325"/>
      <c r="N109" s="325"/>
      <c r="O109" s="325"/>
      <c r="P109" s="424"/>
    </row>
    <row r="110" ht="16.5" spans="1:16">
      <c r="A110" s="427" t="s">
        <v>1844</v>
      </c>
      <c r="B110" s="420"/>
      <c r="C110" s="420"/>
      <c r="D110" s="420"/>
      <c r="E110" s="420"/>
      <c r="F110" s="420"/>
      <c r="G110" s="420"/>
      <c r="H110" s="420"/>
      <c r="I110" s="420"/>
      <c r="J110" s="420"/>
      <c r="K110" s="420"/>
      <c r="L110" s="420"/>
      <c r="M110" s="410"/>
      <c r="N110" s="410"/>
      <c r="O110" s="420"/>
      <c r="P110" s="421"/>
    </row>
    <row r="111" ht="16.5" spans="1:16">
      <c r="A111" s="320" t="s">
        <v>1845</v>
      </c>
      <c r="B111" s="420"/>
      <c r="C111" s="420"/>
      <c r="D111" s="420"/>
      <c r="E111" s="420"/>
      <c r="F111" s="420"/>
      <c r="G111" s="420"/>
      <c r="H111" s="420"/>
      <c r="I111" s="420"/>
      <c r="J111" s="420"/>
      <c r="K111" s="420"/>
      <c r="L111" s="420"/>
      <c r="M111" s="410"/>
      <c r="N111" s="410"/>
      <c r="O111" s="420"/>
      <c r="P111" s="421"/>
    </row>
    <row r="112" ht="16.5" spans="1:16">
      <c r="A112" s="322" t="s">
        <v>1846</v>
      </c>
      <c r="B112" s="420"/>
      <c r="C112" s="420"/>
      <c r="D112" s="420"/>
      <c r="E112" s="420"/>
      <c r="F112" s="420"/>
      <c r="G112" s="420"/>
      <c r="H112" s="420"/>
      <c r="I112" s="420"/>
      <c r="J112" s="420"/>
      <c r="K112" s="420"/>
      <c r="L112" s="420"/>
      <c r="M112" s="410"/>
      <c r="N112" s="410"/>
      <c r="O112" s="420"/>
      <c r="P112" s="423"/>
    </row>
    <row r="113" ht="16.5" spans="1:16">
      <c r="A113" s="441" t="s">
        <v>1847</v>
      </c>
      <c r="B113" s="420"/>
      <c r="C113" s="420"/>
      <c r="D113" s="420"/>
      <c r="E113" s="420"/>
      <c r="F113" s="420"/>
      <c r="G113" s="420"/>
      <c r="H113" s="420"/>
      <c r="I113" s="420"/>
      <c r="J113" s="420"/>
      <c r="K113" s="420"/>
      <c r="L113" s="420"/>
      <c r="M113" s="410"/>
      <c r="N113" s="410"/>
      <c r="O113" s="420"/>
      <c r="P113" s="423"/>
    </row>
    <row r="114" ht="16.5" spans="1:16">
      <c r="A114" s="441" t="s">
        <v>1848</v>
      </c>
      <c r="B114" s="420"/>
      <c r="C114" s="420"/>
      <c r="D114" s="420"/>
      <c r="E114" s="420"/>
      <c r="F114" s="420"/>
      <c r="G114" s="420"/>
      <c r="H114" s="420"/>
      <c r="I114" s="420"/>
      <c r="J114" s="420"/>
      <c r="K114" s="420"/>
      <c r="L114" s="420"/>
      <c r="M114" s="410"/>
      <c r="N114" s="410"/>
      <c r="O114" s="420"/>
      <c r="P114" s="423"/>
    </row>
    <row r="115" ht="16.5" spans="1:16">
      <c r="A115" s="320" t="s">
        <v>1849</v>
      </c>
      <c r="B115" s="420"/>
      <c r="C115" s="420"/>
      <c r="D115" s="420"/>
      <c r="E115" s="420"/>
      <c r="F115" s="420"/>
      <c r="G115" s="420"/>
      <c r="H115" s="420"/>
      <c r="I115" s="420"/>
      <c r="J115" s="420"/>
      <c r="K115" s="420"/>
      <c r="L115" s="420"/>
      <c r="M115" s="410"/>
      <c r="N115" s="410"/>
      <c r="O115" s="420"/>
      <c r="P115" s="423"/>
    </row>
    <row r="116" ht="16.5" spans="1:16">
      <c r="A116" s="322" t="s">
        <v>1850</v>
      </c>
      <c r="B116" s="420"/>
      <c r="C116" s="420"/>
      <c r="D116" s="420"/>
      <c r="E116" s="420"/>
      <c r="F116" s="420"/>
      <c r="G116" s="420"/>
      <c r="H116" s="420"/>
      <c r="I116" s="420"/>
      <c r="J116" s="420"/>
      <c r="K116" s="420"/>
      <c r="L116" s="420"/>
      <c r="M116" s="410"/>
      <c r="N116" s="410"/>
      <c r="O116" s="420"/>
      <c r="P116" s="423"/>
    </row>
    <row r="117" ht="16.5" spans="1:16">
      <c r="A117" s="459" t="s">
        <v>1851</v>
      </c>
      <c r="B117" s="460"/>
      <c r="C117" s="460"/>
      <c r="D117" s="460"/>
      <c r="E117" s="460"/>
      <c r="F117" s="460"/>
      <c r="G117" s="460"/>
      <c r="H117" s="460"/>
      <c r="I117" s="460"/>
      <c r="J117" s="460"/>
      <c r="K117" s="460"/>
      <c r="L117" s="460"/>
      <c r="M117" s="465"/>
      <c r="N117" s="465"/>
      <c r="O117" s="460"/>
      <c r="P117" s="466"/>
    </row>
  </sheetData>
  <sheetProtection formatCells="0" formatColumns="0" formatRows="0" insertRows="0" insertColumns="0" insertHyperlinks="0" deleteColumns="0" deleteRows="0" sort="0" autoFilter="0" pivotTables="0"/>
  <autoFilter xmlns:etc="http://www.wps.cn/officeDocument/2017/etCustomData" ref="A3:P117" etc:filterBottomFollowUsedRange="0">
    <extLst/>
  </autoFilter>
  <mergeCells count="94">
    <mergeCell ref="K2:L2"/>
    <mergeCell ref="A47:P47"/>
    <mergeCell ref="A49:P49"/>
    <mergeCell ref="A54:P54"/>
    <mergeCell ref="A59:P59"/>
    <mergeCell ref="A60:P60"/>
    <mergeCell ref="A61:P61"/>
    <mergeCell ref="A62:P62"/>
    <mergeCell ref="A63:P63"/>
    <mergeCell ref="A69:P69"/>
    <mergeCell ref="A75:P75"/>
    <mergeCell ref="A76:P76"/>
    <mergeCell ref="A78:P78"/>
    <mergeCell ref="A79:P79"/>
    <mergeCell ref="A81:P81"/>
    <mergeCell ref="A82:P82"/>
    <mergeCell ref="A84:P84"/>
    <mergeCell ref="A87:P87"/>
    <mergeCell ref="A89:P89"/>
    <mergeCell ref="A90:P90"/>
    <mergeCell ref="A94:P94"/>
    <mergeCell ref="A96:P96"/>
    <mergeCell ref="A97:P97"/>
    <mergeCell ref="A99:P99"/>
    <mergeCell ref="A100:P100"/>
    <mergeCell ref="A102:P102"/>
    <mergeCell ref="A103:P103"/>
    <mergeCell ref="A104:P104"/>
    <mergeCell ref="A105:P105"/>
    <mergeCell ref="A106:P106"/>
    <mergeCell ref="A107:P107"/>
    <mergeCell ref="A108:P108"/>
    <mergeCell ref="A109:P109"/>
    <mergeCell ref="A2:A3"/>
    <mergeCell ref="A4:A22"/>
    <mergeCell ref="A23:A31"/>
    <mergeCell ref="A32:A36"/>
    <mergeCell ref="A37:A40"/>
    <mergeCell ref="B2:B3"/>
    <mergeCell ref="D2:D3"/>
    <mergeCell ref="D4:D11"/>
    <mergeCell ref="D12:D16"/>
    <mergeCell ref="D17:D22"/>
    <mergeCell ref="D23:D24"/>
    <mergeCell ref="D25:D28"/>
    <mergeCell ref="D29:D30"/>
    <mergeCell ref="D32:D36"/>
    <mergeCell ref="D37:D40"/>
    <mergeCell ref="E2:E3"/>
    <mergeCell ref="E4:E11"/>
    <mergeCell ref="E12:E16"/>
    <mergeCell ref="E17:E22"/>
    <mergeCell ref="E23:E24"/>
    <mergeCell ref="E25:E28"/>
    <mergeCell ref="E29:E30"/>
    <mergeCell ref="E32:E36"/>
    <mergeCell ref="E37:E40"/>
    <mergeCell ref="F2:F3"/>
    <mergeCell ref="M2:M3"/>
    <mergeCell ref="M4:M11"/>
    <mergeCell ref="M12:M16"/>
    <mergeCell ref="M17:M22"/>
    <mergeCell ref="M23:M24"/>
    <mergeCell ref="M25:M28"/>
    <mergeCell ref="M29:M30"/>
    <mergeCell ref="M32:M36"/>
    <mergeCell ref="M37:M40"/>
    <mergeCell ref="N2:N3"/>
    <mergeCell ref="N4:N11"/>
    <mergeCell ref="N12:N16"/>
    <mergeCell ref="N17:N22"/>
    <mergeCell ref="N23:N24"/>
    <mergeCell ref="N25:N28"/>
    <mergeCell ref="N29:N30"/>
    <mergeCell ref="N32:N36"/>
    <mergeCell ref="N37:N40"/>
    <mergeCell ref="O2:O3"/>
    <mergeCell ref="O4:O11"/>
    <mergeCell ref="O12:O16"/>
    <mergeCell ref="O17:O22"/>
    <mergeCell ref="O23:O24"/>
    <mergeCell ref="O25:O28"/>
    <mergeCell ref="O29:O30"/>
    <mergeCell ref="O32:O36"/>
    <mergeCell ref="O37:O40"/>
    <mergeCell ref="P2:P3"/>
    <mergeCell ref="P4:P11"/>
    <mergeCell ref="P12:P16"/>
    <mergeCell ref="P17:P22"/>
    <mergeCell ref="P23:P24"/>
    <mergeCell ref="P25:P28"/>
    <mergeCell ref="P29:P30"/>
    <mergeCell ref="P32:P36"/>
    <mergeCell ref="P37:P40"/>
  </mergeCells>
  <hyperlinks>
    <hyperlink ref="P23" location="'分区&amp;无服务邮编表'!F3:H3" display="无服务邮编&#10;详见 【分区&amp;无服务邮编表】"/>
    <hyperlink ref="P23:P24" location="'分区&amp;无服务邮编表'!A:C" display="无服务邮编&#10;详见 【分区&amp;无服务邮编表】"/>
    <hyperlink ref="A51" location="异形件说明!A1" display="关于异形件示例，见附表【异形件说明】。"/>
    <hyperlink ref="A74" location="'分区&amp;无服务邮编表'!A:C" display="英国：只服务主要地区，若因篡改地址规则发往军事地址BFPO需加收附加费110RMB/票；若因篡改地址规则发往偏远区域，费用实报实销，偏远邮编详见【分区&amp;无服务邮编表】；"/>
    <hyperlink ref="A90" r:id="rId1" display="2、各渠道赔偿标准以递四方官网为准“http://express.4px.com/article/detail/id/500425/cid/28”；"/>
    <hyperlink ref="A99" r:id="rId2" display="以上具体规则均参考递四方官网保价保险“http://express.4px.com/article/detail/id/500004/cid/28” 易碎物品只保丢失不保破损。（以实际投保受理为准）；"/>
    <hyperlink ref="A113" r:id="rId3" display="http://track.4px.com/"/>
    <hyperlink ref="A114" r:id="rId4" display="https://www.17track.net/zh-cn"/>
    <hyperlink ref="P1" location="'价格表目录'!A1" display="返回目录"/>
    <hyperlink ref="P17" location="禁运物品清单!A1" display="【禁运物品清单】"/>
    <hyperlink ref="A73" location="'分区&amp;无服务邮编表'!AR:AR" display="西班牙：可服务邮编详见 【分区&amp;无服务邮编表】"/>
    <hyperlink ref="P37:P40" location="'分区&amp;无服务邮编表'!BE4"/>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P41"/>
  <sheetViews>
    <sheetView workbookViewId="0">
      <selection activeCell="J14" sqref="J14"/>
    </sheetView>
  </sheetViews>
  <sheetFormatPr defaultColWidth="8.725" defaultRowHeight="13.5"/>
  <cols>
    <col min="6" max="6" width="11.0916666666667" customWidth="1"/>
  </cols>
  <sheetData>
    <row r="1" ht="16.5" spans="1:16">
      <c r="A1" s="266"/>
      <c r="B1" s="266"/>
      <c r="C1" s="266"/>
      <c r="D1" s="266"/>
      <c r="E1" s="266"/>
      <c r="F1" s="267"/>
      <c r="G1" s="267"/>
      <c r="H1" s="267"/>
      <c r="I1" s="267"/>
      <c r="J1" s="267"/>
      <c r="K1" s="267"/>
      <c r="L1" s="326"/>
      <c r="M1" s="326"/>
      <c r="N1" s="326"/>
      <c r="O1" s="327" t="s">
        <v>1731</v>
      </c>
      <c r="P1" s="328" t="s">
        <v>660</v>
      </c>
    </row>
    <row r="2" ht="16.5" spans="1:16">
      <c r="A2" s="268" t="s">
        <v>1732</v>
      </c>
      <c r="B2" s="269" t="s">
        <v>1683</v>
      </c>
      <c r="C2" s="269"/>
      <c r="D2" s="269" t="s">
        <v>1684</v>
      </c>
      <c r="E2" s="269" t="s">
        <v>1685</v>
      </c>
      <c r="F2" s="270" t="s">
        <v>1544</v>
      </c>
      <c r="G2" s="271"/>
      <c r="H2" s="271"/>
      <c r="I2" s="271"/>
      <c r="J2" s="271"/>
      <c r="K2" s="330" t="s">
        <v>1686</v>
      </c>
      <c r="L2" s="331"/>
      <c r="M2" s="332" t="s">
        <v>1687</v>
      </c>
      <c r="N2" s="332" t="s">
        <v>1688</v>
      </c>
      <c r="O2" s="333" t="s">
        <v>1689</v>
      </c>
      <c r="P2" s="334" t="s">
        <v>1690</v>
      </c>
    </row>
    <row r="3" ht="33" spans="1:16">
      <c r="A3" s="467"/>
      <c r="B3" s="275"/>
      <c r="C3" s="275"/>
      <c r="D3" s="275"/>
      <c r="E3" s="275"/>
      <c r="F3" s="274"/>
      <c r="G3" s="275" t="s">
        <v>1545</v>
      </c>
      <c r="H3" s="275" t="s">
        <v>1546</v>
      </c>
      <c r="I3" s="274"/>
      <c r="J3" s="274"/>
      <c r="K3" s="332" t="s">
        <v>1691</v>
      </c>
      <c r="L3" s="332" t="s">
        <v>1692</v>
      </c>
      <c r="M3" s="275"/>
      <c r="N3" s="337"/>
      <c r="O3" s="273"/>
      <c r="P3" s="338"/>
    </row>
    <row r="4" ht="16.5" spans="1:16">
      <c r="A4" s="393" t="s">
        <v>1693</v>
      </c>
      <c r="B4" s="313" t="s">
        <v>24</v>
      </c>
      <c r="C4" s="279" t="s">
        <v>25</v>
      </c>
      <c r="D4" s="279" t="s">
        <v>1852</v>
      </c>
      <c r="E4" s="468" t="s">
        <v>1695</v>
      </c>
      <c r="F4" s="279" t="s">
        <v>1569</v>
      </c>
      <c r="G4" s="280">
        <v>0</v>
      </c>
      <c r="H4" s="280">
        <v>0.1</v>
      </c>
      <c r="I4" s="279"/>
      <c r="J4" s="279"/>
      <c r="K4">
        <v>132</v>
      </c>
      <c r="L4" s="482">
        <v>20</v>
      </c>
      <c r="M4" s="483" t="s">
        <v>1734</v>
      </c>
      <c r="N4" s="484" t="s">
        <v>1697</v>
      </c>
      <c r="O4" s="485" t="s">
        <v>1735</v>
      </c>
      <c r="P4" s="486" t="s">
        <v>1736</v>
      </c>
    </row>
    <row r="5" ht="16.5" spans="1:16">
      <c r="A5" s="412"/>
      <c r="B5" s="313" t="s">
        <v>24</v>
      </c>
      <c r="C5" s="279" t="s">
        <v>25</v>
      </c>
      <c r="D5" s="279"/>
      <c r="E5" s="388"/>
      <c r="F5" s="279" t="s">
        <v>1700</v>
      </c>
      <c r="G5" s="280">
        <v>0.101</v>
      </c>
      <c r="H5" s="280">
        <v>0.2</v>
      </c>
      <c r="I5" s="279"/>
      <c r="J5" s="279"/>
      <c r="K5">
        <v>127</v>
      </c>
      <c r="L5" s="487">
        <v>18</v>
      </c>
      <c r="M5" s="488"/>
      <c r="N5" s="348"/>
      <c r="O5" s="489"/>
      <c r="P5" s="486"/>
    </row>
    <row r="6" ht="16.5" spans="1:16">
      <c r="A6" s="412"/>
      <c r="B6" s="313" t="s">
        <v>24</v>
      </c>
      <c r="C6" s="279" t="s">
        <v>25</v>
      </c>
      <c r="D6" s="279"/>
      <c r="E6" s="388"/>
      <c r="F6" s="279" t="s">
        <v>1701</v>
      </c>
      <c r="G6" s="280">
        <v>0.201</v>
      </c>
      <c r="H6" s="280">
        <v>0.45</v>
      </c>
      <c r="I6" s="279"/>
      <c r="J6" s="279"/>
      <c r="K6">
        <v>121</v>
      </c>
      <c r="L6" s="487">
        <v>16</v>
      </c>
      <c r="M6" s="488"/>
      <c r="N6" s="348"/>
      <c r="O6" s="489"/>
      <c r="P6" s="486"/>
    </row>
    <row r="7" ht="16.5" spans="1:16">
      <c r="A7" s="412"/>
      <c r="B7" s="313" t="s">
        <v>24</v>
      </c>
      <c r="C7" s="279" t="s">
        <v>25</v>
      </c>
      <c r="D7" s="279"/>
      <c r="E7" s="388"/>
      <c r="F7" s="279" t="s">
        <v>1702</v>
      </c>
      <c r="G7" s="280">
        <v>0.451</v>
      </c>
      <c r="H7" s="280">
        <v>0.7</v>
      </c>
      <c r="I7" s="279"/>
      <c r="J7" s="279"/>
      <c r="K7">
        <v>119</v>
      </c>
      <c r="L7" s="487">
        <v>16</v>
      </c>
      <c r="M7" s="488"/>
      <c r="N7" s="348"/>
      <c r="O7" s="489"/>
      <c r="P7" s="486"/>
    </row>
    <row r="8" ht="16.5" spans="1:16">
      <c r="A8" s="412"/>
      <c r="B8" s="313" t="s">
        <v>24</v>
      </c>
      <c r="C8" s="279" t="s">
        <v>25</v>
      </c>
      <c r="D8" s="279"/>
      <c r="E8" s="388"/>
      <c r="F8" s="279" t="s">
        <v>1703</v>
      </c>
      <c r="G8" s="280">
        <v>0.701</v>
      </c>
      <c r="H8" s="280">
        <v>1</v>
      </c>
      <c r="I8" s="279"/>
      <c r="J8" s="279"/>
      <c r="K8">
        <v>119</v>
      </c>
      <c r="L8" s="487">
        <v>9</v>
      </c>
      <c r="M8" s="488"/>
      <c r="N8" s="348"/>
      <c r="O8" s="489"/>
      <c r="P8" s="486"/>
    </row>
    <row r="9" ht="16.5" spans="1:16">
      <c r="A9" s="412"/>
      <c r="B9" s="313" t="s">
        <v>24</v>
      </c>
      <c r="C9" s="279" t="s">
        <v>25</v>
      </c>
      <c r="D9" s="279"/>
      <c r="E9" s="388"/>
      <c r="F9" s="279" t="s">
        <v>1737</v>
      </c>
      <c r="G9" s="280">
        <v>1.001</v>
      </c>
      <c r="H9" s="280">
        <v>3</v>
      </c>
      <c r="I9" s="279"/>
      <c r="J9" s="279"/>
      <c r="K9">
        <v>119</v>
      </c>
      <c r="L9" s="487">
        <v>9</v>
      </c>
      <c r="M9" s="488"/>
      <c r="N9" s="348"/>
      <c r="O9" s="489"/>
      <c r="P9" s="486"/>
    </row>
    <row r="10" ht="16.5" spans="1:16">
      <c r="A10" s="412"/>
      <c r="B10" s="313" t="s">
        <v>24</v>
      </c>
      <c r="C10" s="279" t="s">
        <v>25</v>
      </c>
      <c r="D10" s="279"/>
      <c r="E10" s="388"/>
      <c r="F10" s="284" t="s">
        <v>1738</v>
      </c>
      <c r="G10" s="280">
        <v>3.001</v>
      </c>
      <c r="H10" s="280">
        <v>6</v>
      </c>
      <c r="I10" s="284"/>
      <c r="J10" s="284"/>
      <c r="K10">
        <v>119</v>
      </c>
      <c r="L10" s="487">
        <v>9</v>
      </c>
      <c r="M10" s="488"/>
      <c r="N10" s="348"/>
      <c r="O10" s="489"/>
      <c r="P10" s="486"/>
    </row>
    <row r="11" ht="16.5" spans="1:16">
      <c r="A11" s="412"/>
      <c r="B11" s="313" t="s">
        <v>24</v>
      </c>
      <c r="C11" s="279" t="s">
        <v>25</v>
      </c>
      <c r="D11" s="279"/>
      <c r="E11" s="388"/>
      <c r="F11" s="284" t="s">
        <v>1739</v>
      </c>
      <c r="G11" s="280">
        <v>6.001</v>
      </c>
      <c r="H11" s="280">
        <v>30</v>
      </c>
      <c r="I11" s="284"/>
      <c r="J11" s="284"/>
      <c r="K11">
        <v>119</v>
      </c>
      <c r="L11" s="487">
        <v>9</v>
      </c>
      <c r="M11" s="488"/>
      <c r="N11" s="348"/>
      <c r="O11" s="489"/>
      <c r="P11" s="486"/>
    </row>
    <row r="12" ht="16.5" spans="1:16">
      <c r="A12" s="412"/>
      <c r="B12" s="469" t="s">
        <v>78</v>
      </c>
      <c r="C12" s="279" t="s">
        <v>79</v>
      </c>
      <c r="D12" s="470" t="s">
        <v>1852</v>
      </c>
      <c r="E12" s="470" t="s">
        <v>1695</v>
      </c>
      <c r="F12" s="471" t="s">
        <v>1562</v>
      </c>
      <c r="G12" s="280">
        <v>0</v>
      </c>
      <c r="H12" s="280">
        <v>0.3</v>
      </c>
      <c r="I12" s="471"/>
      <c r="J12" s="471"/>
      <c r="K12" s="487">
        <v>89</v>
      </c>
      <c r="L12" s="487">
        <v>19</v>
      </c>
      <c r="M12" s="364" t="s">
        <v>1740</v>
      </c>
      <c r="N12" s="390" t="s">
        <v>1697</v>
      </c>
      <c r="O12" s="344" t="s">
        <v>1741</v>
      </c>
      <c r="P12" s="364" t="s">
        <v>1697</v>
      </c>
    </row>
    <row r="13" ht="16.5" spans="1:16">
      <c r="A13" s="412"/>
      <c r="B13" s="469" t="s">
        <v>78</v>
      </c>
      <c r="C13" s="279" t="s">
        <v>79</v>
      </c>
      <c r="D13" s="470"/>
      <c r="E13" s="470"/>
      <c r="F13" s="472" t="s">
        <v>1706</v>
      </c>
      <c r="G13" s="280">
        <v>0.301</v>
      </c>
      <c r="H13" s="280">
        <v>0.5</v>
      </c>
      <c r="I13" s="472"/>
      <c r="J13" s="472"/>
      <c r="K13" s="487">
        <v>88</v>
      </c>
      <c r="L13" s="487">
        <v>19</v>
      </c>
      <c r="M13" s="364"/>
      <c r="N13" s="390"/>
      <c r="O13" s="344"/>
      <c r="P13" s="364"/>
    </row>
    <row r="14" ht="16.5" spans="1:16">
      <c r="A14" s="412"/>
      <c r="B14" s="469" t="s">
        <v>78</v>
      </c>
      <c r="C14" s="279" t="s">
        <v>79</v>
      </c>
      <c r="D14" s="470"/>
      <c r="E14" s="470"/>
      <c r="F14" s="472" t="s">
        <v>1742</v>
      </c>
      <c r="G14" s="280">
        <v>0.501</v>
      </c>
      <c r="H14" s="280">
        <v>1.5</v>
      </c>
      <c r="I14" s="472"/>
      <c r="J14" s="472"/>
      <c r="K14" s="487">
        <v>95</v>
      </c>
      <c r="L14" s="487">
        <v>20</v>
      </c>
      <c r="M14" s="364"/>
      <c r="N14" s="390"/>
      <c r="O14" s="344"/>
      <c r="P14" s="364"/>
    </row>
    <row r="15" ht="16.5" spans="1:16">
      <c r="A15" s="412"/>
      <c r="B15" s="469" t="s">
        <v>78</v>
      </c>
      <c r="C15" s="279" t="s">
        <v>79</v>
      </c>
      <c r="D15" s="470"/>
      <c r="E15" s="470"/>
      <c r="F15" s="472" t="s">
        <v>1719</v>
      </c>
      <c r="G15" s="280">
        <v>1.501</v>
      </c>
      <c r="H15" s="280">
        <v>2</v>
      </c>
      <c r="I15" s="472"/>
      <c r="J15" s="472"/>
      <c r="K15" s="487">
        <v>88</v>
      </c>
      <c r="L15" s="487">
        <v>22</v>
      </c>
      <c r="M15" s="364"/>
      <c r="N15" s="390"/>
      <c r="O15" s="344"/>
      <c r="P15" s="364"/>
    </row>
    <row r="16" ht="16.5" spans="1:16">
      <c r="A16" s="412"/>
      <c r="B16" s="469" t="s">
        <v>78</v>
      </c>
      <c r="C16" s="279" t="s">
        <v>79</v>
      </c>
      <c r="D16" s="470"/>
      <c r="E16" s="470"/>
      <c r="F16" s="472" t="s">
        <v>1743</v>
      </c>
      <c r="G16" s="280">
        <v>2.001</v>
      </c>
      <c r="H16" s="280">
        <v>30</v>
      </c>
      <c r="I16" s="472"/>
      <c r="J16" s="472"/>
      <c r="K16" s="487">
        <v>89</v>
      </c>
      <c r="L16" s="487">
        <v>23</v>
      </c>
      <c r="M16" s="364"/>
      <c r="N16" s="390"/>
      <c r="O16" s="344"/>
      <c r="P16" s="364"/>
    </row>
    <row r="17" ht="16.5" spans="1:16">
      <c r="A17" s="412"/>
      <c r="B17" s="473" t="s">
        <v>94</v>
      </c>
      <c r="C17" s="279" t="s">
        <v>95</v>
      </c>
      <c r="D17" s="474" t="s">
        <v>1852</v>
      </c>
      <c r="E17" s="474" t="s">
        <v>1695</v>
      </c>
      <c r="F17" s="284" t="s">
        <v>1744</v>
      </c>
      <c r="G17" s="280">
        <v>0</v>
      </c>
      <c r="H17" s="280">
        <v>0.25</v>
      </c>
      <c r="I17" s="284"/>
      <c r="J17" s="284"/>
      <c r="K17" s="487">
        <v>75</v>
      </c>
      <c r="L17" s="487">
        <v>18</v>
      </c>
      <c r="M17" s="490" t="s">
        <v>1745</v>
      </c>
      <c r="N17" s="491" t="s">
        <v>1697</v>
      </c>
      <c r="O17" s="492" t="s">
        <v>1746</v>
      </c>
      <c r="P17" s="490" t="s">
        <v>1747</v>
      </c>
    </row>
    <row r="18" ht="16.5" spans="1:16">
      <c r="A18" s="412"/>
      <c r="B18" s="475" t="s">
        <v>94</v>
      </c>
      <c r="C18" s="279" t="s">
        <v>95</v>
      </c>
      <c r="D18" s="350"/>
      <c r="E18" s="350"/>
      <c r="F18" s="284" t="s">
        <v>1748</v>
      </c>
      <c r="G18" s="280">
        <v>0.251</v>
      </c>
      <c r="H18" s="280">
        <v>0.5</v>
      </c>
      <c r="I18" s="284"/>
      <c r="J18" s="284"/>
      <c r="K18" s="487">
        <v>75</v>
      </c>
      <c r="L18" s="487">
        <v>18</v>
      </c>
      <c r="M18" s="493"/>
      <c r="N18" s="494"/>
      <c r="O18" s="495"/>
      <c r="P18" s="493"/>
    </row>
    <row r="19" ht="16.5" spans="1:16">
      <c r="A19" s="412"/>
      <c r="B19" s="475" t="s">
        <v>94</v>
      </c>
      <c r="C19" s="279" t="s">
        <v>95</v>
      </c>
      <c r="D19" s="350"/>
      <c r="E19" s="350"/>
      <c r="F19" s="476" t="s">
        <v>1717</v>
      </c>
      <c r="G19" s="280">
        <v>0.501</v>
      </c>
      <c r="H19" s="280">
        <v>1</v>
      </c>
      <c r="I19" s="476"/>
      <c r="J19" s="476"/>
      <c r="K19" s="487">
        <v>75</v>
      </c>
      <c r="L19" s="487">
        <v>18</v>
      </c>
      <c r="M19" s="493"/>
      <c r="N19" s="494"/>
      <c r="O19" s="495"/>
      <c r="P19" s="493"/>
    </row>
    <row r="20" ht="16.5" spans="1:16">
      <c r="A20" s="412"/>
      <c r="B20" s="475" t="s">
        <v>94</v>
      </c>
      <c r="C20" s="279" t="s">
        <v>95</v>
      </c>
      <c r="D20" s="350"/>
      <c r="E20" s="350"/>
      <c r="F20" s="476" t="s">
        <v>1749</v>
      </c>
      <c r="G20" s="280">
        <v>1.001</v>
      </c>
      <c r="H20" s="280">
        <v>1.5</v>
      </c>
      <c r="I20" s="476"/>
      <c r="J20" s="476"/>
      <c r="K20" s="487">
        <v>82</v>
      </c>
      <c r="L20" s="487">
        <v>20</v>
      </c>
      <c r="M20" s="493"/>
      <c r="N20" s="494"/>
      <c r="O20" s="495"/>
      <c r="P20" s="493"/>
    </row>
    <row r="21" ht="16.5" spans="1:16">
      <c r="A21" s="412"/>
      <c r="B21" s="475" t="s">
        <v>94</v>
      </c>
      <c r="C21" s="279" t="s">
        <v>95</v>
      </c>
      <c r="D21" s="350"/>
      <c r="E21" s="350"/>
      <c r="F21" s="476" t="s">
        <v>1719</v>
      </c>
      <c r="G21" s="280">
        <v>1.501</v>
      </c>
      <c r="H21" s="280">
        <v>2</v>
      </c>
      <c r="I21" s="476"/>
      <c r="J21" s="476"/>
      <c r="K21" s="487">
        <v>82</v>
      </c>
      <c r="L21" s="487">
        <v>20</v>
      </c>
      <c r="M21" s="493"/>
      <c r="N21" s="494"/>
      <c r="O21" s="495"/>
      <c r="P21" s="493"/>
    </row>
    <row r="22" ht="16.5" spans="1:16">
      <c r="A22" s="415"/>
      <c r="B22" s="477" t="s">
        <v>94</v>
      </c>
      <c r="C22" s="279" t="s">
        <v>95</v>
      </c>
      <c r="D22" s="351"/>
      <c r="E22" s="351"/>
      <c r="F22" s="476" t="s">
        <v>1561</v>
      </c>
      <c r="G22" s="280">
        <v>2.001</v>
      </c>
      <c r="H22" s="280">
        <v>10</v>
      </c>
      <c r="I22" s="476"/>
      <c r="J22" s="476"/>
      <c r="K22" s="487">
        <v>82</v>
      </c>
      <c r="L22" s="487">
        <v>20</v>
      </c>
      <c r="M22" s="496"/>
      <c r="N22" s="497"/>
      <c r="O22" s="498"/>
      <c r="P22" s="496"/>
    </row>
    <row r="23" ht="16.5" spans="1:16">
      <c r="A23" s="468" t="s">
        <v>1721</v>
      </c>
      <c r="B23" s="478" t="s">
        <v>26</v>
      </c>
      <c r="C23" s="279" t="s">
        <v>27</v>
      </c>
      <c r="D23" s="479" t="s">
        <v>1852</v>
      </c>
      <c r="E23" s="397" t="s">
        <v>1695</v>
      </c>
      <c r="F23" s="480" t="s">
        <v>1722</v>
      </c>
      <c r="G23" s="280">
        <v>0</v>
      </c>
      <c r="H23" s="280">
        <v>2</v>
      </c>
      <c r="I23" s="480"/>
      <c r="J23" s="480"/>
      <c r="K23" s="487">
        <v>63</v>
      </c>
      <c r="L23" s="487">
        <v>16</v>
      </c>
      <c r="M23" s="499" t="s">
        <v>1750</v>
      </c>
      <c r="N23" s="364" t="s">
        <v>1751</v>
      </c>
      <c r="O23" s="365" t="s">
        <v>1853</v>
      </c>
      <c r="P23" s="366" t="s">
        <v>1752</v>
      </c>
    </row>
    <row r="24" ht="16.5" spans="1:16">
      <c r="A24" s="468"/>
      <c r="B24" s="295" t="s">
        <v>26</v>
      </c>
      <c r="C24" s="279" t="s">
        <v>27</v>
      </c>
      <c r="D24" s="293"/>
      <c r="E24" s="302"/>
      <c r="F24" s="298" t="s">
        <v>1753</v>
      </c>
      <c r="G24" s="280">
        <v>2.001</v>
      </c>
      <c r="H24" s="280">
        <v>15</v>
      </c>
      <c r="I24" s="298"/>
      <c r="J24" s="298"/>
      <c r="K24" s="487">
        <v>63</v>
      </c>
      <c r="L24" s="487">
        <v>16</v>
      </c>
      <c r="M24" s="500"/>
      <c r="N24" s="368"/>
      <c r="O24" s="369"/>
      <c r="P24" s="370"/>
    </row>
    <row r="25" ht="16.5" spans="1:16">
      <c r="A25" s="468"/>
      <c r="B25" s="297" t="s">
        <v>72</v>
      </c>
      <c r="C25" s="279" t="s">
        <v>73</v>
      </c>
      <c r="D25" s="294" t="s">
        <v>1852</v>
      </c>
      <c r="E25" s="294" t="s">
        <v>1695</v>
      </c>
      <c r="F25" s="284" t="s">
        <v>1562</v>
      </c>
      <c r="G25" s="280">
        <v>0</v>
      </c>
      <c r="H25" s="280">
        <v>0.3</v>
      </c>
      <c r="I25" s="284"/>
      <c r="J25" s="284"/>
      <c r="K25" s="487">
        <v>63</v>
      </c>
      <c r="L25" s="487">
        <v>19</v>
      </c>
      <c r="M25" s="501" t="s">
        <v>1854</v>
      </c>
      <c r="N25" s="373" t="s">
        <v>1697</v>
      </c>
      <c r="O25" s="373" t="s">
        <v>1755</v>
      </c>
      <c r="P25" s="372" t="s">
        <v>1756</v>
      </c>
    </row>
    <row r="26" ht="16.5" spans="1:16">
      <c r="A26" s="468"/>
      <c r="B26" s="299" t="s">
        <v>72</v>
      </c>
      <c r="C26" s="279" t="s">
        <v>73</v>
      </c>
      <c r="D26" s="300"/>
      <c r="E26" s="300"/>
      <c r="F26" s="284" t="s">
        <v>1757</v>
      </c>
      <c r="G26" s="280">
        <v>0.301</v>
      </c>
      <c r="H26" s="280">
        <v>2</v>
      </c>
      <c r="I26" s="284"/>
      <c r="J26" s="284"/>
      <c r="K26" s="487">
        <v>58</v>
      </c>
      <c r="L26" s="487">
        <v>22</v>
      </c>
      <c r="M26" s="502"/>
      <c r="N26" s="376"/>
      <c r="O26" s="376"/>
      <c r="P26" s="375"/>
    </row>
    <row r="27" ht="16.5" spans="1:16">
      <c r="A27" s="468"/>
      <c r="B27" s="299" t="s">
        <v>72</v>
      </c>
      <c r="C27" s="279" t="s">
        <v>73</v>
      </c>
      <c r="D27" s="300"/>
      <c r="E27" s="300"/>
      <c r="F27" s="298" t="s">
        <v>1758</v>
      </c>
      <c r="G27" s="280">
        <v>2.001</v>
      </c>
      <c r="H27" s="280">
        <v>3</v>
      </c>
      <c r="I27" s="298"/>
      <c r="J27" s="298"/>
      <c r="K27" s="487">
        <v>58</v>
      </c>
      <c r="L27" s="487">
        <v>22</v>
      </c>
      <c r="M27" s="502"/>
      <c r="N27" s="376"/>
      <c r="O27" s="376"/>
      <c r="P27" s="375"/>
    </row>
    <row r="28" ht="16.5" spans="1:16">
      <c r="A28" s="468"/>
      <c r="B28" s="301" t="s">
        <v>72</v>
      </c>
      <c r="C28" s="279" t="s">
        <v>73</v>
      </c>
      <c r="D28" s="302"/>
      <c r="E28" s="302"/>
      <c r="F28" s="298" t="s">
        <v>1759</v>
      </c>
      <c r="G28" s="280">
        <v>3.001</v>
      </c>
      <c r="H28" s="280">
        <v>30</v>
      </c>
      <c r="I28" s="298"/>
      <c r="J28" s="298"/>
      <c r="K28" s="487">
        <v>63</v>
      </c>
      <c r="L28" s="487">
        <v>22</v>
      </c>
      <c r="M28" s="502"/>
      <c r="N28" s="376"/>
      <c r="O28" s="376"/>
      <c r="P28" s="375"/>
    </row>
    <row r="29" ht="16.5" spans="1:16">
      <c r="A29" s="468"/>
      <c r="B29" s="297" t="s">
        <v>28</v>
      </c>
      <c r="C29" s="279" t="s">
        <v>29</v>
      </c>
      <c r="D29" s="294" t="s">
        <v>1852</v>
      </c>
      <c r="E29" s="294" t="s">
        <v>1695</v>
      </c>
      <c r="F29" s="481" t="s">
        <v>1621</v>
      </c>
      <c r="G29" s="280">
        <v>0</v>
      </c>
      <c r="H29" s="280">
        <v>0.2</v>
      </c>
      <c r="I29" s="284"/>
      <c r="J29" s="284"/>
      <c r="K29" s="487">
        <v>76</v>
      </c>
      <c r="L29" s="487">
        <v>18</v>
      </c>
      <c r="M29" s="503" t="s">
        <v>1761</v>
      </c>
      <c r="N29" s="504" t="s">
        <v>1762</v>
      </c>
      <c r="O29" s="379" t="s">
        <v>1755</v>
      </c>
      <c r="P29" s="380" t="s">
        <v>1763</v>
      </c>
    </row>
    <row r="30" ht="16.5" spans="1:16">
      <c r="A30" s="468"/>
      <c r="B30" s="303" t="s">
        <v>28</v>
      </c>
      <c r="C30" s="279" t="s">
        <v>29</v>
      </c>
      <c r="D30" s="296"/>
      <c r="E30" s="296"/>
      <c r="F30" s="481" t="s">
        <v>1716</v>
      </c>
      <c r="G30" s="280">
        <v>0.201</v>
      </c>
      <c r="H30" s="280">
        <v>0.5</v>
      </c>
      <c r="I30" s="284"/>
      <c r="J30" s="284"/>
      <c r="K30" s="487">
        <v>74</v>
      </c>
      <c r="L30" s="487">
        <v>19</v>
      </c>
      <c r="M30" s="505"/>
      <c r="N30" s="506"/>
      <c r="O30" s="381"/>
      <c r="P30" s="382"/>
    </row>
    <row r="31" ht="16.5" spans="1:16">
      <c r="A31" s="468"/>
      <c r="B31" s="290"/>
      <c r="C31" s="279" t="s">
        <v>29</v>
      </c>
      <c r="D31" s="308"/>
      <c r="E31" s="291"/>
      <c r="F31" s="481" t="s">
        <v>1855</v>
      </c>
      <c r="G31" s="280">
        <v>0.501</v>
      </c>
      <c r="H31" s="280">
        <v>30</v>
      </c>
      <c r="I31" s="284"/>
      <c r="J31" s="284"/>
      <c r="K31" s="487">
        <v>72</v>
      </c>
      <c r="L31" s="487">
        <v>23</v>
      </c>
      <c r="M31" s="507"/>
      <c r="N31" s="508"/>
      <c r="O31" s="381"/>
      <c r="P31" s="500"/>
    </row>
    <row r="32" ht="132" spans="1:16">
      <c r="A32" s="468"/>
      <c r="B32" s="279" t="s">
        <v>42</v>
      </c>
      <c r="C32" s="279" t="s">
        <v>43</v>
      </c>
      <c r="D32" s="279" t="s">
        <v>1852</v>
      </c>
      <c r="E32" s="279" t="s">
        <v>1695</v>
      </c>
      <c r="F32" s="284" t="s">
        <v>1765</v>
      </c>
      <c r="G32" s="280">
        <v>0</v>
      </c>
      <c r="H32" s="280">
        <v>20</v>
      </c>
      <c r="I32" s="284"/>
      <c r="J32" s="284"/>
      <c r="K32" s="389">
        <v>82</v>
      </c>
      <c r="L32" s="362">
        <v>23</v>
      </c>
      <c r="M32" s="509" t="s">
        <v>1766</v>
      </c>
      <c r="N32" s="404" t="s">
        <v>1697</v>
      </c>
      <c r="O32" s="405" t="s">
        <v>1755</v>
      </c>
      <c r="P32" s="368"/>
    </row>
    <row r="33" ht="16.5" spans="1:16">
      <c r="A33" s="278" t="s">
        <v>1767</v>
      </c>
      <c r="B33" s="277" t="s">
        <v>90</v>
      </c>
      <c r="C33" s="279" t="s">
        <v>91</v>
      </c>
      <c r="D33" s="278" t="s">
        <v>1852</v>
      </c>
      <c r="E33" s="278" t="s">
        <v>1695</v>
      </c>
      <c r="F33" s="279" t="s">
        <v>1562</v>
      </c>
      <c r="G33" s="280">
        <v>0</v>
      </c>
      <c r="H33" s="280">
        <v>0.3</v>
      </c>
      <c r="I33" s="279"/>
      <c r="J33" s="279"/>
      <c r="K33" s="487">
        <v>20</v>
      </c>
      <c r="L33" s="487">
        <v>23</v>
      </c>
      <c r="M33" s="510" t="s">
        <v>1768</v>
      </c>
      <c r="N33" s="511" t="s">
        <v>1697</v>
      </c>
      <c r="O33" s="512" t="s">
        <v>1769</v>
      </c>
      <c r="P33" s="512" t="s">
        <v>1697</v>
      </c>
    </row>
    <row r="34" ht="16.5" spans="1:16">
      <c r="A34" s="283"/>
      <c r="B34" s="282" t="s">
        <v>90</v>
      </c>
      <c r="C34" s="279" t="s">
        <v>91</v>
      </c>
      <c r="D34" s="283"/>
      <c r="E34" s="283"/>
      <c r="F34" s="279" t="s">
        <v>1706</v>
      </c>
      <c r="G34" s="280">
        <v>0.301</v>
      </c>
      <c r="H34" s="280">
        <v>0.5</v>
      </c>
      <c r="I34" s="279"/>
      <c r="J34" s="279"/>
      <c r="K34" s="487">
        <v>20</v>
      </c>
      <c r="L34" s="487">
        <v>24</v>
      </c>
      <c r="M34" s="513"/>
      <c r="N34" s="514"/>
      <c r="O34" s="515"/>
      <c r="P34" s="515"/>
    </row>
    <row r="35" ht="16.5" spans="1:16">
      <c r="A35" s="283"/>
      <c r="B35" s="282" t="s">
        <v>90</v>
      </c>
      <c r="C35" s="279" t="s">
        <v>91</v>
      </c>
      <c r="D35" s="283"/>
      <c r="E35" s="283"/>
      <c r="F35" s="279" t="s">
        <v>1717</v>
      </c>
      <c r="G35" s="280">
        <v>0.501</v>
      </c>
      <c r="H35" s="280">
        <v>1</v>
      </c>
      <c r="I35" s="279"/>
      <c r="J35" s="279"/>
      <c r="K35" s="487">
        <v>20</v>
      </c>
      <c r="L35" s="487">
        <v>24</v>
      </c>
      <c r="M35" s="513"/>
      <c r="N35" s="514"/>
      <c r="O35" s="515"/>
      <c r="P35" s="515"/>
    </row>
    <row r="36" ht="16.5" spans="1:16">
      <c r="A36" s="283"/>
      <c r="B36" s="282" t="s">
        <v>90</v>
      </c>
      <c r="C36" s="279" t="s">
        <v>91</v>
      </c>
      <c r="D36" s="283"/>
      <c r="E36" s="283"/>
      <c r="F36" s="279" t="s">
        <v>1704</v>
      </c>
      <c r="G36" s="280">
        <v>1.001</v>
      </c>
      <c r="H36" s="280">
        <v>2</v>
      </c>
      <c r="I36" s="279"/>
      <c r="J36" s="279"/>
      <c r="K36" s="487">
        <v>20</v>
      </c>
      <c r="L36" s="487">
        <v>28</v>
      </c>
      <c r="M36" s="513"/>
      <c r="N36" s="514"/>
      <c r="O36" s="515"/>
      <c r="P36" s="515"/>
    </row>
    <row r="37" ht="16.5" spans="1:16">
      <c r="A37" s="286"/>
      <c r="B37" s="285" t="s">
        <v>90</v>
      </c>
      <c r="C37" s="279" t="s">
        <v>91</v>
      </c>
      <c r="D37" s="286"/>
      <c r="E37" s="286"/>
      <c r="F37" s="279" t="s">
        <v>1770</v>
      </c>
      <c r="G37" s="280">
        <v>2.001</v>
      </c>
      <c r="H37" s="280">
        <v>20</v>
      </c>
      <c r="I37" s="279"/>
      <c r="J37" s="279"/>
      <c r="K37" s="487">
        <v>23</v>
      </c>
      <c r="L37" s="487">
        <v>28</v>
      </c>
      <c r="M37" s="516"/>
      <c r="N37" s="517"/>
      <c r="O37" s="518"/>
      <c r="P37" s="518"/>
    </row>
    <row r="38" ht="16.5" spans="1:16">
      <c r="A38" s="468"/>
      <c r="B38" s="468" t="s">
        <v>106</v>
      </c>
      <c r="C38" s="468" t="s">
        <v>107</v>
      </c>
      <c r="D38" s="468" t="s">
        <v>1852</v>
      </c>
      <c r="E38" s="468" t="s">
        <v>1695</v>
      </c>
      <c r="F38" s="279" t="s">
        <v>1562</v>
      </c>
      <c r="G38" s="279">
        <v>0</v>
      </c>
      <c r="H38" s="279">
        <v>0.3</v>
      </c>
      <c r="I38" s="279"/>
      <c r="J38" s="279"/>
      <c r="K38" s="487">
        <v>89</v>
      </c>
      <c r="L38" s="487">
        <v>19</v>
      </c>
      <c r="M38" s="507"/>
      <c r="N38" s="386"/>
      <c r="O38" s="385"/>
      <c r="P38" s="519"/>
    </row>
    <row r="39" ht="16.5" spans="1:16">
      <c r="A39" s="468"/>
      <c r="B39" s="468" t="s">
        <v>106</v>
      </c>
      <c r="C39" s="468" t="s">
        <v>107</v>
      </c>
      <c r="D39" s="468"/>
      <c r="E39" s="468"/>
      <c r="F39" s="279" t="s">
        <v>1772</v>
      </c>
      <c r="G39" s="279">
        <v>0.3</v>
      </c>
      <c r="H39" s="279">
        <v>0.5</v>
      </c>
      <c r="I39" s="279"/>
      <c r="J39" s="279"/>
      <c r="K39" s="487">
        <v>89</v>
      </c>
      <c r="L39" s="487">
        <v>19</v>
      </c>
      <c r="M39" s="507"/>
      <c r="N39" s="386"/>
      <c r="O39" s="385"/>
      <c r="P39" s="519"/>
    </row>
    <row r="40" ht="16.5" spans="1:16">
      <c r="A40" s="468"/>
      <c r="B40" s="468" t="s">
        <v>106</v>
      </c>
      <c r="C40" s="468" t="s">
        <v>107</v>
      </c>
      <c r="D40" s="468"/>
      <c r="E40" s="468"/>
      <c r="F40" s="279" t="s">
        <v>1773</v>
      </c>
      <c r="G40" s="279">
        <v>0.5</v>
      </c>
      <c r="H40" s="279">
        <v>1</v>
      </c>
      <c r="I40" s="279"/>
      <c r="J40" s="279"/>
      <c r="K40" s="487">
        <v>89</v>
      </c>
      <c r="L40" s="487">
        <v>19</v>
      </c>
      <c r="M40" s="507"/>
      <c r="N40" s="386"/>
      <c r="O40" s="385"/>
      <c r="P40" s="519"/>
    </row>
    <row r="41" ht="16.5" spans="1:16">
      <c r="A41" s="468"/>
      <c r="B41" s="468" t="s">
        <v>106</v>
      </c>
      <c r="C41" s="468" t="s">
        <v>107</v>
      </c>
      <c r="D41" s="468"/>
      <c r="E41" s="468"/>
      <c r="F41" s="279" t="s">
        <v>1774</v>
      </c>
      <c r="G41" s="279">
        <v>1</v>
      </c>
      <c r="H41" s="279">
        <v>2</v>
      </c>
      <c r="I41" s="279"/>
      <c r="J41" s="279"/>
      <c r="K41" s="487">
        <v>89</v>
      </c>
      <c r="L41" s="487">
        <v>19</v>
      </c>
      <c r="M41" s="505"/>
      <c r="N41" s="386"/>
      <c r="O41" s="385"/>
      <c r="P41" s="519"/>
    </row>
  </sheetData>
  <sheetProtection formatCells="0" formatColumns="0" formatRows="0" insertRows="0" insertColumns="0" insertHyperlinks="0" deleteColumns="0" deleteRows="0" sort="0" autoFilter="0" pivotTables="0"/>
  <autoFilter xmlns:etc="http://www.wps.cn/officeDocument/2017/etCustomData" ref="A3:P41" etc:filterBottomFollowUsedRange="0">
    <extLst/>
  </autoFilter>
  <mergeCells count="62">
    <mergeCell ref="K2:L2"/>
    <mergeCell ref="A2:A3"/>
    <mergeCell ref="A4:A22"/>
    <mergeCell ref="A23:A32"/>
    <mergeCell ref="A33:A37"/>
    <mergeCell ref="A38:A41"/>
    <mergeCell ref="B2:B3"/>
    <mergeCell ref="D2:D3"/>
    <mergeCell ref="D4:D11"/>
    <mergeCell ref="D12:D16"/>
    <mergeCell ref="D17:D22"/>
    <mergeCell ref="D23:D24"/>
    <mergeCell ref="D25:D28"/>
    <mergeCell ref="D29:D30"/>
    <mergeCell ref="D33:D37"/>
    <mergeCell ref="D38:D41"/>
    <mergeCell ref="E2:E3"/>
    <mergeCell ref="E4:E11"/>
    <mergeCell ref="E12:E16"/>
    <mergeCell ref="E17:E22"/>
    <mergeCell ref="E23:E24"/>
    <mergeCell ref="E25:E28"/>
    <mergeCell ref="E29:E30"/>
    <mergeCell ref="E33:E37"/>
    <mergeCell ref="E38:E41"/>
    <mergeCell ref="F2:F3"/>
    <mergeCell ref="M2:M3"/>
    <mergeCell ref="M4:M11"/>
    <mergeCell ref="M12:M16"/>
    <mergeCell ref="M17:M22"/>
    <mergeCell ref="M23:M24"/>
    <mergeCell ref="M25:M28"/>
    <mergeCell ref="M29:M30"/>
    <mergeCell ref="M33:M37"/>
    <mergeCell ref="M38:M41"/>
    <mergeCell ref="N2:N3"/>
    <mergeCell ref="N4:N11"/>
    <mergeCell ref="N12:N16"/>
    <mergeCell ref="N17:N22"/>
    <mergeCell ref="N23:N24"/>
    <mergeCell ref="N25:N28"/>
    <mergeCell ref="N29:N30"/>
    <mergeCell ref="N33:N37"/>
    <mergeCell ref="N38:N41"/>
    <mergeCell ref="O2:O3"/>
    <mergeCell ref="O4:O11"/>
    <mergeCell ref="O12:O16"/>
    <mergeCell ref="O17:O22"/>
    <mergeCell ref="O23:O24"/>
    <mergeCell ref="O25:O28"/>
    <mergeCell ref="O29:O30"/>
    <mergeCell ref="O33:O37"/>
    <mergeCell ref="O38:O41"/>
    <mergeCell ref="P2:P3"/>
    <mergeCell ref="P4:P11"/>
    <mergeCell ref="P12:P16"/>
    <mergeCell ref="P17:P22"/>
    <mergeCell ref="P23:P24"/>
    <mergeCell ref="P25:P28"/>
    <mergeCell ref="P29:P30"/>
    <mergeCell ref="P33:P37"/>
    <mergeCell ref="P38:P41"/>
  </mergeCells>
  <hyperlinks>
    <hyperlink ref="P23" location="'分区&amp;无服务邮编表'!F3:H3" display="无服务邮编&#10;详见 【分区&amp;无服务邮编表】"/>
    <hyperlink ref="P23:P24" location="'分区&amp;无服务邮编表'!A:C" display="无服务邮编&#10;详见 【分区&amp;无服务邮编表】"/>
    <hyperlink ref="P1" location="'价格表目录'!A1" display="返回目录"/>
    <hyperlink ref="P17" location="禁运物品清单!A1" display="【禁运物品清单】"/>
    <hyperlink ref="P38:P41" location="'分区&amp;无服务邮编表'!BE4"/>
  </hyperlink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39"/>
  <sheetViews>
    <sheetView workbookViewId="0">
      <selection activeCell="J14" sqref="J14"/>
    </sheetView>
  </sheetViews>
  <sheetFormatPr defaultColWidth="8.725" defaultRowHeight="13.5"/>
  <cols>
    <col min="6" max="6" width="11.0916666666667" customWidth="1"/>
  </cols>
  <sheetData>
    <row r="1" ht="16.5" spans="1:16">
      <c r="A1" s="266"/>
      <c r="B1" s="266"/>
      <c r="C1" s="266"/>
      <c r="D1" s="266"/>
      <c r="E1" s="266"/>
      <c r="F1" s="267"/>
      <c r="G1" s="267"/>
      <c r="H1" s="267"/>
      <c r="I1" s="267"/>
      <c r="J1" s="267"/>
      <c r="K1" s="267"/>
      <c r="L1" s="326"/>
      <c r="M1" s="326"/>
      <c r="N1" s="326"/>
      <c r="O1" s="327" t="s">
        <v>1731</v>
      </c>
      <c r="P1" s="328" t="s">
        <v>660</v>
      </c>
    </row>
    <row r="2" ht="16.5" spans="1:16">
      <c r="A2" s="268" t="s">
        <v>1732</v>
      </c>
      <c r="B2" s="269" t="s">
        <v>1683</v>
      </c>
      <c r="C2" s="269"/>
      <c r="D2" s="269" t="s">
        <v>1684</v>
      </c>
      <c r="E2" s="269" t="s">
        <v>1685</v>
      </c>
      <c r="F2" s="270" t="s">
        <v>1544</v>
      </c>
      <c r="G2" s="271"/>
      <c r="H2" s="271"/>
      <c r="I2" s="271"/>
      <c r="J2" s="329"/>
      <c r="K2" s="330" t="s">
        <v>1686</v>
      </c>
      <c r="L2" s="331"/>
      <c r="M2" s="332" t="s">
        <v>1687</v>
      </c>
      <c r="N2" s="332" t="s">
        <v>1688</v>
      </c>
      <c r="O2" s="333" t="s">
        <v>1689</v>
      </c>
      <c r="P2" s="334" t="s">
        <v>1690</v>
      </c>
    </row>
    <row r="3" ht="33" spans="1:16">
      <c r="A3" s="272"/>
      <c r="B3" s="273"/>
      <c r="C3" s="273"/>
      <c r="D3" s="273"/>
      <c r="E3" s="273"/>
      <c r="F3" s="274"/>
      <c r="G3" s="275" t="s">
        <v>1545</v>
      </c>
      <c r="H3" s="275" t="s">
        <v>1546</v>
      </c>
      <c r="I3" s="274"/>
      <c r="J3" s="335"/>
      <c r="K3" s="336" t="s">
        <v>1691</v>
      </c>
      <c r="L3" s="336" t="s">
        <v>1692</v>
      </c>
      <c r="M3" s="275"/>
      <c r="N3" s="337"/>
      <c r="O3" s="273"/>
      <c r="P3" s="338"/>
    </row>
    <row r="4" ht="16.5" spans="1:16">
      <c r="A4" s="276" t="s">
        <v>1693</v>
      </c>
      <c r="B4" s="277" t="s">
        <v>24</v>
      </c>
      <c r="C4" s="278" t="s">
        <v>25</v>
      </c>
      <c r="D4" s="278" t="s">
        <v>1856</v>
      </c>
      <c r="E4" s="278" t="s">
        <v>1695</v>
      </c>
      <c r="F4" s="279" t="s">
        <v>1569</v>
      </c>
      <c r="G4" s="280">
        <v>0</v>
      </c>
      <c r="H4" s="280">
        <v>0.1</v>
      </c>
      <c r="I4" s="279"/>
      <c r="J4" s="339"/>
      <c r="K4" s="340">
        <v>128</v>
      </c>
      <c r="L4" s="341">
        <v>20</v>
      </c>
      <c r="M4" s="342" t="s">
        <v>1734</v>
      </c>
      <c r="N4" s="343" t="s">
        <v>1857</v>
      </c>
      <c r="O4" s="344" t="s">
        <v>1552</v>
      </c>
      <c r="P4" s="345" t="s">
        <v>1858</v>
      </c>
    </row>
    <row r="5" ht="16.5" spans="1:16">
      <c r="A5" s="281"/>
      <c r="B5" s="282" t="s">
        <v>24</v>
      </c>
      <c r="C5" s="278" t="s">
        <v>25</v>
      </c>
      <c r="D5" s="283"/>
      <c r="E5" s="283"/>
      <c r="F5" s="279" t="s">
        <v>1700</v>
      </c>
      <c r="G5" s="280">
        <v>0.101</v>
      </c>
      <c r="H5" s="280">
        <v>0.2</v>
      </c>
      <c r="I5" s="279"/>
      <c r="J5" s="339"/>
      <c r="K5" s="340">
        <v>123</v>
      </c>
      <c r="L5" s="346">
        <v>18</v>
      </c>
      <c r="M5" s="347"/>
      <c r="N5" s="348"/>
      <c r="O5" s="349"/>
      <c r="P5" s="350"/>
    </row>
    <row r="6" ht="16.5" spans="1:16">
      <c r="A6" s="281"/>
      <c r="B6" s="282" t="s">
        <v>24</v>
      </c>
      <c r="C6" s="278" t="s">
        <v>25</v>
      </c>
      <c r="D6" s="283"/>
      <c r="E6" s="283"/>
      <c r="F6" s="279" t="s">
        <v>1701</v>
      </c>
      <c r="G6" s="280">
        <v>0.201</v>
      </c>
      <c r="H6" s="280">
        <v>0.45</v>
      </c>
      <c r="I6" s="279"/>
      <c r="J6" s="339"/>
      <c r="K6" s="340">
        <v>117</v>
      </c>
      <c r="L6" s="346">
        <v>16</v>
      </c>
      <c r="M6" s="347"/>
      <c r="N6" s="348"/>
      <c r="O6" s="349"/>
      <c r="P6" s="350"/>
    </row>
    <row r="7" ht="16.5" spans="1:16">
      <c r="A7" s="281"/>
      <c r="B7" s="282" t="s">
        <v>24</v>
      </c>
      <c r="C7" s="278" t="s">
        <v>25</v>
      </c>
      <c r="D7" s="283"/>
      <c r="E7" s="283"/>
      <c r="F7" s="279" t="s">
        <v>1702</v>
      </c>
      <c r="G7" s="280">
        <v>0.451</v>
      </c>
      <c r="H7" s="280">
        <v>0.7</v>
      </c>
      <c r="I7" s="279"/>
      <c r="J7" s="339"/>
      <c r="K7" s="340">
        <v>115</v>
      </c>
      <c r="L7" s="346">
        <v>16</v>
      </c>
      <c r="M7" s="347"/>
      <c r="N7" s="348"/>
      <c r="O7" s="349"/>
      <c r="P7" s="350"/>
    </row>
    <row r="8" ht="16.5" spans="1:16">
      <c r="A8" s="281"/>
      <c r="B8" s="282" t="s">
        <v>24</v>
      </c>
      <c r="C8" s="278" t="s">
        <v>25</v>
      </c>
      <c r="D8" s="283"/>
      <c r="E8" s="283"/>
      <c r="F8" s="279" t="s">
        <v>1703</v>
      </c>
      <c r="G8" s="280">
        <v>0.701</v>
      </c>
      <c r="H8" s="280">
        <v>1</v>
      </c>
      <c r="I8" s="279"/>
      <c r="J8" s="339"/>
      <c r="K8" s="340">
        <v>115</v>
      </c>
      <c r="L8" s="346">
        <v>9</v>
      </c>
      <c r="M8" s="347"/>
      <c r="N8" s="348"/>
      <c r="O8" s="349"/>
      <c r="P8" s="350"/>
    </row>
    <row r="9" ht="16.5" spans="1:16">
      <c r="A9" s="281"/>
      <c r="B9" s="282" t="s">
        <v>24</v>
      </c>
      <c r="C9" s="278" t="s">
        <v>25</v>
      </c>
      <c r="D9" s="283"/>
      <c r="E9" s="283"/>
      <c r="F9" s="279" t="s">
        <v>1737</v>
      </c>
      <c r="G9" s="280">
        <v>1.001</v>
      </c>
      <c r="H9" s="280">
        <v>3</v>
      </c>
      <c r="I9" s="279"/>
      <c r="J9" s="339"/>
      <c r="K9" s="340">
        <v>115</v>
      </c>
      <c r="L9" s="346">
        <v>9</v>
      </c>
      <c r="M9" s="347"/>
      <c r="N9" s="348"/>
      <c r="O9" s="349"/>
      <c r="P9" s="350"/>
    </row>
    <row r="10" ht="16.5" spans="1:16">
      <c r="A10" s="281"/>
      <c r="B10" s="282" t="s">
        <v>24</v>
      </c>
      <c r="C10" s="278" t="s">
        <v>25</v>
      </c>
      <c r="D10" s="283"/>
      <c r="E10" s="283"/>
      <c r="F10" s="284" t="s">
        <v>1738</v>
      </c>
      <c r="G10" s="280">
        <v>3.001</v>
      </c>
      <c r="H10" s="280">
        <v>6</v>
      </c>
      <c r="I10" s="284"/>
      <c r="J10" s="339"/>
      <c r="K10" s="340">
        <v>115</v>
      </c>
      <c r="L10" s="346">
        <v>9</v>
      </c>
      <c r="M10" s="347"/>
      <c r="N10" s="348"/>
      <c r="O10" s="349"/>
      <c r="P10" s="350"/>
    </row>
    <row r="11" ht="16.5" spans="1:16">
      <c r="A11" s="281"/>
      <c r="B11" s="285" t="s">
        <v>24</v>
      </c>
      <c r="C11" s="278" t="s">
        <v>25</v>
      </c>
      <c r="D11" s="286"/>
      <c r="E11" s="286"/>
      <c r="F11" s="284" t="s">
        <v>1739</v>
      </c>
      <c r="G11" s="280">
        <v>6.001</v>
      </c>
      <c r="H11" s="280">
        <v>30</v>
      </c>
      <c r="I11" s="284"/>
      <c r="J11" s="339"/>
      <c r="K11" s="340">
        <v>115</v>
      </c>
      <c r="L11" s="346">
        <v>9</v>
      </c>
      <c r="M11" s="347"/>
      <c r="N11" s="348"/>
      <c r="O11" s="349"/>
      <c r="P11" s="351"/>
    </row>
    <row r="12" ht="16.5" spans="1:16">
      <c r="A12" s="281"/>
      <c r="B12" s="287" t="s">
        <v>78</v>
      </c>
      <c r="C12" s="278" t="s">
        <v>79</v>
      </c>
      <c r="D12" s="276" t="s">
        <v>1856</v>
      </c>
      <c r="E12" s="276" t="s">
        <v>1695</v>
      </c>
      <c r="F12" s="284" t="s">
        <v>1562</v>
      </c>
      <c r="G12" s="280">
        <v>0</v>
      </c>
      <c r="H12" s="280">
        <v>0.3</v>
      </c>
      <c r="I12" s="284"/>
      <c r="J12" s="352"/>
      <c r="K12" s="346">
        <v>85</v>
      </c>
      <c r="L12" s="346">
        <v>19</v>
      </c>
      <c r="M12" s="353" t="s">
        <v>1859</v>
      </c>
      <c r="N12" s="354" t="s">
        <v>1697</v>
      </c>
      <c r="O12" s="355" t="s">
        <v>1553</v>
      </c>
      <c r="P12" s="356" t="s">
        <v>1697</v>
      </c>
    </row>
    <row r="13" ht="16.5" spans="1:16">
      <c r="A13" s="281"/>
      <c r="B13" s="288" t="s">
        <v>78</v>
      </c>
      <c r="C13" s="278" t="s">
        <v>79</v>
      </c>
      <c r="D13" s="289"/>
      <c r="E13" s="289"/>
      <c r="F13" s="284" t="s">
        <v>1706</v>
      </c>
      <c r="G13" s="280">
        <v>0.301</v>
      </c>
      <c r="H13" s="280">
        <v>0.5</v>
      </c>
      <c r="I13" s="284"/>
      <c r="J13" s="352"/>
      <c r="K13" s="346">
        <v>85</v>
      </c>
      <c r="L13" s="346">
        <v>19</v>
      </c>
      <c r="M13" s="357"/>
      <c r="N13" s="283"/>
      <c r="O13" s="283"/>
      <c r="P13" s="357"/>
    </row>
    <row r="14" ht="16.5" spans="1:16">
      <c r="A14" s="281"/>
      <c r="B14" s="288" t="s">
        <v>78</v>
      </c>
      <c r="C14" s="278" t="s">
        <v>79</v>
      </c>
      <c r="D14" s="289"/>
      <c r="E14" s="289"/>
      <c r="F14" s="284" t="s">
        <v>1742</v>
      </c>
      <c r="G14" s="280">
        <v>0.501</v>
      </c>
      <c r="H14" s="280">
        <v>1.5</v>
      </c>
      <c r="I14" s="284"/>
      <c r="J14" s="352"/>
      <c r="K14" s="346">
        <v>91</v>
      </c>
      <c r="L14" s="346">
        <v>20</v>
      </c>
      <c r="M14" s="357"/>
      <c r="N14" s="283"/>
      <c r="O14" s="283"/>
      <c r="P14" s="357"/>
    </row>
    <row r="15" ht="16.5" spans="1:16">
      <c r="A15" s="281"/>
      <c r="B15" s="288" t="s">
        <v>78</v>
      </c>
      <c r="C15" s="278" t="s">
        <v>79</v>
      </c>
      <c r="D15" s="289"/>
      <c r="E15" s="289"/>
      <c r="F15" s="284" t="s">
        <v>1719</v>
      </c>
      <c r="G15" s="280">
        <v>1.501</v>
      </c>
      <c r="H15" s="280">
        <v>2</v>
      </c>
      <c r="I15" s="284"/>
      <c r="J15" s="352"/>
      <c r="K15" s="346">
        <v>91</v>
      </c>
      <c r="L15" s="346">
        <v>22</v>
      </c>
      <c r="M15" s="357"/>
      <c r="N15" s="283"/>
      <c r="O15" s="283"/>
      <c r="P15" s="357"/>
    </row>
    <row r="16" ht="16.5" spans="1:16">
      <c r="A16" s="281"/>
      <c r="B16" s="290" t="s">
        <v>78</v>
      </c>
      <c r="C16" s="278" t="s">
        <v>79</v>
      </c>
      <c r="D16" s="291"/>
      <c r="E16" s="291"/>
      <c r="F16" s="284" t="s">
        <v>1743</v>
      </c>
      <c r="G16" s="280">
        <v>2.001</v>
      </c>
      <c r="H16" s="280">
        <v>30</v>
      </c>
      <c r="I16" s="284"/>
      <c r="J16" s="352"/>
      <c r="K16" s="346">
        <v>95</v>
      </c>
      <c r="L16" s="346">
        <v>23</v>
      </c>
      <c r="M16" s="358"/>
      <c r="N16" s="286"/>
      <c r="O16" s="286"/>
      <c r="P16" s="358"/>
    </row>
    <row r="17" ht="16.5" spans="1:16">
      <c r="A17" s="281"/>
      <c r="B17" s="287" t="s">
        <v>94</v>
      </c>
      <c r="C17" s="278" t="s">
        <v>95</v>
      </c>
      <c r="D17" s="276" t="s">
        <v>1856</v>
      </c>
      <c r="E17" s="276" t="s">
        <v>1695</v>
      </c>
      <c r="F17" s="284" t="s">
        <v>1744</v>
      </c>
      <c r="G17" s="280">
        <v>0</v>
      </c>
      <c r="H17" s="280">
        <v>0.25</v>
      </c>
      <c r="I17" s="284"/>
      <c r="J17" s="352"/>
      <c r="K17" s="346">
        <v>78</v>
      </c>
      <c r="L17" s="346">
        <v>18</v>
      </c>
      <c r="M17" s="353" t="s">
        <v>1860</v>
      </c>
      <c r="N17" s="354" t="s">
        <v>1697</v>
      </c>
      <c r="O17" s="355" t="s">
        <v>1861</v>
      </c>
      <c r="P17" s="359" t="s">
        <v>1747</v>
      </c>
    </row>
    <row r="18" ht="16.5" spans="1:16">
      <c r="A18" s="281"/>
      <c r="B18" s="288" t="s">
        <v>94</v>
      </c>
      <c r="C18" s="278" t="s">
        <v>95</v>
      </c>
      <c r="D18" s="289"/>
      <c r="E18" s="289"/>
      <c r="F18" s="284" t="s">
        <v>1748</v>
      </c>
      <c r="G18" s="280">
        <v>0.251</v>
      </c>
      <c r="H18" s="280">
        <v>0.5</v>
      </c>
      <c r="I18" s="284"/>
      <c r="J18" s="352"/>
      <c r="K18" s="346">
        <v>78</v>
      </c>
      <c r="L18" s="346">
        <v>18</v>
      </c>
      <c r="M18" s="357"/>
      <c r="N18" s="283"/>
      <c r="O18" s="283"/>
      <c r="P18" s="360"/>
    </row>
    <row r="19" ht="16.5" spans="1:16">
      <c r="A19" s="281"/>
      <c r="B19" s="288" t="s">
        <v>94</v>
      </c>
      <c r="C19" s="278" t="s">
        <v>95</v>
      </c>
      <c r="D19" s="289"/>
      <c r="E19" s="289"/>
      <c r="F19" s="284" t="s">
        <v>1717</v>
      </c>
      <c r="G19" s="280">
        <v>0.501</v>
      </c>
      <c r="H19" s="280">
        <v>1</v>
      </c>
      <c r="I19" s="284"/>
      <c r="J19" s="352"/>
      <c r="K19" s="346">
        <v>78</v>
      </c>
      <c r="L19" s="346">
        <v>18</v>
      </c>
      <c r="M19" s="357"/>
      <c r="N19" s="283"/>
      <c r="O19" s="283"/>
      <c r="P19" s="360"/>
    </row>
    <row r="20" ht="16.5" spans="1:16">
      <c r="A20" s="281"/>
      <c r="B20" s="288" t="s">
        <v>94</v>
      </c>
      <c r="C20" s="278" t="s">
        <v>95</v>
      </c>
      <c r="D20" s="289"/>
      <c r="E20" s="289"/>
      <c r="F20" s="284" t="s">
        <v>1749</v>
      </c>
      <c r="G20" s="280">
        <v>1.001</v>
      </c>
      <c r="H20" s="280">
        <v>1.5</v>
      </c>
      <c r="I20" s="284"/>
      <c r="J20" s="352"/>
      <c r="K20" s="346">
        <v>85</v>
      </c>
      <c r="L20" s="346">
        <v>20</v>
      </c>
      <c r="M20" s="357"/>
      <c r="N20" s="283"/>
      <c r="O20" s="283"/>
      <c r="P20" s="360"/>
    </row>
    <row r="21" ht="16.5" spans="1:16">
      <c r="A21" s="281"/>
      <c r="B21" s="288" t="s">
        <v>94</v>
      </c>
      <c r="C21" s="278" t="s">
        <v>95</v>
      </c>
      <c r="D21" s="289"/>
      <c r="E21" s="289"/>
      <c r="F21" s="284" t="s">
        <v>1719</v>
      </c>
      <c r="G21" s="280">
        <v>1.501</v>
      </c>
      <c r="H21" s="280">
        <v>2</v>
      </c>
      <c r="I21" s="284"/>
      <c r="J21" s="352"/>
      <c r="K21" s="346">
        <v>85</v>
      </c>
      <c r="L21" s="346">
        <v>20</v>
      </c>
      <c r="M21" s="357"/>
      <c r="N21" s="283"/>
      <c r="O21" s="283"/>
      <c r="P21" s="360"/>
    </row>
    <row r="22" ht="16.5" spans="1:16">
      <c r="A22" s="281"/>
      <c r="B22" s="290" t="s">
        <v>94</v>
      </c>
      <c r="C22" s="278" t="s">
        <v>95</v>
      </c>
      <c r="D22" s="291"/>
      <c r="E22" s="291"/>
      <c r="F22" s="284" t="s">
        <v>1561</v>
      </c>
      <c r="G22" s="280">
        <v>2.001</v>
      </c>
      <c r="H22" s="280">
        <v>10</v>
      </c>
      <c r="I22" s="284"/>
      <c r="J22" s="352"/>
      <c r="K22" s="346">
        <v>85</v>
      </c>
      <c r="L22" s="346">
        <v>20</v>
      </c>
      <c r="M22" s="358"/>
      <c r="N22" s="286"/>
      <c r="O22" s="286"/>
      <c r="P22" s="361"/>
    </row>
    <row r="23" ht="16.5" spans="1:16">
      <c r="A23" s="276" t="s">
        <v>1721</v>
      </c>
      <c r="B23" s="292" t="s">
        <v>26</v>
      </c>
      <c r="C23" s="278" t="s">
        <v>27</v>
      </c>
      <c r="D23" s="293" t="s">
        <v>1856</v>
      </c>
      <c r="E23" s="294" t="s">
        <v>1695</v>
      </c>
      <c r="F23" s="279" t="s">
        <v>1722</v>
      </c>
      <c r="G23" s="280">
        <v>0</v>
      </c>
      <c r="H23" s="280">
        <v>2</v>
      </c>
      <c r="I23" s="279"/>
      <c r="J23" s="362"/>
      <c r="K23" s="346">
        <v>51</v>
      </c>
      <c r="L23" s="346">
        <v>16</v>
      </c>
      <c r="M23" s="363" t="s">
        <v>1750</v>
      </c>
      <c r="N23" s="364" t="s">
        <v>1751</v>
      </c>
      <c r="O23" s="365" t="s">
        <v>1853</v>
      </c>
      <c r="P23" s="366" t="s">
        <v>1752</v>
      </c>
    </row>
    <row r="24" ht="16.5" spans="1:16">
      <c r="A24" s="281"/>
      <c r="B24" s="295" t="s">
        <v>26</v>
      </c>
      <c r="C24" s="278" t="s">
        <v>27</v>
      </c>
      <c r="D24" s="293"/>
      <c r="E24" s="296"/>
      <c r="F24" s="279" t="s">
        <v>1753</v>
      </c>
      <c r="G24" s="280">
        <v>2.001</v>
      </c>
      <c r="H24" s="280">
        <v>15</v>
      </c>
      <c r="I24" s="279"/>
      <c r="J24" s="362"/>
      <c r="K24" s="346">
        <v>54</v>
      </c>
      <c r="L24" s="346">
        <v>16</v>
      </c>
      <c r="M24" s="367"/>
      <c r="N24" s="368"/>
      <c r="O24" s="369"/>
      <c r="P24" s="370"/>
    </row>
    <row r="25" ht="16.5" spans="1:16">
      <c r="A25" s="281"/>
      <c r="B25" s="297" t="s">
        <v>72</v>
      </c>
      <c r="C25" s="278" t="s">
        <v>73</v>
      </c>
      <c r="D25" s="294" t="s">
        <v>1856</v>
      </c>
      <c r="E25" s="294" t="s">
        <v>1695</v>
      </c>
      <c r="F25" s="298" t="s">
        <v>1760</v>
      </c>
      <c r="G25" s="280">
        <v>0</v>
      </c>
      <c r="H25" s="280">
        <v>0.4</v>
      </c>
      <c r="I25" s="298"/>
      <c r="J25" s="371"/>
      <c r="K25" s="346">
        <v>61</v>
      </c>
      <c r="L25" s="346">
        <v>19</v>
      </c>
      <c r="M25" s="372" t="s">
        <v>1862</v>
      </c>
      <c r="N25" s="373" t="s">
        <v>1697</v>
      </c>
      <c r="O25" s="374" t="s">
        <v>1755</v>
      </c>
      <c r="P25" s="372" t="s">
        <v>1756</v>
      </c>
    </row>
    <row r="26" ht="16.5" spans="1:16">
      <c r="A26" s="281"/>
      <c r="B26" s="299" t="s">
        <v>72</v>
      </c>
      <c r="C26" s="278" t="s">
        <v>73</v>
      </c>
      <c r="D26" s="300"/>
      <c r="E26" s="300"/>
      <c r="F26" s="298" t="s">
        <v>1863</v>
      </c>
      <c r="G26" s="280">
        <v>0.401</v>
      </c>
      <c r="H26" s="280">
        <v>2</v>
      </c>
      <c r="I26" s="298"/>
      <c r="J26" s="371"/>
      <c r="K26" s="346">
        <v>56</v>
      </c>
      <c r="L26" s="346">
        <v>22</v>
      </c>
      <c r="M26" s="375"/>
      <c r="N26" s="376"/>
      <c r="O26" s="377"/>
      <c r="P26" s="375"/>
    </row>
    <row r="27" ht="16.5" spans="1:16">
      <c r="A27" s="281"/>
      <c r="B27" s="299" t="s">
        <v>72</v>
      </c>
      <c r="C27" s="278" t="s">
        <v>73</v>
      </c>
      <c r="D27" s="300"/>
      <c r="E27" s="300"/>
      <c r="F27" s="298" t="s">
        <v>1758</v>
      </c>
      <c r="G27" s="280">
        <v>2.001</v>
      </c>
      <c r="H27" s="280">
        <v>3</v>
      </c>
      <c r="I27" s="298"/>
      <c r="J27" s="371"/>
      <c r="K27" s="346">
        <v>56</v>
      </c>
      <c r="L27" s="346">
        <v>22</v>
      </c>
      <c r="M27" s="375"/>
      <c r="N27" s="376"/>
      <c r="O27" s="377"/>
      <c r="P27" s="375"/>
    </row>
    <row r="28" ht="16.5" spans="1:16">
      <c r="A28" s="281"/>
      <c r="B28" s="301" t="s">
        <v>72</v>
      </c>
      <c r="C28" s="278" t="s">
        <v>73</v>
      </c>
      <c r="D28" s="302"/>
      <c r="E28" s="302"/>
      <c r="F28" s="298" t="s">
        <v>1759</v>
      </c>
      <c r="G28" s="280">
        <v>3.001</v>
      </c>
      <c r="H28" s="280">
        <v>30</v>
      </c>
      <c r="I28" s="298"/>
      <c r="J28" s="371"/>
      <c r="K28" s="346">
        <v>61</v>
      </c>
      <c r="L28" s="346">
        <v>22</v>
      </c>
      <c r="M28" s="375"/>
      <c r="N28" s="376"/>
      <c r="O28" s="377"/>
      <c r="P28" s="375"/>
    </row>
    <row r="29" ht="16.5" spans="1:16">
      <c r="A29" s="281"/>
      <c r="B29" s="297" t="s">
        <v>28</v>
      </c>
      <c r="C29" s="278" t="s">
        <v>29</v>
      </c>
      <c r="D29" s="294" t="s">
        <v>1856</v>
      </c>
      <c r="E29" s="294" t="s">
        <v>1695</v>
      </c>
      <c r="F29" s="284" t="s">
        <v>1760</v>
      </c>
      <c r="G29" s="280">
        <v>0</v>
      </c>
      <c r="H29" s="280">
        <v>0.4</v>
      </c>
      <c r="I29" s="284"/>
      <c r="J29" s="378"/>
      <c r="K29" s="346">
        <v>71</v>
      </c>
      <c r="L29" s="346">
        <v>19</v>
      </c>
      <c r="M29" s="364" t="s">
        <v>1864</v>
      </c>
      <c r="N29" s="364" t="s">
        <v>1865</v>
      </c>
      <c r="O29" s="379" t="s">
        <v>1755</v>
      </c>
      <c r="P29" s="380" t="s">
        <v>1763</v>
      </c>
    </row>
    <row r="30" ht="16.5" spans="1:16">
      <c r="A30" s="281"/>
      <c r="B30" s="303" t="s">
        <v>28</v>
      </c>
      <c r="C30" s="278" t="s">
        <v>29</v>
      </c>
      <c r="D30" s="296"/>
      <c r="E30" s="296"/>
      <c r="F30" s="284" t="s">
        <v>1764</v>
      </c>
      <c r="G30" s="280">
        <v>0.401</v>
      </c>
      <c r="H30" s="280">
        <v>30</v>
      </c>
      <c r="I30" s="284"/>
      <c r="J30" s="378"/>
      <c r="K30" s="346">
        <v>71</v>
      </c>
      <c r="L30" s="346">
        <v>23</v>
      </c>
      <c r="M30" s="364"/>
      <c r="N30" s="368"/>
      <c r="O30" s="381"/>
      <c r="P30" s="382"/>
    </row>
    <row r="31" ht="16.5" spans="1:16">
      <c r="A31" s="281"/>
      <c r="B31" s="297" t="s">
        <v>32</v>
      </c>
      <c r="C31" s="278" t="s">
        <v>33</v>
      </c>
      <c r="D31" s="294" t="s">
        <v>1856</v>
      </c>
      <c r="E31" s="294" t="s">
        <v>1695</v>
      </c>
      <c r="F31" s="279" t="s">
        <v>1722</v>
      </c>
      <c r="G31" s="280">
        <v>0</v>
      </c>
      <c r="H31" s="280">
        <v>2</v>
      </c>
      <c r="I31" s="279"/>
      <c r="J31" s="383"/>
      <c r="K31" s="346">
        <v>68</v>
      </c>
      <c r="L31" s="346">
        <v>25</v>
      </c>
      <c r="M31" s="384" t="s">
        <v>1866</v>
      </c>
      <c r="N31" s="384" t="s">
        <v>1867</v>
      </c>
      <c r="O31" s="385" t="s">
        <v>1755</v>
      </c>
      <c r="P31" s="386" t="s">
        <v>1697</v>
      </c>
    </row>
    <row r="32" ht="16.5" spans="1:16">
      <c r="A32" s="281"/>
      <c r="B32" s="303" t="s">
        <v>32</v>
      </c>
      <c r="C32" s="278" t="s">
        <v>33</v>
      </c>
      <c r="D32" s="296"/>
      <c r="E32" s="296"/>
      <c r="F32" s="279" t="s">
        <v>1770</v>
      </c>
      <c r="G32" s="280">
        <v>2.001</v>
      </c>
      <c r="H32" s="280">
        <v>20</v>
      </c>
      <c r="I32" s="279"/>
      <c r="J32" s="383"/>
      <c r="K32" s="346">
        <v>68</v>
      </c>
      <c r="L32" s="346">
        <v>25</v>
      </c>
      <c r="M32" s="387"/>
      <c r="N32" s="387"/>
      <c r="O32" s="388"/>
      <c r="P32" s="279"/>
    </row>
    <row r="33" ht="16.5" spans="1:16">
      <c r="A33" s="281"/>
      <c r="B33" s="297" t="s">
        <v>34</v>
      </c>
      <c r="C33" s="278" t="s">
        <v>35</v>
      </c>
      <c r="D33" s="294" t="s">
        <v>1856</v>
      </c>
      <c r="E33" s="294" t="s">
        <v>1695</v>
      </c>
      <c r="F33" s="284" t="s">
        <v>1722</v>
      </c>
      <c r="G33" s="280">
        <v>0</v>
      </c>
      <c r="H33" s="280">
        <v>2</v>
      </c>
      <c r="I33" s="284"/>
      <c r="J33" s="389"/>
      <c r="K33" s="346">
        <v>65</v>
      </c>
      <c r="L33" s="346">
        <v>18</v>
      </c>
      <c r="M33" s="384" t="s">
        <v>1868</v>
      </c>
      <c r="N33" s="390" t="s">
        <v>1697</v>
      </c>
      <c r="O33" s="379" t="s">
        <v>1853</v>
      </c>
      <c r="P33" s="380" t="s">
        <v>1869</v>
      </c>
    </row>
    <row r="34" ht="16.5" spans="1:16">
      <c r="A34" s="281"/>
      <c r="B34" s="303" t="s">
        <v>34</v>
      </c>
      <c r="C34" s="278" t="s">
        <v>35</v>
      </c>
      <c r="D34" s="296"/>
      <c r="E34" s="296"/>
      <c r="F34" s="304" t="s">
        <v>1743</v>
      </c>
      <c r="G34" s="280">
        <v>2.001</v>
      </c>
      <c r="H34" s="280">
        <v>30</v>
      </c>
      <c r="I34" s="304"/>
      <c r="J34" s="391"/>
      <c r="K34" s="346">
        <v>65</v>
      </c>
      <c r="L34" s="346">
        <v>18</v>
      </c>
      <c r="M34" s="392"/>
      <c r="N34" s="393"/>
      <c r="O34" s="394"/>
      <c r="P34" s="395"/>
    </row>
    <row r="35" ht="16.5" spans="1:16">
      <c r="A35" s="281"/>
      <c r="B35" s="297" t="s">
        <v>70</v>
      </c>
      <c r="C35" s="278" t="s">
        <v>71</v>
      </c>
      <c r="D35" s="294" t="s">
        <v>1856</v>
      </c>
      <c r="E35" s="305" t="s">
        <v>1695</v>
      </c>
      <c r="F35" s="284" t="s">
        <v>1562</v>
      </c>
      <c r="G35" s="280">
        <v>0</v>
      </c>
      <c r="H35" s="280">
        <v>0.3</v>
      </c>
      <c r="I35" s="284"/>
      <c r="J35" s="378"/>
      <c r="K35" s="346">
        <v>69</v>
      </c>
      <c r="L35" s="346">
        <v>16</v>
      </c>
      <c r="M35" s="396" t="s">
        <v>1766</v>
      </c>
      <c r="N35" s="397" t="s">
        <v>1697</v>
      </c>
      <c r="O35" s="398" t="s">
        <v>1853</v>
      </c>
      <c r="P35" s="397" t="s">
        <v>1697</v>
      </c>
    </row>
    <row r="36" ht="16.5" spans="1:16">
      <c r="A36" s="281"/>
      <c r="B36" s="303" t="s">
        <v>70</v>
      </c>
      <c r="C36" s="278" t="s">
        <v>71</v>
      </c>
      <c r="D36" s="296"/>
      <c r="E36" s="306"/>
      <c r="F36" s="284" t="s">
        <v>1650</v>
      </c>
      <c r="G36" s="280">
        <v>0.301</v>
      </c>
      <c r="H36" s="280">
        <v>20</v>
      </c>
      <c r="I36" s="284"/>
      <c r="J36" s="378"/>
      <c r="K36" s="346">
        <v>59</v>
      </c>
      <c r="L36" s="346">
        <v>21</v>
      </c>
      <c r="M36" s="399"/>
      <c r="N36" s="302"/>
      <c r="O36" s="400"/>
      <c r="P36" s="302"/>
    </row>
    <row r="37" ht="16.5" spans="1:16">
      <c r="A37" s="281"/>
      <c r="B37" s="297" t="s">
        <v>74</v>
      </c>
      <c r="C37" s="278" t="s">
        <v>75</v>
      </c>
      <c r="D37" s="294" t="s">
        <v>1856</v>
      </c>
      <c r="E37" s="305" t="s">
        <v>1695</v>
      </c>
      <c r="F37" s="284" t="s">
        <v>1722</v>
      </c>
      <c r="G37" s="280">
        <v>0</v>
      </c>
      <c r="H37" s="280">
        <v>2</v>
      </c>
      <c r="I37" s="284"/>
      <c r="J37" s="378"/>
      <c r="K37" s="346">
        <v>70</v>
      </c>
      <c r="L37" s="346">
        <v>24</v>
      </c>
      <c r="M37" s="399"/>
      <c r="N37" s="397" t="s">
        <v>1697</v>
      </c>
      <c r="O37" s="398" t="s">
        <v>1853</v>
      </c>
      <c r="P37" s="397" t="s">
        <v>1697</v>
      </c>
    </row>
    <row r="38" ht="16.5" spans="1:16">
      <c r="A38" s="281"/>
      <c r="B38" s="303" t="s">
        <v>74</v>
      </c>
      <c r="C38" s="278" t="s">
        <v>75</v>
      </c>
      <c r="D38" s="296"/>
      <c r="E38" s="306"/>
      <c r="F38" s="284" t="s">
        <v>1770</v>
      </c>
      <c r="G38" s="280">
        <v>2.001</v>
      </c>
      <c r="H38" s="280">
        <v>20</v>
      </c>
      <c r="I38" s="284"/>
      <c r="J38" s="378"/>
      <c r="K38" s="346">
        <v>68</v>
      </c>
      <c r="L38" s="346">
        <v>24</v>
      </c>
      <c r="M38" s="401"/>
      <c r="N38" s="302"/>
      <c r="O38" s="400"/>
      <c r="P38" s="302"/>
    </row>
    <row r="39" ht="16.5" spans="1:16">
      <c r="A39" s="281"/>
      <c r="B39" s="297" t="s">
        <v>92</v>
      </c>
      <c r="C39" s="278" t="s">
        <v>93</v>
      </c>
      <c r="D39" s="294" t="s">
        <v>1856</v>
      </c>
      <c r="E39" s="305" t="s">
        <v>1695</v>
      </c>
      <c r="F39" s="307" t="s">
        <v>1569</v>
      </c>
      <c r="G39" s="280">
        <v>0</v>
      </c>
      <c r="H39" s="280">
        <v>0.1</v>
      </c>
      <c r="I39" s="284"/>
      <c r="J39" s="378"/>
      <c r="K39" s="346">
        <v>81</v>
      </c>
      <c r="L39" s="346">
        <v>21</v>
      </c>
      <c r="M39" s="396" t="s">
        <v>1870</v>
      </c>
      <c r="N39" s="396" t="s">
        <v>1871</v>
      </c>
      <c r="O39" s="379" t="s">
        <v>1853</v>
      </c>
      <c r="P39" s="278" t="s">
        <v>1697</v>
      </c>
    </row>
    <row r="40" ht="16.5" spans="1:16">
      <c r="A40" s="281"/>
      <c r="B40" s="303" t="s">
        <v>92</v>
      </c>
      <c r="C40" s="278" t="s">
        <v>93</v>
      </c>
      <c r="D40" s="296"/>
      <c r="E40" s="306"/>
      <c r="F40" s="307" t="s">
        <v>1872</v>
      </c>
      <c r="G40" s="280">
        <v>0.101</v>
      </c>
      <c r="H40" s="280">
        <v>2</v>
      </c>
      <c r="I40" s="284"/>
      <c r="J40" s="378"/>
      <c r="K40" s="346">
        <v>81</v>
      </c>
      <c r="L40" s="346">
        <v>21</v>
      </c>
      <c r="M40" s="399"/>
      <c r="N40" s="399"/>
      <c r="O40" s="394"/>
      <c r="P40" s="286"/>
    </row>
    <row r="41" ht="16.5" spans="1:16">
      <c r="A41" s="281"/>
      <c r="B41" s="299"/>
      <c r="C41" s="278" t="s">
        <v>93</v>
      </c>
      <c r="D41" s="308"/>
      <c r="E41" s="309"/>
      <c r="F41" s="307" t="s">
        <v>1770</v>
      </c>
      <c r="G41" s="280">
        <v>2.001</v>
      </c>
      <c r="H41" s="280">
        <v>20</v>
      </c>
      <c r="I41" s="284"/>
      <c r="J41" s="378"/>
      <c r="K41" s="346">
        <v>79</v>
      </c>
      <c r="L41" s="346">
        <v>23</v>
      </c>
      <c r="M41" s="399"/>
      <c r="N41" s="399"/>
      <c r="O41" s="394"/>
      <c r="P41" s="283"/>
    </row>
    <row r="42" ht="16.5" spans="1:16">
      <c r="A42" s="281"/>
      <c r="B42" s="297" t="s">
        <v>36</v>
      </c>
      <c r="C42" s="278" t="s">
        <v>37</v>
      </c>
      <c r="D42" s="294" t="s">
        <v>1856</v>
      </c>
      <c r="E42" s="305" t="s">
        <v>1695</v>
      </c>
      <c r="F42" s="307" t="s">
        <v>1621</v>
      </c>
      <c r="G42" s="280">
        <v>0</v>
      </c>
      <c r="H42" s="280">
        <v>0.1</v>
      </c>
      <c r="I42" s="284"/>
      <c r="J42" s="389"/>
      <c r="K42" s="346">
        <v>83</v>
      </c>
      <c r="L42" s="346">
        <v>21</v>
      </c>
      <c r="M42" s="399"/>
      <c r="N42" s="399"/>
      <c r="O42" s="379" t="s">
        <v>1853</v>
      </c>
      <c r="P42" s="278" t="s">
        <v>1697</v>
      </c>
    </row>
    <row r="43" ht="16.5" spans="1:16">
      <c r="A43" s="281"/>
      <c r="B43" s="303" t="s">
        <v>36</v>
      </c>
      <c r="C43" s="278" t="s">
        <v>37</v>
      </c>
      <c r="D43" s="296"/>
      <c r="E43" s="306"/>
      <c r="F43" s="307" t="s">
        <v>1646</v>
      </c>
      <c r="G43" s="280">
        <v>0.101</v>
      </c>
      <c r="H43" s="280">
        <v>2</v>
      </c>
      <c r="I43" s="284"/>
      <c r="J43" s="389"/>
      <c r="K43" s="346">
        <v>83</v>
      </c>
      <c r="L43" s="346">
        <v>21</v>
      </c>
      <c r="M43" s="401"/>
      <c r="N43" s="401"/>
      <c r="O43" s="394"/>
      <c r="P43" s="286"/>
    </row>
    <row r="44" ht="16.5" spans="1:16">
      <c r="A44" s="281"/>
      <c r="B44" s="290"/>
      <c r="C44" s="278" t="s">
        <v>37</v>
      </c>
      <c r="D44" s="291"/>
      <c r="E44" s="310"/>
      <c r="F44" s="307" t="s">
        <v>1770</v>
      </c>
      <c r="G44" s="280">
        <v>2.001</v>
      </c>
      <c r="H44" s="280">
        <v>20</v>
      </c>
      <c r="I44" s="284"/>
      <c r="J44" s="389"/>
      <c r="K44" s="346">
        <v>81</v>
      </c>
      <c r="L44" s="346">
        <v>23</v>
      </c>
      <c r="M44" s="401"/>
      <c r="N44" s="401"/>
      <c r="O44" s="402"/>
      <c r="P44" s="286"/>
    </row>
    <row r="45" ht="148.5" spans="1:16">
      <c r="A45" s="281"/>
      <c r="B45" s="279" t="s">
        <v>62</v>
      </c>
      <c r="C45" s="278" t="s">
        <v>63</v>
      </c>
      <c r="D45" s="279" t="s">
        <v>1856</v>
      </c>
      <c r="E45" s="311" t="s">
        <v>1695</v>
      </c>
      <c r="F45" s="284" t="s">
        <v>1722</v>
      </c>
      <c r="G45" s="280">
        <v>0</v>
      </c>
      <c r="H45" s="280">
        <v>2</v>
      </c>
      <c r="I45" s="284"/>
      <c r="J45" s="389"/>
      <c r="K45" s="346">
        <v>84</v>
      </c>
      <c r="L45" s="346">
        <v>19</v>
      </c>
      <c r="M45" s="403" t="s">
        <v>1873</v>
      </c>
      <c r="N45" s="404" t="s">
        <v>1697</v>
      </c>
      <c r="O45" s="405" t="s">
        <v>1874</v>
      </c>
      <c r="P45" s="406" t="s">
        <v>1875</v>
      </c>
    </row>
    <row r="46" ht="165" spans="1:16">
      <c r="A46" s="281"/>
      <c r="B46" s="279" t="s">
        <v>64</v>
      </c>
      <c r="C46" s="278" t="s">
        <v>65</v>
      </c>
      <c r="D46" s="279" t="s">
        <v>1856</v>
      </c>
      <c r="E46" s="279" t="s">
        <v>1695</v>
      </c>
      <c r="F46" s="312" t="s">
        <v>1876</v>
      </c>
      <c r="G46" s="280">
        <v>0</v>
      </c>
      <c r="H46" s="280">
        <v>30</v>
      </c>
      <c r="I46" s="312"/>
      <c r="J46" s="389"/>
      <c r="K46" s="346">
        <v>63</v>
      </c>
      <c r="L46" s="346">
        <v>20</v>
      </c>
      <c r="M46" s="403" t="s">
        <v>1877</v>
      </c>
      <c r="N46" s="404" t="s">
        <v>1697</v>
      </c>
      <c r="O46" s="405" t="s">
        <v>1853</v>
      </c>
      <c r="P46" s="386" t="s">
        <v>1697</v>
      </c>
    </row>
    <row r="47" ht="16.5" spans="1:16">
      <c r="A47" s="281"/>
      <c r="B47" s="279" t="s">
        <v>46</v>
      </c>
      <c r="C47" s="278" t="s">
        <v>47</v>
      </c>
      <c r="D47" s="279" t="s">
        <v>1856</v>
      </c>
      <c r="E47" s="279" t="s">
        <v>1695</v>
      </c>
      <c r="F47" s="312" t="s">
        <v>1876</v>
      </c>
      <c r="G47" s="280">
        <v>0</v>
      </c>
      <c r="H47" s="280">
        <v>30</v>
      </c>
      <c r="I47" s="312"/>
      <c r="J47" s="389"/>
      <c r="K47" s="346">
        <v>82</v>
      </c>
      <c r="L47" s="346">
        <v>22</v>
      </c>
      <c r="M47" s="403" t="s">
        <v>1878</v>
      </c>
      <c r="N47" s="404"/>
      <c r="O47" s="405"/>
      <c r="P47" s="386"/>
    </row>
    <row r="48" ht="16.5" spans="1:16">
      <c r="A48" s="281"/>
      <c r="B48" s="279" t="s">
        <v>54</v>
      </c>
      <c r="C48" s="278" t="s">
        <v>55</v>
      </c>
      <c r="D48" s="279" t="s">
        <v>1856</v>
      </c>
      <c r="E48" s="279" t="s">
        <v>1695</v>
      </c>
      <c r="F48" s="312" t="s">
        <v>1876</v>
      </c>
      <c r="G48" s="280">
        <v>0</v>
      </c>
      <c r="H48" s="280">
        <v>30</v>
      </c>
      <c r="I48" s="312"/>
      <c r="J48" s="389"/>
      <c r="K48" s="346">
        <v>66</v>
      </c>
      <c r="L48" s="346">
        <v>21</v>
      </c>
      <c r="M48" s="403"/>
      <c r="N48" s="404"/>
      <c r="O48" s="405"/>
      <c r="P48" s="386"/>
    </row>
    <row r="49" ht="16.5" spans="1:16">
      <c r="A49" s="281"/>
      <c r="B49" s="313" t="s">
        <v>30</v>
      </c>
      <c r="C49" s="278" t="s">
        <v>31</v>
      </c>
      <c r="D49" s="279" t="s">
        <v>1856</v>
      </c>
      <c r="E49" s="279" t="s">
        <v>1695</v>
      </c>
      <c r="F49" s="312" t="s">
        <v>1879</v>
      </c>
      <c r="G49" s="280">
        <v>0</v>
      </c>
      <c r="H49" s="280">
        <v>3</v>
      </c>
      <c r="I49" s="312"/>
      <c r="J49" s="389"/>
      <c r="K49" s="346">
        <v>61</v>
      </c>
      <c r="L49" s="346">
        <v>23</v>
      </c>
      <c r="M49" s="403"/>
      <c r="N49" s="404"/>
      <c r="O49" s="405"/>
      <c r="P49" s="386"/>
    </row>
    <row r="50" ht="16.5" spans="1:16">
      <c r="A50" s="281"/>
      <c r="B50" s="313" t="s">
        <v>30</v>
      </c>
      <c r="C50" s="278" t="s">
        <v>31</v>
      </c>
      <c r="D50" s="279"/>
      <c r="E50" s="279"/>
      <c r="F50" s="312" t="s">
        <v>1880</v>
      </c>
      <c r="G50" s="280">
        <v>3</v>
      </c>
      <c r="H50" s="280">
        <v>30</v>
      </c>
      <c r="I50" s="312"/>
      <c r="J50" s="389"/>
      <c r="K50" s="346">
        <v>61</v>
      </c>
      <c r="L50" s="346">
        <v>23</v>
      </c>
      <c r="M50" s="403"/>
      <c r="N50" s="404"/>
      <c r="O50" s="405"/>
      <c r="P50" s="386"/>
    </row>
    <row r="51" ht="16.5" spans="1:16">
      <c r="A51" s="281"/>
      <c r="B51" s="313" t="s">
        <v>60</v>
      </c>
      <c r="C51" s="278" t="s">
        <v>61</v>
      </c>
      <c r="D51" s="279" t="s">
        <v>1856</v>
      </c>
      <c r="E51" s="279" t="s">
        <v>1695</v>
      </c>
      <c r="F51" s="312" t="s">
        <v>1722</v>
      </c>
      <c r="G51" s="280">
        <v>0</v>
      </c>
      <c r="H51" s="280">
        <v>2</v>
      </c>
      <c r="I51" s="312"/>
      <c r="J51" s="389"/>
      <c r="K51" s="346">
        <v>51</v>
      </c>
      <c r="L51" s="346">
        <v>12</v>
      </c>
      <c r="M51" s="403" t="s">
        <v>1881</v>
      </c>
      <c r="N51" s="404" t="s">
        <v>1697</v>
      </c>
      <c r="O51" s="405" t="s">
        <v>1853</v>
      </c>
      <c r="P51" s="386" t="s">
        <v>1697</v>
      </c>
    </row>
    <row r="52" ht="16.5" spans="1:16">
      <c r="A52" s="281"/>
      <c r="B52" s="313" t="s">
        <v>60</v>
      </c>
      <c r="C52" s="278" t="s">
        <v>61</v>
      </c>
      <c r="D52" s="279"/>
      <c r="E52" s="279"/>
      <c r="F52" s="312" t="s">
        <v>1882</v>
      </c>
      <c r="G52" s="280">
        <v>2</v>
      </c>
      <c r="H52" s="280">
        <v>20</v>
      </c>
      <c r="I52" s="312"/>
      <c r="J52" s="389"/>
      <c r="K52" s="346">
        <v>51</v>
      </c>
      <c r="L52" s="346">
        <v>14</v>
      </c>
      <c r="M52" s="403"/>
      <c r="N52" s="404"/>
      <c r="O52" s="405"/>
      <c r="P52" s="386"/>
    </row>
    <row r="53" ht="16.5" spans="1:16">
      <c r="A53" s="281"/>
      <c r="B53" s="285" t="s">
        <v>48</v>
      </c>
      <c r="C53" s="278" t="s">
        <v>49</v>
      </c>
      <c r="D53" s="286" t="s">
        <v>1856</v>
      </c>
      <c r="E53" s="286" t="s">
        <v>1695</v>
      </c>
      <c r="F53" s="314" t="s">
        <v>1722</v>
      </c>
      <c r="G53" s="280">
        <v>0</v>
      </c>
      <c r="H53" s="280">
        <v>2</v>
      </c>
      <c r="I53" s="314"/>
      <c r="J53" s="407"/>
      <c r="K53" s="346">
        <v>52</v>
      </c>
      <c r="L53" s="346">
        <v>20</v>
      </c>
      <c r="M53" s="408" t="s">
        <v>1883</v>
      </c>
      <c r="N53" s="404" t="s">
        <v>1697</v>
      </c>
      <c r="O53" s="405" t="s">
        <v>1853</v>
      </c>
      <c r="P53" s="386" t="s">
        <v>1697</v>
      </c>
    </row>
    <row r="54" ht="16.5" spans="1:16">
      <c r="A54" s="281"/>
      <c r="B54" s="313" t="s">
        <v>48</v>
      </c>
      <c r="C54" s="278" t="s">
        <v>49</v>
      </c>
      <c r="D54" s="279"/>
      <c r="E54" s="279"/>
      <c r="F54" s="312" t="s">
        <v>1882</v>
      </c>
      <c r="G54" s="280">
        <v>2</v>
      </c>
      <c r="H54" s="280">
        <v>20</v>
      </c>
      <c r="I54" s="312"/>
      <c r="J54" s="389"/>
      <c r="K54" s="346">
        <v>52</v>
      </c>
      <c r="L54" s="346">
        <v>20</v>
      </c>
      <c r="M54" s="409"/>
      <c r="N54" s="404"/>
      <c r="O54" s="405"/>
      <c r="P54" s="386"/>
    </row>
    <row r="55" ht="16.5" spans="1:16">
      <c r="A55" s="281"/>
      <c r="B55" s="279" t="s">
        <v>68</v>
      </c>
      <c r="C55" s="278" t="s">
        <v>69</v>
      </c>
      <c r="D55" s="279" t="s">
        <v>1856</v>
      </c>
      <c r="E55" s="279" t="s">
        <v>1695</v>
      </c>
      <c r="F55" s="312" t="s">
        <v>1876</v>
      </c>
      <c r="G55" s="280">
        <v>0</v>
      </c>
      <c r="H55" s="280">
        <v>30</v>
      </c>
      <c r="I55" s="312"/>
      <c r="J55" s="389"/>
      <c r="K55" s="346">
        <v>80</v>
      </c>
      <c r="L55" s="346">
        <v>24</v>
      </c>
      <c r="M55" s="410" t="s">
        <v>1878</v>
      </c>
      <c r="N55" s="393" t="s">
        <v>1697</v>
      </c>
      <c r="O55" s="411" t="s">
        <v>1853</v>
      </c>
      <c r="P55" s="354" t="s">
        <v>1697</v>
      </c>
    </row>
    <row r="56" ht="16.5" spans="1:16">
      <c r="A56" s="281"/>
      <c r="B56" s="279" t="s">
        <v>66</v>
      </c>
      <c r="C56" s="278" t="s">
        <v>67</v>
      </c>
      <c r="D56" s="279" t="s">
        <v>1856</v>
      </c>
      <c r="E56" s="279" t="s">
        <v>1695</v>
      </c>
      <c r="F56" s="312" t="s">
        <v>1876</v>
      </c>
      <c r="G56" s="280">
        <v>0</v>
      </c>
      <c r="H56" s="280">
        <v>30</v>
      </c>
      <c r="I56" s="312"/>
      <c r="J56" s="389"/>
      <c r="K56" s="346">
        <v>74</v>
      </c>
      <c r="L56" s="346">
        <v>20</v>
      </c>
      <c r="M56" s="410"/>
      <c r="N56" s="412"/>
      <c r="O56" s="413"/>
      <c r="P56" s="414"/>
    </row>
    <row r="57" ht="16.5" spans="1:16">
      <c r="A57" s="315"/>
      <c r="B57" s="279" t="s">
        <v>44</v>
      </c>
      <c r="C57" s="278" t="s">
        <v>45</v>
      </c>
      <c r="D57" s="279" t="s">
        <v>1856</v>
      </c>
      <c r="E57" s="279" t="s">
        <v>1695</v>
      </c>
      <c r="F57" s="312" t="s">
        <v>1876</v>
      </c>
      <c r="G57" s="280">
        <v>0</v>
      </c>
      <c r="H57" s="280">
        <v>30</v>
      </c>
      <c r="I57" s="312"/>
      <c r="J57" s="389"/>
      <c r="K57" s="346">
        <v>60</v>
      </c>
      <c r="L57" s="346">
        <v>17</v>
      </c>
      <c r="M57" s="410"/>
      <c r="N57" s="415"/>
      <c r="O57" s="416"/>
      <c r="P57" s="417"/>
    </row>
    <row r="58" ht="16.5" spans="1:16">
      <c r="A58" s="316" t="s">
        <v>1775</v>
      </c>
      <c r="B58" s="317"/>
      <c r="C58" s="317"/>
      <c r="D58" s="317"/>
      <c r="E58" s="317"/>
      <c r="F58" s="317"/>
      <c r="G58" s="317"/>
      <c r="H58" s="317"/>
      <c r="I58" s="317"/>
      <c r="J58" s="317"/>
      <c r="K58" s="317"/>
      <c r="L58" s="317"/>
      <c r="M58" s="418"/>
      <c r="N58" s="418"/>
      <c r="O58" s="317"/>
      <c r="P58" s="419"/>
    </row>
    <row r="59" ht="16.5" spans="1:16">
      <c r="A59" s="318" t="s">
        <v>1884</v>
      </c>
      <c r="B59" s="319"/>
      <c r="C59" s="319"/>
      <c r="D59" s="319"/>
      <c r="E59" s="319"/>
      <c r="F59" s="319"/>
      <c r="G59" s="319"/>
      <c r="H59" s="319"/>
      <c r="I59" s="319"/>
      <c r="J59" s="420"/>
      <c r="K59" s="420"/>
      <c r="L59" s="420"/>
      <c r="M59" s="420"/>
      <c r="N59" s="420"/>
      <c r="O59" s="420"/>
      <c r="P59" s="421"/>
    </row>
    <row r="60" ht="16.5" spans="1:16">
      <c r="A60" s="320" t="s">
        <v>1776</v>
      </c>
      <c r="B60" s="321"/>
      <c r="C60" s="321"/>
      <c r="D60" s="321"/>
      <c r="E60" s="321"/>
      <c r="F60" s="321"/>
      <c r="G60" s="321"/>
      <c r="H60" s="321"/>
      <c r="I60" s="321"/>
      <c r="J60" s="321"/>
      <c r="K60" s="321"/>
      <c r="L60" s="321"/>
      <c r="M60" s="422"/>
      <c r="N60" s="422"/>
      <c r="O60" s="321"/>
      <c r="P60" s="423"/>
    </row>
    <row r="61" ht="16.5" spans="1:16">
      <c r="A61" s="322" t="s">
        <v>1885</v>
      </c>
      <c r="B61" s="323"/>
      <c r="C61" s="323"/>
      <c r="D61" s="323"/>
      <c r="E61" s="323"/>
      <c r="F61" s="323"/>
      <c r="G61" s="323"/>
      <c r="H61" s="323"/>
      <c r="I61" s="323"/>
      <c r="J61" s="323"/>
      <c r="K61" s="323"/>
      <c r="L61" s="321"/>
      <c r="M61" s="422"/>
      <c r="N61" s="422"/>
      <c r="O61" s="321"/>
      <c r="P61" s="423"/>
    </row>
    <row r="62" ht="16.5" spans="1:16">
      <c r="A62" s="318" t="s">
        <v>1886</v>
      </c>
      <c r="B62" s="319"/>
      <c r="C62" s="319"/>
      <c r="D62" s="319"/>
      <c r="E62" s="319"/>
      <c r="F62" s="319"/>
      <c r="G62" s="319"/>
      <c r="H62" s="319"/>
      <c r="I62" s="319"/>
      <c r="J62" s="420"/>
      <c r="K62" s="420"/>
      <c r="L62" s="420"/>
      <c r="M62" s="420"/>
      <c r="N62" s="420"/>
      <c r="O62" s="420"/>
      <c r="P62" s="421"/>
    </row>
    <row r="63" ht="16.5" spans="1:16">
      <c r="A63" s="320" t="s">
        <v>1780</v>
      </c>
      <c r="B63" s="321"/>
      <c r="C63" s="321"/>
      <c r="D63" s="321"/>
      <c r="E63" s="321"/>
      <c r="F63" s="321"/>
      <c r="G63" s="321"/>
      <c r="H63" s="321"/>
      <c r="I63" s="321"/>
      <c r="J63" s="321"/>
      <c r="K63" s="321"/>
      <c r="L63" s="321"/>
      <c r="M63" s="422"/>
      <c r="N63" s="422"/>
      <c r="O63" s="321"/>
      <c r="P63" s="423"/>
    </row>
    <row r="64" ht="16.5" spans="1:16">
      <c r="A64" s="324" t="s">
        <v>1887</v>
      </c>
      <c r="B64" s="325"/>
      <c r="C64" s="325"/>
      <c r="D64" s="325"/>
      <c r="E64" s="325"/>
      <c r="F64" s="325"/>
      <c r="G64" s="325"/>
      <c r="H64" s="325"/>
      <c r="I64" s="325"/>
      <c r="J64" s="325"/>
      <c r="K64" s="325"/>
      <c r="L64" s="325"/>
      <c r="M64" s="325"/>
      <c r="N64" s="325"/>
      <c r="O64" s="325"/>
      <c r="P64" s="424"/>
    </row>
    <row r="65" ht="16.5" spans="1:16">
      <c r="A65" s="324" t="s">
        <v>1888</v>
      </c>
      <c r="B65" s="325"/>
      <c r="C65" s="325"/>
      <c r="D65" s="325"/>
      <c r="E65" s="325"/>
      <c r="F65" s="325"/>
      <c r="G65" s="325"/>
      <c r="H65" s="325"/>
      <c r="I65" s="325"/>
      <c r="J65" s="325"/>
      <c r="K65" s="325"/>
      <c r="L65" s="325"/>
      <c r="M65" s="325"/>
      <c r="N65" s="325"/>
      <c r="O65" s="325"/>
      <c r="P65" s="424"/>
    </row>
    <row r="66" ht="16.5" spans="1:16">
      <c r="A66" s="324" t="s">
        <v>1889</v>
      </c>
      <c r="B66" s="325"/>
      <c r="C66" s="325"/>
      <c r="D66" s="325"/>
      <c r="E66" s="325"/>
      <c r="F66" s="325"/>
      <c r="G66" s="325"/>
      <c r="H66" s="325"/>
      <c r="I66" s="325"/>
      <c r="J66" s="325"/>
      <c r="K66" s="325"/>
      <c r="L66" s="325"/>
      <c r="M66" s="325"/>
      <c r="N66" s="325"/>
      <c r="O66" s="325"/>
      <c r="P66" s="424"/>
    </row>
    <row r="67" ht="16.5" spans="1:16">
      <c r="A67" s="425" t="s">
        <v>1785</v>
      </c>
      <c r="B67" s="426"/>
      <c r="C67" s="426"/>
      <c r="D67" s="426"/>
      <c r="E67" s="426"/>
      <c r="F67" s="426"/>
      <c r="G67" s="426"/>
      <c r="H67" s="426"/>
      <c r="I67" s="426"/>
      <c r="J67" s="426"/>
      <c r="K67" s="426"/>
      <c r="L67" s="426"/>
      <c r="M67" s="426"/>
      <c r="N67" s="426"/>
      <c r="O67" s="426"/>
      <c r="P67" s="446"/>
    </row>
    <row r="68" ht="16.5" spans="1:16">
      <c r="A68" s="320" t="s">
        <v>1786</v>
      </c>
      <c r="B68" s="321"/>
      <c r="C68" s="321"/>
      <c r="D68" s="321"/>
      <c r="E68" s="321"/>
      <c r="F68" s="321"/>
      <c r="G68" s="321"/>
      <c r="H68" s="321"/>
      <c r="I68" s="321"/>
      <c r="J68" s="321"/>
      <c r="K68" s="321"/>
      <c r="L68" s="321"/>
      <c r="M68" s="422"/>
      <c r="N68" s="422"/>
      <c r="O68" s="321"/>
      <c r="P68" s="423"/>
    </row>
    <row r="69" ht="16.5" spans="1:16">
      <c r="A69" s="427" t="s">
        <v>1787</v>
      </c>
      <c r="B69" s="321"/>
      <c r="C69" s="321"/>
      <c r="D69" s="321"/>
      <c r="E69" s="321"/>
      <c r="F69" s="321"/>
      <c r="G69" s="321"/>
      <c r="H69" s="321"/>
      <c r="I69" s="321"/>
      <c r="J69" s="321"/>
      <c r="K69" s="321"/>
      <c r="L69" s="321"/>
      <c r="M69" s="422"/>
      <c r="N69" s="422"/>
      <c r="O69" s="321"/>
      <c r="P69" s="423"/>
    </row>
    <row r="70" ht="16.5" spans="1:16">
      <c r="A70" s="408" t="s">
        <v>1890</v>
      </c>
      <c r="B70" s="420"/>
      <c r="C70" s="420"/>
      <c r="D70" s="420"/>
      <c r="E70" s="420"/>
      <c r="F70" s="420"/>
      <c r="G70" s="420"/>
      <c r="H70" s="420"/>
      <c r="I70" s="420"/>
      <c r="J70" s="420"/>
      <c r="K70" s="420"/>
      <c r="L70" s="420"/>
      <c r="M70" s="420"/>
      <c r="N70" s="420"/>
      <c r="O70" s="420"/>
      <c r="P70" s="421"/>
    </row>
    <row r="71" ht="16.5" spans="1:16">
      <c r="A71" s="322" t="s">
        <v>1791</v>
      </c>
      <c r="B71" s="321"/>
      <c r="C71" s="321"/>
      <c r="D71" s="321"/>
      <c r="E71" s="321"/>
      <c r="F71" s="321"/>
      <c r="G71" s="321"/>
      <c r="H71" s="321"/>
      <c r="I71" s="321"/>
      <c r="J71" s="321"/>
      <c r="K71" s="321"/>
      <c r="L71" s="321"/>
      <c r="M71" s="422"/>
      <c r="N71" s="422"/>
      <c r="O71" s="321"/>
      <c r="P71" s="423"/>
    </row>
    <row r="72" ht="16.5" spans="1:16">
      <c r="A72" s="427" t="s">
        <v>1792</v>
      </c>
      <c r="B72" s="321"/>
      <c r="C72" s="321"/>
      <c r="D72" s="321"/>
      <c r="E72" s="321"/>
      <c r="F72" s="321"/>
      <c r="G72" s="321"/>
      <c r="H72" s="321"/>
      <c r="I72" s="321"/>
      <c r="J72" s="321"/>
      <c r="K72" s="321"/>
      <c r="L72" s="321"/>
      <c r="M72" s="422"/>
      <c r="N72" s="422"/>
      <c r="O72" s="321"/>
      <c r="P72" s="423"/>
    </row>
    <row r="73" ht="16.5" spans="1:16">
      <c r="A73" s="428" t="s">
        <v>1891</v>
      </c>
      <c r="B73" s="429"/>
      <c r="C73" s="429"/>
      <c r="D73" s="429"/>
      <c r="E73" s="429"/>
      <c r="F73" s="429"/>
      <c r="G73" s="429"/>
      <c r="H73" s="429"/>
      <c r="I73" s="429"/>
      <c r="J73" s="429"/>
      <c r="K73" s="429"/>
      <c r="L73" s="429"/>
      <c r="M73" s="429"/>
      <c r="N73" s="429"/>
      <c r="O73" s="429"/>
      <c r="P73" s="447"/>
    </row>
    <row r="74" ht="16.5" spans="1:16">
      <c r="A74" s="428" t="s">
        <v>1892</v>
      </c>
      <c r="B74" s="429"/>
      <c r="C74" s="429"/>
      <c r="D74" s="429"/>
      <c r="E74" s="429"/>
      <c r="F74" s="429"/>
      <c r="G74" s="429"/>
      <c r="H74" s="429"/>
      <c r="I74" s="429"/>
      <c r="J74" s="429"/>
      <c r="K74" s="429"/>
      <c r="L74" s="429"/>
      <c r="M74" s="429"/>
      <c r="N74" s="429"/>
      <c r="O74" s="429"/>
      <c r="P74" s="447"/>
    </row>
    <row r="75" ht="16.5" spans="1:16">
      <c r="A75" s="430" t="s">
        <v>1795</v>
      </c>
      <c r="B75" s="325"/>
      <c r="C75" s="325"/>
      <c r="D75" s="325"/>
      <c r="E75" s="325"/>
      <c r="F75" s="325"/>
      <c r="G75" s="325"/>
      <c r="H75" s="325"/>
      <c r="I75" s="325"/>
      <c r="J75" s="325"/>
      <c r="K75" s="325"/>
      <c r="L75" s="325"/>
      <c r="M75" s="325"/>
      <c r="N75" s="325"/>
      <c r="O75" s="325"/>
      <c r="P75" s="447"/>
    </row>
    <row r="76" ht="16.5" spans="1:16">
      <c r="A76" s="428" t="s">
        <v>1893</v>
      </c>
      <c r="B76" s="429"/>
      <c r="C76" s="429"/>
      <c r="D76" s="429"/>
      <c r="E76" s="429"/>
      <c r="F76" s="429"/>
      <c r="G76" s="429"/>
      <c r="H76" s="429"/>
      <c r="I76" s="429"/>
      <c r="J76" s="429"/>
      <c r="K76" s="429"/>
      <c r="L76" s="429"/>
      <c r="M76" s="429"/>
      <c r="N76" s="429"/>
      <c r="O76" s="429"/>
      <c r="P76" s="447"/>
    </row>
    <row r="77" ht="16.5" spans="1:16">
      <c r="A77" s="431" t="s">
        <v>1894</v>
      </c>
      <c r="B77" s="321"/>
      <c r="C77" s="321"/>
      <c r="D77" s="321"/>
      <c r="E77" s="321"/>
      <c r="F77" s="321"/>
      <c r="G77" s="321"/>
      <c r="H77" s="321"/>
      <c r="I77" s="321"/>
      <c r="J77" s="321"/>
      <c r="K77" s="321"/>
      <c r="L77" s="321"/>
      <c r="M77" s="422"/>
      <c r="N77" s="422"/>
      <c r="O77" s="321"/>
      <c r="P77" s="423"/>
    </row>
    <row r="78" ht="16.5" spans="1:16">
      <c r="A78" s="432" t="s">
        <v>1799</v>
      </c>
      <c r="B78" s="321"/>
      <c r="C78" s="321"/>
      <c r="D78" s="321"/>
      <c r="E78" s="321"/>
      <c r="F78" s="321"/>
      <c r="G78" s="321"/>
      <c r="H78" s="321"/>
      <c r="I78" s="321"/>
      <c r="J78" s="321"/>
      <c r="K78" s="321"/>
      <c r="L78" s="321"/>
      <c r="M78" s="422"/>
      <c r="N78" s="422"/>
      <c r="O78" s="321"/>
      <c r="P78" s="423"/>
    </row>
    <row r="79" ht="16.5" spans="1:16">
      <c r="A79" s="322" t="s">
        <v>1800</v>
      </c>
      <c r="B79" s="321"/>
      <c r="C79" s="321"/>
      <c r="D79" s="321"/>
      <c r="E79" s="321"/>
      <c r="F79" s="321"/>
      <c r="G79" s="321"/>
      <c r="H79" s="321"/>
      <c r="I79" s="321"/>
      <c r="J79" s="321"/>
      <c r="K79" s="321"/>
      <c r="L79" s="321"/>
      <c r="M79" s="422"/>
      <c r="N79" s="422"/>
      <c r="O79" s="321"/>
      <c r="P79" s="423"/>
    </row>
    <row r="80" ht="16.5" spans="1:16">
      <c r="A80" s="322" t="s">
        <v>1801</v>
      </c>
      <c r="B80" s="321"/>
      <c r="C80" s="321"/>
      <c r="D80" s="321"/>
      <c r="E80" s="321"/>
      <c r="F80" s="321"/>
      <c r="G80" s="321"/>
      <c r="H80" s="321"/>
      <c r="I80" s="321"/>
      <c r="J80" s="321"/>
      <c r="K80" s="321"/>
      <c r="L80" s="321"/>
      <c r="M80" s="422"/>
      <c r="N80" s="422"/>
      <c r="O80" s="321"/>
      <c r="P80" s="423"/>
    </row>
    <row r="81" ht="16.5" spans="1:16">
      <c r="A81" s="322" t="s">
        <v>1802</v>
      </c>
      <c r="B81" s="420"/>
      <c r="C81" s="420"/>
      <c r="D81" s="420"/>
      <c r="E81" s="420"/>
      <c r="F81" s="420"/>
      <c r="G81" s="420"/>
      <c r="H81" s="420"/>
      <c r="I81" s="420"/>
      <c r="J81" s="420"/>
      <c r="K81" s="420"/>
      <c r="L81" s="420"/>
      <c r="M81" s="420"/>
      <c r="N81" s="420"/>
      <c r="O81" s="420"/>
      <c r="P81" s="421"/>
    </row>
    <row r="82" ht="16.5" spans="1:16">
      <c r="A82" s="433" t="s">
        <v>1895</v>
      </c>
      <c r="B82" s="420"/>
      <c r="C82" s="420"/>
      <c r="D82" s="420"/>
      <c r="E82" s="420"/>
      <c r="F82" s="420"/>
      <c r="G82" s="420"/>
      <c r="H82" s="420"/>
      <c r="I82" s="420"/>
      <c r="J82" s="420"/>
      <c r="K82" s="420"/>
      <c r="L82" s="420"/>
      <c r="M82" s="420"/>
      <c r="N82" s="420"/>
      <c r="O82" s="420"/>
      <c r="P82" s="421"/>
    </row>
    <row r="83" ht="16.5" spans="1:16">
      <c r="A83" s="427" t="s">
        <v>1896</v>
      </c>
      <c r="B83" s="420"/>
      <c r="C83" s="420"/>
      <c r="D83" s="420"/>
      <c r="E83" s="420"/>
      <c r="F83" s="420"/>
      <c r="G83" s="420"/>
      <c r="H83" s="420"/>
      <c r="I83" s="420"/>
      <c r="J83" s="420"/>
      <c r="K83" s="420"/>
      <c r="L83" s="420"/>
      <c r="M83" s="420"/>
      <c r="N83" s="420"/>
      <c r="O83" s="420"/>
      <c r="P83" s="421"/>
    </row>
    <row r="84" ht="16.5" spans="1:16">
      <c r="A84" s="432" t="s">
        <v>1897</v>
      </c>
      <c r="B84" s="420"/>
      <c r="C84" s="420"/>
      <c r="D84" s="420"/>
      <c r="E84" s="420"/>
      <c r="F84" s="420"/>
      <c r="G84" s="420"/>
      <c r="H84" s="420"/>
      <c r="I84" s="420"/>
      <c r="J84" s="420"/>
      <c r="K84" s="420"/>
      <c r="L84" s="420"/>
      <c r="M84" s="420"/>
      <c r="N84" s="420"/>
      <c r="O84" s="420"/>
      <c r="P84" s="421"/>
    </row>
    <row r="85" ht="16.5" spans="1:16">
      <c r="A85" s="322" t="s">
        <v>1800</v>
      </c>
      <c r="B85" s="420"/>
      <c r="C85" s="420"/>
      <c r="D85" s="420"/>
      <c r="E85" s="420"/>
      <c r="F85" s="420"/>
      <c r="G85" s="420"/>
      <c r="H85" s="420"/>
      <c r="I85" s="420"/>
      <c r="J85" s="420"/>
      <c r="K85" s="420"/>
      <c r="L85" s="420"/>
      <c r="M85" s="420"/>
      <c r="N85" s="420"/>
      <c r="O85" s="420"/>
      <c r="P85" s="421"/>
    </row>
    <row r="86" ht="16.5" spans="1:16">
      <c r="A86" s="322" t="s">
        <v>1898</v>
      </c>
      <c r="B86" s="420"/>
      <c r="C86" s="420"/>
      <c r="D86" s="420"/>
      <c r="E86" s="420"/>
      <c r="F86" s="420"/>
      <c r="G86" s="420"/>
      <c r="H86" s="420"/>
      <c r="I86" s="420"/>
      <c r="J86" s="420"/>
      <c r="K86" s="420"/>
      <c r="L86" s="420"/>
      <c r="M86" s="420"/>
      <c r="N86" s="420"/>
      <c r="O86" s="420"/>
      <c r="P86" s="421"/>
    </row>
    <row r="87" ht="16.5" spans="1:16">
      <c r="A87" s="322" t="s">
        <v>1802</v>
      </c>
      <c r="B87" s="420"/>
      <c r="C87" s="420"/>
      <c r="D87" s="420"/>
      <c r="E87" s="420"/>
      <c r="F87" s="420"/>
      <c r="G87" s="420"/>
      <c r="H87" s="420"/>
      <c r="I87" s="420"/>
      <c r="J87" s="420"/>
      <c r="K87" s="420"/>
      <c r="L87" s="420"/>
      <c r="M87" s="420"/>
      <c r="N87" s="420"/>
      <c r="O87" s="420"/>
      <c r="P87" s="421"/>
    </row>
    <row r="88" ht="16.5" spans="1:16">
      <c r="A88" s="427" t="s">
        <v>1899</v>
      </c>
      <c r="B88" s="321"/>
      <c r="C88" s="321"/>
      <c r="D88" s="321"/>
      <c r="E88" s="321"/>
      <c r="F88" s="321"/>
      <c r="G88" s="321"/>
      <c r="H88" s="321"/>
      <c r="I88" s="321"/>
      <c r="J88" s="321"/>
      <c r="K88" s="321"/>
      <c r="L88" s="321"/>
      <c r="M88" s="422"/>
      <c r="N88" s="422"/>
      <c r="O88" s="321"/>
      <c r="P88" s="423"/>
    </row>
    <row r="89" ht="16.5" spans="1:16">
      <c r="A89" s="322" t="s">
        <v>1900</v>
      </c>
      <c r="B89" s="321"/>
      <c r="C89" s="321"/>
      <c r="D89" s="321"/>
      <c r="E89" s="321"/>
      <c r="F89" s="321"/>
      <c r="G89" s="321"/>
      <c r="H89" s="321"/>
      <c r="I89" s="321"/>
      <c r="J89" s="321"/>
      <c r="K89" s="321"/>
      <c r="L89" s="321"/>
      <c r="M89" s="422"/>
      <c r="N89" s="422"/>
      <c r="O89" s="321"/>
      <c r="P89" s="423"/>
    </row>
    <row r="90" ht="16.5" spans="1:16">
      <c r="A90" s="322" t="s">
        <v>1901</v>
      </c>
      <c r="B90" s="420"/>
      <c r="C90" s="420"/>
      <c r="D90" s="420"/>
      <c r="E90" s="420"/>
      <c r="F90" s="420"/>
      <c r="G90" s="420"/>
      <c r="H90" s="420"/>
      <c r="I90" s="420"/>
      <c r="J90" s="420"/>
      <c r="K90" s="420"/>
      <c r="L90" s="420"/>
      <c r="M90" s="420"/>
      <c r="N90" s="420"/>
      <c r="O90" s="420"/>
      <c r="P90" s="421"/>
    </row>
    <row r="91" ht="16.5" spans="1:16">
      <c r="A91" s="408" t="s">
        <v>1902</v>
      </c>
      <c r="B91" s="420"/>
      <c r="C91" s="420"/>
      <c r="D91" s="420"/>
      <c r="E91" s="420"/>
      <c r="F91" s="420"/>
      <c r="G91" s="420"/>
      <c r="H91" s="420"/>
      <c r="I91" s="420"/>
      <c r="J91" s="420"/>
      <c r="K91" s="420"/>
      <c r="L91" s="420"/>
      <c r="M91" s="420"/>
      <c r="N91" s="420"/>
      <c r="O91" s="420"/>
      <c r="P91" s="421"/>
    </row>
    <row r="92" ht="16.5" spans="1:16">
      <c r="A92" s="434" t="s">
        <v>1903</v>
      </c>
      <c r="B92" s="420"/>
      <c r="C92" s="420"/>
      <c r="D92" s="420"/>
      <c r="E92" s="420"/>
      <c r="F92" s="420"/>
      <c r="G92" s="420"/>
      <c r="H92" s="420"/>
      <c r="I92" s="420"/>
      <c r="J92" s="420"/>
      <c r="K92" s="420"/>
      <c r="L92" s="420"/>
      <c r="M92" s="420"/>
      <c r="N92" s="420"/>
      <c r="O92" s="420"/>
      <c r="P92" s="421"/>
    </row>
    <row r="93" ht="16.5" spans="1:16">
      <c r="A93" s="322" t="s">
        <v>1904</v>
      </c>
      <c r="B93" s="323"/>
      <c r="C93" s="323"/>
      <c r="D93" s="323"/>
      <c r="E93" s="323"/>
      <c r="F93" s="323"/>
      <c r="G93" s="323"/>
      <c r="H93" s="323"/>
      <c r="I93" s="323"/>
      <c r="J93" s="323"/>
      <c r="K93" s="323"/>
      <c r="L93" s="323"/>
      <c r="M93" s="323"/>
      <c r="N93" s="323"/>
      <c r="O93" s="323"/>
      <c r="P93" s="448"/>
    </row>
    <row r="94" ht="16.5" spans="1:16">
      <c r="A94" s="320" t="s">
        <v>1804</v>
      </c>
      <c r="B94" s="321"/>
      <c r="C94" s="321"/>
      <c r="D94" s="321"/>
      <c r="E94" s="321"/>
      <c r="F94" s="321"/>
      <c r="G94" s="321"/>
      <c r="H94" s="321"/>
      <c r="I94" s="321"/>
      <c r="J94" s="321"/>
      <c r="K94" s="321"/>
      <c r="L94" s="321"/>
      <c r="M94" s="422"/>
      <c r="N94" s="422"/>
      <c r="O94" s="321"/>
      <c r="P94" s="423"/>
    </row>
    <row r="95" ht="16.5" spans="1:16">
      <c r="A95" s="435" t="s">
        <v>1808</v>
      </c>
      <c r="B95" s="436"/>
      <c r="C95" s="436"/>
      <c r="D95" s="436"/>
      <c r="E95" s="436"/>
      <c r="F95" s="436"/>
      <c r="G95" s="436"/>
      <c r="H95" s="436"/>
      <c r="I95" s="436"/>
      <c r="J95" s="436"/>
      <c r="K95" s="436"/>
      <c r="L95" s="436"/>
      <c r="M95" s="436"/>
      <c r="N95" s="436"/>
      <c r="O95" s="436"/>
      <c r="P95" s="449"/>
    </row>
    <row r="96" ht="16.5" spans="1:16">
      <c r="A96" s="322" t="s">
        <v>1805</v>
      </c>
      <c r="B96" s="323"/>
      <c r="C96" s="323"/>
      <c r="D96" s="323"/>
      <c r="E96" s="323"/>
      <c r="F96" s="323"/>
      <c r="G96" s="323"/>
      <c r="H96" s="323"/>
      <c r="I96" s="323"/>
      <c r="J96" s="323"/>
      <c r="K96" s="323"/>
      <c r="L96" s="323"/>
      <c r="M96" s="323"/>
      <c r="N96" s="323"/>
      <c r="O96" s="323"/>
      <c r="P96" s="448"/>
    </row>
    <row r="97" ht="16.5" spans="1:16">
      <c r="A97" s="322" t="s">
        <v>1806</v>
      </c>
      <c r="B97" s="323"/>
      <c r="C97" s="323"/>
      <c r="D97" s="323"/>
      <c r="E97" s="323"/>
      <c r="F97" s="323"/>
      <c r="G97" s="323"/>
      <c r="H97" s="323"/>
      <c r="I97" s="323"/>
      <c r="J97" s="323"/>
      <c r="K97" s="323"/>
      <c r="L97" s="323"/>
      <c r="M97" s="323"/>
      <c r="N97" s="323"/>
      <c r="O97" s="323"/>
      <c r="P97" s="448"/>
    </row>
    <row r="98" ht="16.5" spans="1:16">
      <c r="A98" s="437" t="s">
        <v>1905</v>
      </c>
      <c r="B98" s="438"/>
      <c r="C98" s="438"/>
      <c r="D98" s="438"/>
      <c r="E98" s="438"/>
      <c r="F98" s="438"/>
      <c r="G98" s="438"/>
      <c r="H98" s="438"/>
      <c r="I98" s="438"/>
      <c r="J98" s="438"/>
      <c r="K98" s="438"/>
      <c r="L98" s="438"/>
      <c r="M98" s="438"/>
      <c r="N98" s="438"/>
      <c r="O98" s="438"/>
      <c r="P98" s="450"/>
    </row>
    <row r="99" ht="16.5" spans="1:16">
      <c r="A99" s="435" t="s">
        <v>1906</v>
      </c>
      <c r="B99" s="439"/>
      <c r="C99" s="439"/>
      <c r="D99" s="439"/>
      <c r="E99" s="439"/>
      <c r="F99" s="439"/>
      <c r="G99" s="439"/>
      <c r="H99" s="439"/>
      <c r="I99" s="439"/>
      <c r="J99" s="439"/>
      <c r="K99" s="439"/>
      <c r="L99" s="439"/>
      <c r="M99" s="439"/>
      <c r="N99" s="439"/>
      <c r="O99" s="439"/>
      <c r="P99" s="449"/>
    </row>
    <row r="100" ht="16.5" spans="1:16">
      <c r="A100" s="320" t="s">
        <v>1811</v>
      </c>
      <c r="B100" s="420"/>
      <c r="C100" s="420"/>
      <c r="D100" s="420"/>
      <c r="E100" s="420"/>
      <c r="F100" s="420"/>
      <c r="G100" s="420"/>
      <c r="H100" s="420"/>
      <c r="I100" s="420"/>
      <c r="J100" s="420"/>
      <c r="K100" s="420"/>
      <c r="L100" s="420"/>
      <c r="M100" s="410"/>
      <c r="N100" s="410"/>
      <c r="O100" s="420"/>
      <c r="P100" s="423"/>
    </row>
    <row r="101" ht="16.5" spans="1:16">
      <c r="A101" s="430" t="s">
        <v>1907</v>
      </c>
      <c r="B101" s="429"/>
      <c r="C101" s="429"/>
      <c r="D101" s="429"/>
      <c r="E101" s="429"/>
      <c r="F101" s="429"/>
      <c r="G101" s="429"/>
      <c r="H101" s="429"/>
      <c r="I101" s="429"/>
      <c r="J101" s="429"/>
      <c r="K101" s="429"/>
      <c r="L101" s="429"/>
      <c r="M101" s="429"/>
      <c r="N101" s="429"/>
      <c r="O101" s="429"/>
      <c r="P101" s="447"/>
    </row>
    <row r="102" ht="16.5" spans="1:16">
      <c r="A102" s="428" t="s">
        <v>1908</v>
      </c>
      <c r="B102" s="429"/>
      <c r="C102" s="429"/>
      <c r="D102" s="429"/>
      <c r="E102" s="429"/>
      <c r="F102" s="429"/>
      <c r="G102" s="429"/>
      <c r="H102" s="429"/>
      <c r="I102" s="429"/>
      <c r="J102" s="429"/>
      <c r="K102" s="429"/>
      <c r="L102" s="429"/>
      <c r="M102" s="429"/>
      <c r="N102" s="429"/>
      <c r="O102" s="429"/>
      <c r="P102" s="447"/>
    </row>
    <row r="103" ht="16.5" spans="1:16">
      <c r="A103" s="427" t="s">
        <v>1909</v>
      </c>
      <c r="B103" s="440"/>
      <c r="C103" s="440"/>
      <c r="D103" s="440"/>
      <c r="E103" s="440"/>
      <c r="F103" s="440"/>
      <c r="G103" s="440"/>
      <c r="H103" s="440"/>
      <c r="I103" s="440"/>
      <c r="J103" s="440"/>
      <c r="K103" s="440"/>
      <c r="L103" s="440"/>
      <c r="M103" s="451"/>
      <c r="N103" s="451"/>
      <c r="O103" s="440"/>
      <c r="P103" s="452"/>
    </row>
    <row r="104" ht="16.5" spans="1:16">
      <c r="A104" s="434" t="s">
        <v>1910</v>
      </c>
      <c r="B104" s="420"/>
      <c r="C104" s="420"/>
      <c r="D104" s="420"/>
      <c r="E104" s="420"/>
      <c r="F104" s="420"/>
      <c r="G104" s="420"/>
      <c r="H104" s="420"/>
      <c r="I104" s="420"/>
      <c r="J104" s="420"/>
      <c r="K104" s="420"/>
      <c r="L104" s="420"/>
      <c r="M104" s="420"/>
      <c r="N104" s="420"/>
      <c r="O104" s="420"/>
      <c r="P104" s="421"/>
    </row>
    <row r="105" ht="16.5" spans="1:16">
      <c r="A105" s="320" t="s">
        <v>1817</v>
      </c>
      <c r="B105" s="420"/>
      <c r="C105" s="420"/>
      <c r="D105" s="420"/>
      <c r="E105" s="420"/>
      <c r="F105" s="420"/>
      <c r="G105" s="420"/>
      <c r="H105" s="420"/>
      <c r="I105" s="420"/>
      <c r="J105" s="420"/>
      <c r="K105" s="420"/>
      <c r="L105" s="420"/>
      <c r="M105" s="410"/>
      <c r="N105" s="410"/>
      <c r="O105" s="420"/>
      <c r="P105" s="423"/>
    </row>
    <row r="106" ht="16.5" spans="1:16">
      <c r="A106" s="408" t="s">
        <v>1911</v>
      </c>
      <c r="B106" s="420"/>
      <c r="C106" s="420"/>
      <c r="D106" s="420"/>
      <c r="E106" s="420"/>
      <c r="F106" s="420"/>
      <c r="G106" s="420"/>
      <c r="H106" s="420"/>
      <c r="I106" s="420"/>
      <c r="J106" s="420"/>
      <c r="K106" s="420"/>
      <c r="L106" s="420"/>
      <c r="M106" s="420"/>
      <c r="N106" s="420"/>
      <c r="O106" s="420"/>
      <c r="P106" s="421"/>
    </row>
    <row r="107" ht="16.5" spans="1:16">
      <c r="A107" s="320" t="s">
        <v>1819</v>
      </c>
      <c r="B107" s="420"/>
      <c r="C107" s="420"/>
      <c r="D107" s="420"/>
      <c r="E107" s="420"/>
      <c r="F107" s="420"/>
      <c r="G107" s="420"/>
      <c r="H107" s="420"/>
      <c r="I107" s="420"/>
      <c r="J107" s="420"/>
      <c r="K107" s="420"/>
      <c r="L107" s="420"/>
      <c r="M107" s="410"/>
      <c r="N107" s="410"/>
      <c r="O107" s="420"/>
      <c r="P107" s="423"/>
    </row>
    <row r="108" ht="16.5" spans="1:16">
      <c r="A108" s="322" t="s">
        <v>1820</v>
      </c>
      <c r="B108" s="420"/>
      <c r="C108" s="420"/>
      <c r="D108" s="420"/>
      <c r="E108" s="420"/>
      <c r="F108" s="420"/>
      <c r="G108" s="420"/>
      <c r="H108" s="420"/>
      <c r="I108" s="420"/>
      <c r="J108" s="420"/>
      <c r="K108" s="420"/>
      <c r="L108" s="420"/>
      <c r="M108" s="410"/>
      <c r="N108" s="410"/>
      <c r="O108" s="420"/>
      <c r="P108" s="423"/>
    </row>
    <row r="109" ht="16.5" spans="1:16">
      <c r="A109" s="322" t="s">
        <v>1912</v>
      </c>
      <c r="B109" s="420"/>
      <c r="C109" s="420"/>
      <c r="D109" s="420"/>
      <c r="E109" s="420"/>
      <c r="F109" s="420"/>
      <c r="G109" s="420"/>
      <c r="H109" s="420"/>
      <c r="I109" s="420"/>
      <c r="J109" s="420"/>
      <c r="K109" s="420"/>
      <c r="L109" s="420"/>
      <c r="M109" s="410"/>
      <c r="N109" s="410"/>
      <c r="O109" s="420"/>
      <c r="P109" s="423"/>
    </row>
    <row r="110" ht="16.5" spans="1:16">
      <c r="A110" s="320" t="s">
        <v>1822</v>
      </c>
      <c r="B110" s="420"/>
      <c r="C110" s="420"/>
      <c r="D110" s="420"/>
      <c r="E110" s="420"/>
      <c r="F110" s="420"/>
      <c r="G110" s="420"/>
      <c r="H110" s="420"/>
      <c r="I110" s="420"/>
      <c r="J110" s="420"/>
      <c r="K110" s="420"/>
      <c r="L110" s="420"/>
      <c r="M110" s="410"/>
      <c r="N110" s="410"/>
      <c r="O110" s="420"/>
      <c r="P110" s="423"/>
    </row>
    <row r="111" ht="16.5" spans="1:16">
      <c r="A111" s="408" t="s">
        <v>1823</v>
      </c>
      <c r="B111" s="408"/>
      <c r="C111" s="408"/>
      <c r="D111" s="408"/>
      <c r="E111" s="408"/>
      <c r="F111" s="408"/>
      <c r="G111" s="408"/>
      <c r="H111" s="408"/>
      <c r="I111" s="408"/>
      <c r="J111" s="408"/>
      <c r="K111" s="408"/>
      <c r="L111" s="408"/>
      <c r="M111" s="408"/>
      <c r="N111" s="408"/>
      <c r="O111" s="408"/>
      <c r="P111" s="453"/>
    </row>
    <row r="112" ht="16.5" spans="1:16">
      <c r="A112" s="441" t="s">
        <v>1824</v>
      </c>
      <c r="B112" s="442"/>
      <c r="C112" s="442"/>
      <c r="D112" s="442"/>
      <c r="E112" s="442"/>
      <c r="F112" s="442"/>
      <c r="G112" s="442"/>
      <c r="H112" s="442"/>
      <c r="I112" s="442"/>
      <c r="J112" s="442"/>
      <c r="K112" s="442"/>
      <c r="L112" s="442"/>
      <c r="M112" s="442"/>
      <c r="N112" s="442"/>
      <c r="O112" s="442"/>
      <c r="P112" s="454"/>
    </row>
    <row r="113" ht="16.5" spans="1:16">
      <c r="A113" s="320" t="s">
        <v>1825</v>
      </c>
      <c r="B113" s="420"/>
      <c r="C113" s="420"/>
      <c r="D113" s="420"/>
      <c r="E113" s="420"/>
      <c r="F113" s="420"/>
      <c r="G113" s="420"/>
      <c r="H113" s="420"/>
      <c r="I113" s="420"/>
      <c r="J113" s="420"/>
      <c r="K113" s="420"/>
      <c r="L113" s="420"/>
      <c r="M113" s="410"/>
      <c r="N113" s="410"/>
      <c r="O113" s="420"/>
      <c r="P113" s="423"/>
    </row>
    <row r="114" ht="16.5" spans="1:16">
      <c r="A114" s="322" t="s">
        <v>1826</v>
      </c>
      <c r="B114" s="420"/>
      <c r="C114" s="420"/>
      <c r="D114" s="420"/>
      <c r="E114" s="420"/>
      <c r="F114" s="420"/>
      <c r="G114" s="420"/>
      <c r="H114" s="420"/>
      <c r="I114" s="420"/>
      <c r="J114" s="420"/>
      <c r="K114" s="420"/>
      <c r="L114" s="420"/>
      <c r="M114" s="410"/>
      <c r="N114" s="410"/>
      <c r="O114" s="420"/>
      <c r="P114" s="423"/>
    </row>
    <row r="115" ht="16.5" spans="1:16">
      <c r="A115" s="322" t="s">
        <v>1827</v>
      </c>
      <c r="B115" s="420"/>
      <c r="C115" s="420"/>
      <c r="D115" s="420"/>
      <c r="E115" s="420"/>
      <c r="F115" s="420"/>
      <c r="G115" s="420"/>
      <c r="H115" s="420"/>
      <c r="I115" s="420"/>
      <c r="J115" s="420"/>
      <c r="K115" s="420"/>
      <c r="L115" s="420"/>
      <c r="M115" s="410"/>
      <c r="N115" s="410"/>
      <c r="O115" s="420"/>
      <c r="P115" s="423"/>
    </row>
    <row r="116" ht="16.5" spans="1:16">
      <c r="A116" s="408" t="s">
        <v>1828</v>
      </c>
      <c r="B116" s="420"/>
      <c r="C116" s="420"/>
      <c r="D116" s="420"/>
      <c r="E116" s="420"/>
      <c r="F116" s="420"/>
      <c r="G116" s="420"/>
      <c r="H116" s="420"/>
      <c r="I116" s="420"/>
      <c r="J116" s="420"/>
      <c r="K116" s="420"/>
      <c r="L116" s="420"/>
      <c r="M116" s="420"/>
      <c r="N116" s="420"/>
      <c r="O116" s="420"/>
      <c r="P116" s="421"/>
    </row>
    <row r="117" ht="16.5" spans="1:16">
      <c r="A117" s="322" t="s">
        <v>1829</v>
      </c>
      <c r="B117" s="420"/>
      <c r="C117" s="420"/>
      <c r="D117" s="420"/>
      <c r="E117" s="420"/>
      <c r="F117" s="420"/>
      <c r="G117" s="420"/>
      <c r="H117" s="420"/>
      <c r="I117" s="420"/>
      <c r="J117" s="420"/>
      <c r="K117" s="420"/>
      <c r="L117" s="420"/>
      <c r="M117" s="410"/>
      <c r="N117" s="410"/>
      <c r="O117" s="420"/>
      <c r="P117" s="423"/>
    </row>
    <row r="118" ht="16.5" spans="1:16">
      <c r="A118" s="408" t="s">
        <v>1830</v>
      </c>
      <c r="B118" s="420"/>
      <c r="C118" s="420"/>
      <c r="D118" s="420"/>
      <c r="E118" s="420"/>
      <c r="F118" s="420"/>
      <c r="G118" s="420"/>
      <c r="H118" s="420"/>
      <c r="I118" s="420"/>
      <c r="J118" s="420"/>
      <c r="K118" s="420"/>
      <c r="L118" s="420"/>
      <c r="M118" s="420"/>
      <c r="N118" s="420"/>
      <c r="O118" s="420"/>
      <c r="P118" s="421"/>
    </row>
    <row r="119" ht="16.5" spans="1:16">
      <c r="A119" s="408" t="s">
        <v>1831</v>
      </c>
      <c r="B119" s="420"/>
      <c r="C119" s="420"/>
      <c r="D119" s="420"/>
      <c r="E119" s="420"/>
      <c r="F119" s="420"/>
      <c r="G119" s="420"/>
      <c r="H119" s="420"/>
      <c r="I119" s="420"/>
      <c r="J119" s="420"/>
      <c r="K119" s="420"/>
      <c r="L119" s="420"/>
      <c r="M119" s="420"/>
      <c r="N119" s="420"/>
      <c r="O119" s="420"/>
      <c r="P119" s="421"/>
    </row>
    <row r="120" ht="16.5" spans="1:16">
      <c r="A120" s="322" t="s">
        <v>1832</v>
      </c>
      <c r="B120" s="420"/>
      <c r="C120" s="420"/>
      <c r="D120" s="420"/>
      <c r="E120" s="420"/>
      <c r="F120" s="420"/>
      <c r="G120" s="420"/>
      <c r="H120" s="420"/>
      <c r="I120" s="420"/>
      <c r="J120" s="420"/>
      <c r="K120" s="420"/>
      <c r="L120" s="420"/>
      <c r="M120" s="410"/>
      <c r="N120" s="410"/>
      <c r="O120" s="420"/>
      <c r="P120" s="423"/>
    </row>
    <row r="121" ht="16.5" spans="1:16">
      <c r="A121" s="443" t="s">
        <v>1833</v>
      </c>
      <c r="B121" s="444"/>
      <c r="C121" s="444"/>
      <c r="D121" s="444"/>
      <c r="E121" s="444"/>
      <c r="F121" s="444"/>
      <c r="G121" s="444"/>
      <c r="H121" s="444"/>
      <c r="I121" s="444"/>
      <c r="J121" s="444"/>
      <c r="K121" s="444"/>
      <c r="L121" s="444"/>
      <c r="M121" s="444"/>
      <c r="N121" s="444"/>
      <c r="O121" s="444"/>
      <c r="P121" s="455"/>
    </row>
    <row r="122" ht="16.5" spans="1:16">
      <c r="A122" s="320" t="s">
        <v>1835</v>
      </c>
      <c r="B122" s="420"/>
      <c r="C122" s="420"/>
      <c r="D122" s="420"/>
      <c r="E122" s="420"/>
      <c r="F122" s="420"/>
      <c r="G122" s="420"/>
      <c r="H122" s="420"/>
      <c r="I122" s="420"/>
      <c r="J122" s="420"/>
      <c r="K122" s="420"/>
      <c r="L122" s="420"/>
      <c r="M122" s="410"/>
      <c r="N122" s="410"/>
      <c r="O122" s="420"/>
      <c r="P122" s="421"/>
    </row>
    <row r="123" ht="16.5" spans="1:16">
      <c r="A123" s="445" t="s">
        <v>1836</v>
      </c>
      <c r="B123" s="325"/>
      <c r="C123" s="325"/>
      <c r="D123" s="325"/>
      <c r="E123" s="325"/>
      <c r="F123" s="325"/>
      <c r="G123" s="325"/>
      <c r="H123" s="325"/>
      <c r="I123" s="325"/>
      <c r="J123" s="325"/>
      <c r="K123" s="325"/>
      <c r="L123" s="325"/>
      <c r="M123" s="325"/>
      <c r="N123" s="325"/>
      <c r="O123" s="325"/>
      <c r="P123" s="424"/>
    </row>
    <row r="124" ht="16.5" spans="1:16">
      <c r="A124" s="428" t="s">
        <v>1913</v>
      </c>
      <c r="B124" s="429"/>
      <c r="C124" s="429"/>
      <c r="D124" s="429"/>
      <c r="E124" s="429"/>
      <c r="F124" s="429"/>
      <c r="G124" s="429"/>
      <c r="H124" s="429"/>
      <c r="I124" s="429"/>
      <c r="J124" s="429"/>
      <c r="K124" s="429"/>
      <c r="L124" s="429"/>
      <c r="M124" s="429"/>
      <c r="N124" s="429"/>
      <c r="O124" s="429"/>
      <c r="P124" s="447"/>
    </row>
    <row r="125" ht="16.5" spans="1:16">
      <c r="A125" s="434" t="s">
        <v>1914</v>
      </c>
      <c r="B125" s="426"/>
      <c r="C125" s="426"/>
      <c r="D125" s="426"/>
      <c r="E125" s="426"/>
      <c r="F125" s="426"/>
      <c r="G125" s="426"/>
      <c r="H125" s="426"/>
      <c r="I125" s="426"/>
      <c r="J125" s="426"/>
      <c r="K125" s="426"/>
      <c r="L125" s="426"/>
      <c r="M125" s="426"/>
      <c r="N125" s="426"/>
      <c r="O125" s="426"/>
      <c r="P125" s="446"/>
    </row>
    <row r="126" ht="16.5" spans="1:16">
      <c r="A126" s="434" t="s">
        <v>1915</v>
      </c>
      <c r="B126" s="426"/>
      <c r="C126" s="426"/>
      <c r="D126" s="426"/>
      <c r="E126" s="426"/>
      <c r="F126" s="426"/>
      <c r="G126" s="426"/>
      <c r="H126" s="426"/>
      <c r="I126" s="426"/>
      <c r="J126" s="426"/>
      <c r="K126" s="426"/>
      <c r="L126" s="426"/>
      <c r="M126" s="426"/>
      <c r="N126" s="426"/>
      <c r="O126" s="426"/>
      <c r="P126" s="446"/>
    </row>
    <row r="127" ht="16.5" spans="1:16">
      <c r="A127" s="434" t="s">
        <v>1916</v>
      </c>
      <c r="B127" s="426"/>
      <c r="C127" s="426"/>
      <c r="D127" s="426"/>
      <c r="E127" s="426"/>
      <c r="F127" s="426"/>
      <c r="G127" s="426"/>
      <c r="H127" s="426"/>
      <c r="I127" s="426"/>
      <c r="J127" s="426"/>
      <c r="K127" s="426"/>
      <c r="L127" s="426"/>
      <c r="M127" s="426"/>
      <c r="N127" s="426"/>
      <c r="O127" s="426"/>
      <c r="P127" s="446"/>
    </row>
    <row r="128" ht="16.5" spans="1:16">
      <c r="A128" s="434" t="s">
        <v>1917</v>
      </c>
      <c r="B128" s="426"/>
      <c r="C128" s="426"/>
      <c r="D128" s="426"/>
      <c r="E128" s="426"/>
      <c r="F128" s="426"/>
      <c r="G128" s="426"/>
      <c r="H128" s="426"/>
      <c r="I128" s="426"/>
      <c r="J128" s="426"/>
      <c r="K128" s="426"/>
      <c r="L128" s="426"/>
      <c r="M128" s="426"/>
      <c r="N128" s="426"/>
      <c r="O128" s="426"/>
      <c r="P128" s="446"/>
    </row>
    <row r="129" ht="16.5" spans="1:16">
      <c r="A129" s="434" t="s">
        <v>1918</v>
      </c>
      <c r="B129" s="426"/>
      <c r="C129" s="426"/>
      <c r="D129" s="426"/>
      <c r="E129" s="426"/>
      <c r="F129" s="426"/>
      <c r="G129" s="426"/>
      <c r="H129" s="426"/>
      <c r="I129" s="426"/>
      <c r="J129" s="426"/>
      <c r="K129" s="426"/>
      <c r="L129" s="426"/>
      <c r="M129" s="426"/>
      <c r="N129" s="426"/>
      <c r="O129" s="426"/>
      <c r="P129" s="446"/>
    </row>
    <row r="130" ht="16.5" spans="1:16">
      <c r="A130" s="431" t="s">
        <v>1919</v>
      </c>
      <c r="B130" s="456"/>
      <c r="C130" s="456"/>
      <c r="D130" s="456"/>
      <c r="E130" s="456"/>
      <c r="F130" s="456"/>
      <c r="G130" s="456"/>
      <c r="H130" s="456"/>
      <c r="I130" s="456"/>
      <c r="J130" s="456"/>
      <c r="K130" s="456"/>
      <c r="L130" s="456"/>
      <c r="M130" s="456"/>
      <c r="N130" s="456"/>
      <c r="O130" s="456"/>
      <c r="P130" s="461"/>
    </row>
    <row r="131" ht="16.5" spans="1:16">
      <c r="A131" s="431" t="s">
        <v>1920</v>
      </c>
      <c r="B131" s="457"/>
      <c r="C131" s="457"/>
      <c r="D131" s="457"/>
      <c r="E131" s="457"/>
      <c r="F131" s="457"/>
      <c r="G131" s="457"/>
      <c r="H131" s="457"/>
      <c r="I131" s="457"/>
      <c r="J131" s="457"/>
      <c r="K131" s="457"/>
      <c r="L131" s="457"/>
      <c r="M131" s="457"/>
      <c r="N131" s="457"/>
      <c r="O131" s="457"/>
      <c r="P131" s="462"/>
    </row>
    <row r="132" ht="16.5" spans="1:16">
      <c r="A132" s="427" t="s">
        <v>1921</v>
      </c>
      <c r="B132" s="420"/>
      <c r="C132" s="420"/>
      <c r="D132" s="420"/>
      <c r="E132" s="420"/>
      <c r="F132" s="420"/>
      <c r="G132" s="420"/>
      <c r="H132" s="420"/>
      <c r="I132" s="420"/>
      <c r="J132" s="420"/>
      <c r="K132" s="420"/>
      <c r="L132" s="420"/>
      <c r="M132" s="420"/>
      <c r="N132" s="420"/>
      <c r="O132" s="420"/>
      <c r="P132" s="421"/>
    </row>
    <row r="133" ht="16.5" spans="1:16">
      <c r="A133" s="320" t="s">
        <v>1845</v>
      </c>
      <c r="B133" s="420"/>
      <c r="C133" s="420"/>
      <c r="D133" s="420"/>
      <c r="E133" s="420"/>
      <c r="F133" s="420"/>
      <c r="G133" s="420"/>
      <c r="H133" s="420"/>
      <c r="I133" s="420"/>
      <c r="J133" s="420"/>
      <c r="K133" s="420"/>
      <c r="L133" s="420"/>
      <c r="M133" s="410"/>
      <c r="N133" s="410"/>
      <c r="O133" s="420"/>
      <c r="P133" s="421"/>
    </row>
    <row r="134" ht="16.5" spans="1:16">
      <c r="A134" s="322" t="s">
        <v>1846</v>
      </c>
      <c r="B134" s="420"/>
      <c r="C134" s="420"/>
      <c r="D134" s="420"/>
      <c r="E134" s="420"/>
      <c r="F134" s="420"/>
      <c r="G134" s="420"/>
      <c r="H134" s="420"/>
      <c r="I134" s="420"/>
      <c r="J134" s="420"/>
      <c r="K134" s="420"/>
      <c r="L134" s="420"/>
      <c r="M134" s="410"/>
      <c r="N134" s="410"/>
      <c r="O134" s="420"/>
      <c r="P134" s="423"/>
    </row>
    <row r="135" ht="16.5" spans="1:16">
      <c r="A135" s="441" t="s">
        <v>1847</v>
      </c>
      <c r="B135" s="458"/>
      <c r="C135" s="458"/>
      <c r="D135" s="458"/>
      <c r="E135" s="458"/>
      <c r="F135" s="458"/>
      <c r="G135" s="458"/>
      <c r="H135" s="458"/>
      <c r="I135" s="458"/>
      <c r="J135" s="458"/>
      <c r="K135" s="458"/>
      <c r="L135" s="458"/>
      <c r="M135" s="463"/>
      <c r="N135" s="463"/>
      <c r="O135" s="458"/>
      <c r="P135" s="464"/>
    </row>
    <row r="136" ht="16.5" spans="1:16">
      <c r="A136" s="441" t="s">
        <v>1848</v>
      </c>
      <c r="B136" s="458"/>
      <c r="C136" s="458"/>
      <c r="D136" s="458"/>
      <c r="E136" s="458"/>
      <c r="F136" s="458"/>
      <c r="G136" s="458"/>
      <c r="H136" s="458"/>
      <c r="I136" s="458"/>
      <c r="J136" s="458"/>
      <c r="K136" s="458"/>
      <c r="L136" s="458"/>
      <c r="M136" s="463"/>
      <c r="N136" s="463"/>
      <c r="O136" s="458"/>
      <c r="P136" s="464"/>
    </row>
    <row r="137" ht="16.5" spans="1:16">
      <c r="A137" s="320" t="s">
        <v>1849</v>
      </c>
      <c r="B137" s="420"/>
      <c r="C137" s="420"/>
      <c r="D137" s="420"/>
      <c r="E137" s="420"/>
      <c r="F137" s="420"/>
      <c r="G137" s="420"/>
      <c r="H137" s="420"/>
      <c r="I137" s="420"/>
      <c r="J137" s="420"/>
      <c r="K137" s="420"/>
      <c r="L137" s="420"/>
      <c r="M137" s="410"/>
      <c r="N137" s="410"/>
      <c r="O137" s="420"/>
      <c r="P137" s="423"/>
    </row>
    <row r="138" ht="16.5" spans="1:16">
      <c r="A138" s="322" t="s">
        <v>1850</v>
      </c>
      <c r="B138" s="420"/>
      <c r="C138" s="420"/>
      <c r="D138" s="420"/>
      <c r="E138" s="420"/>
      <c r="F138" s="420"/>
      <c r="G138" s="420"/>
      <c r="H138" s="420"/>
      <c r="I138" s="420"/>
      <c r="J138" s="420"/>
      <c r="K138" s="420"/>
      <c r="L138" s="420"/>
      <c r="M138" s="410"/>
      <c r="N138" s="410"/>
      <c r="O138" s="420"/>
      <c r="P138" s="423"/>
    </row>
    <row r="139" ht="16.5" spans="1:16">
      <c r="A139" s="459" t="s">
        <v>1851</v>
      </c>
      <c r="B139" s="460"/>
      <c r="C139" s="460"/>
      <c r="D139" s="460"/>
      <c r="E139" s="460"/>
      <c r="F139" s="460"/>
      <c r="G139" s="460"/>
      <c r="H139" s="460"/>
      <c r="I139" s="460"/>
      <c r="J139" s="460"/>
      <c r="K139" s="460"/>
      <c r="L139" s="460"/>
      <c r="M139" s="465"/>
      <c r="N139" s="465"/>
      <c r="O139" s="460"/>
      <c r="P139" s="466"/>
    </row>
  </sheetData>
  <sheetProtection formatCells="0" formatColumns="0" formatRows="0" insertRows="0" insertColumns="0" insertHyperlinks="0" deleteColumns="0" deleteRows="0" sort="0" autoFilter="0" pivotTables="0"/>
  <autoFilter xmlns:etc="http://www.wps.cn/officeDocument/2017/etCustomData" ref="A3:P139" etc:filterBottomFollowUsedRange="0">
    <extLst/>
  </autoFilter>
  <mergeCells count="138">
    <mergeCell ref="K2:L2"/>
    <mergeCell ref="A64:P64"/>
    <mergeCell ref="A65:P65"/>
    <mergeCell ref="A66:P66"/>
    <mergeCell ref="A70:P70"/>
    <mergeCell ref="A73:P73"/>
    <mergeCell ref="A74:P74"/>
    <mergeCell ref="A75:P75"/>
    <mergeCell ref="A76:P76"/>
    <mergeCell ref="A91:P91"/>
    <mergeCell ref="A92:P92"/>
    <mergeCell ref="A93:P93"/>
    <mergeCell ref="A95:P95"/>
    <mergeCell ref="A96:P96"/>
    <mergeCell ref="A97:P97"/>
    <mergeCell ref="A98:P98"/>
    <mergeCell ref="A99:P99"/>
    <mergeCell ref="A101:P101"/>
    <mergeCell ref="A102:P102"/>
    <mergeCell ref="A104:P104"/>
    <mergeCell ref="A106:P106"/>
    <mergeCell ref="A111:P111"/>
    <mergeCell ref="A112:P112"/>
    <mergeCell ref="A116:P116"/>
    <mergeCell ref="A118:P118"/>
    <mergeCell ref="A119:P119"/>
    <mergeCell ref="A121:P121"/>
    <mergeCell ref="A123:P123"/>
    <mergeCell ref="A124:P124"/>
    <mergeCell ref="A125:P125"/>
    <mergeCell ref="A126:P126"/>
    <mergeCell ref="A127:P127"/>
    <mergeCell ref="A128:P128"/>
    <mergeCell ref="A129:P129"/>
    <mergeCell ref="A130:P130"/>
    <mergeCell ref="A131:P131"/>
    <mergeCell ref="A2:A3"/>
    <mergeCell ref="A4:A16"/>
    <mergeCell ref="A23:A57"/>
    <mergeCell ref="B2:B3"/>
    <mergeCell ref="D2:D3"/>
    <mergeCell ref="D4:D11"/>
    <mergeCell ref="D12:D16"/>
    <mergeCell ref="D17:D22"/>
    <mergeCell ref="D23:D24"/>
    <mergeCell ref="D25:D28"/>
    <mergeCell ref="D29:D30"/>
    <mergeCell ref="D31:D32"/>
    <mergeCell ref="D33:D34"/>
    <mergeCell ref="D35:D36"/>
    <mergeCell ref="D37:D38"/>
    <mergeCell ref="D39:D40"/>
    <mergeCell ref="D42:D43"/>
    <mergeCell ref="D49:D50"/>
    <mergeCell ref="D51:D52"/>
    <mergeCell ref="D53:D54"/>
    <mergeCell ref="E2:E3"/>
    <mergeCell ref="E4:E11"/>
    <mergeCell ref="E12:E16"/>
    <mergeCell ref="E17:E22"/>
    <mergeCell ref="E23:E24"/>
    <mergeCell ref="E25:E28"/>
    <mergeCell ref="E29:E30"/>
    <mergeCell ref="E31:E32"/>
    <mergeCell ref="E33:E34"/>
    <mergeCell ref="E35:E36"/>
    <mergeCell ref="E37:E38"/>
    <mergeCell ref="E39:E40"/>
    <mergeCell ref="E42:E43"/>
    <mergeCell ref="E49:E50"/>
    <mergeCell ref="E51:E52"/>
    <mergeCell ref="E53:E54"/>
    <mergeCell ref="F2:F3"/>
    <mergeCell ref="M2:M3"/>
    <mergeCell ref="M4:M11"/>
    <mergeCell ref="M12:M16"/>
    <mergeCell ref="M17:M22"/>
    <mergeCell ref="M23:M24"/>
    <mergeCell ref="M25:M28"/>
    <mergeCell ref="M29:M30"/>
    <mergeCell ref="M31:M32"/>
    <mergeCell ref="M33:M34"/>
    <mergeCell ref="M35:M38"/>
    <mergeCell ref="M39:M43"/>
    <mergeCell ref="M47:M50"/>
    <mergeCell ref="M51:M52"/>
    <mergeCell ref="M53:M54"/>
    <mergeCell ref="M55:M57"/>
    <mergeCell ref="N2:N3"/>
    <mergeCell ref="N4:N11"/>
    <mergeCell ref="N12:N16"/>
    <mergeCell ref="N17:N22"/>
    <mergeCell ref="N23:N24"/>
    <mergeCell ref="N25:N28"/>
    <mergeCell ref="N29:N30"/>
    <mergeCell ref="N31:N32"/>
    <mergeCell ref="N33:N34"/>
    <mergeCell ref="N35:N36"/>
    <mergeCell ref="N37:N38"/>
    <mergeCell ref="N39:N43"/>
    <mergeCell ref="N46:N50"/>
    <mergeCell ref="N51:N52"/>
    <mergeCell ref="N53:N54"/>
    <mergeCell ref="N55:N57"/>
    <mergeCell ref="O2:O3"/>
    <mergeCell ref="O4:O11"/>
    <mergeCell ref="O12:O16"/>
    <mergeCell ref="O17:O22"/>
    <mergeCell ref="O23:O24"/>
    <mergeCell ref="O25:O28"/>
    <mergeCell ref="O29:O30"/>
    <mergeCell ref="O31:O32"/>
    <mergeCell ref="O33:O34"/>
    <mergeCell ref="O35:O36"/>
    <mergeCell ref="O37:O38"/>
    <mergeCell ref="O39:O40"/>
    <mergeCell ref="O42:O43"/>
    <mergeCell ref="O46:O50"/>
    <mergeCell ref="O51:O52"/>
    <mergeCell ref="O53:O54"/>
    <mergeCell ref="O55:O57"/>
    <mergeCell ref="P2:P3"/>
    <mergeCell ref="P4:P11"/>
    <mergeCell ref="P12:P16"/>
    <mergeCell ref="P17:P22"/>
    <mergeCell ref="P23:P24"/>
    <mergeCell ref="P25:P28"/>
    <mergeCell ref="P29:P30"/>
    <mergeCell ref="P31:P32"/>
    <mergeCell ref="P33:P34"/>
    <mergeCell ref="P35:P36"/>
    <mergeCell ref="P37:P38"/>
    <mergeCell ref="P39:P40"/>
    <mergeCell ref="P42:P43"/>
    <mergeCell ref="P46:P50"/>
    <mergeCell ref="P51:P52"/>
    <mergeCell ref="P53:P54"/>
    <mergeCell ref="P55:P57"/>
  </mergeCells>
  <hyperlinks>
    <hyperlink ref="A121" r:id="rId1" display="以上具体规则均参考递四方官网保价保险“http://express.4px.com/article/detail/id/500004/cid/28” 易碎物品只保丢失不保破损。（以实际投保受理为准）；"/>
    <hyperlink ref="A135" r:id="rId2" display="http://track.4px.com/"/>
    <hyperlink ref="A136" r:id="rId3" display="https://www.17track.net/zh-cn"/>
    <hyperlink ref="A67" location="异形件说明!A1" display="关于异形件示例，见附表【异形件说明】。"/>
    <hyperlink ref="A112" r:id="rId4" display="2、各渠道赔偿标准以递四方官网为准“http://express.4px.com/article/detail/id/500425/cid/28”；"/>
    <hyperlink ref="P23" location="'分区&amp;无服务邮编表'!F3:H3" display="无服务邮编&#10;详见 【分区&amp;无服务邮编表】"/>
    <hyperlink ref="P23:P24" location="'分区&amp;无服务邮编表'!B3:F3" display="无服务邮编&#10;详见 【分区&amp;无服务邮编表】"/>
    <hyperlink ref="A95" location="'分区&amp;无服务邮编表'!A:C" display="英国：只服务主要地区，若因篡改地址规则发往军事地址BFPO需加收附加费110RMB/票；若因篡改地址规则发往偏远区域，费用实报实销，偏远邮编详见【分区&amp;无服务邮编表】；"/>
    <hyperlink ref="P1" location="'价格表目录'!A1" display="返回目录"/>
    <hyperlink ref="P17:P22" location="禁运物品清单!A1" display="【禁运物品清单】"/>
  </hyperlink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A1:N255"/>
  <sheetViews>
    <sheetView topLeftCell="C1" workbookViewId="0">
      <pane ySplit="4" topLeftCell="A113" activePane="bottomLeft" state="frozen"/>
      <selection/>
      <selection pane="bottomLeft" activeCell="J14" sqref="J14"/>
    </sheetView>
  </sheetViews>
  <sheetFormatPr defaultColWidth="9" defaultRowHeight="13.5"/>
  <cols>
    <col min="1" max="2" width="18" style="239" customWidth="1"/>
    <col min="3" max="3" width="20.3583333333333" style="239" customWidth="1"/>
    <col min="4" max="11" width="28" style="239" customWidth="1"/>
    <col min="12" max="16384" width="9" style="239"/>
  </cols>
  <sheetData>
    <row r="1" ht="40" customHeight="1" spans="1:14">
      <c r="A1" s="240" t="s">
        <v>1922</v>
      </c>
      <c r="B1" s="241"/>
      <c r="C1" s="241"/>
      <c r="D1" s="241"/>
      <c r="E1" s="241"/>
      <c r="F1" s="241"/>
      <c r="G1" s="241"/>
      <c r="H1" s="241"/>
      <c r="I1" s="251"/>
      <c r="J1" s="252" t="s">
        <v>685</v>
      </c>
      <c r="K1" s="253"/>
      <c r="L1" s="253"/>
      <c r="M1" s="253"/>
      <c r="N1" s="254"/>
    </row>
    <row r="2" ht="40" customHeight="1" spans="1:14">
      <c r="A2" s="242" t="s">
        <v>1923</v>
      </c>
      <c r="B2" s="243" t="s">
        <v>1924</v>
      </c>
      <c r="C2" s="241"/>
      <c r="D2" s="241"/>
      <c r="E2" s="241"/>
      <c r="F2" s="241"/>
      <c r="G2" s="241"/>
      <c r="H2" s="241"/>
      <c r="I2" s="251"/>
      <c r="J2" s="255"/>
      <c r="K2" s="252"/>
      <c r="L2" s="252"/>
      <c r="M2" s="252"/>
      <c r="N2" s="256"/>
    </row>
    <row r="3" ht="40" customHeight="1" spans="1:14">
      <c r="A3" s="242" t="s">
        <v>1925</v>
      </c>
      <c r="B3" s="243" t="s">
        <v>1926</v>
      </c>
      <c r="C3" s="241"/>
      <c r="D3" s="241"/>
      <c r="E3" s="241"/>
      <c r="F3" s="241"/>
      <c r="G3" s="241"/>
      <c r="H3" s="241"/>
      <c r="I3" s="251"/>
      <c r="J3" s="257"/>
      <c r="K3" s="258"/>
      <c r="L3" s="258"/>
      <c r="M3" s="258"/>
      <c r="N3" s="259"/>
    </row>
    <row r="4" ht="23" customHeight="1" spans="1:12">
      <c r="A4" s="242" t="s">
        <v>1732</v>
      </c>
      <c r="B4" s="242" t="s">
        <v>661</v>
      </c>
      <c r="C4" s="242" t="s">
        <v>688</v>
      </c>
      <c r="D4" s="242" t="s">
        <v>689</v>
      </c>
      <c r="E4" s="242" t="s">
        <v>690</v>
      </c>
      <c r="F4" s="242" t="s">
        <v>691</v>
      </c>
      <c r="G4" s="242" t="s">
        <v>1545</v>
      </c>
      <c r="H4" s="242" t="s">
        <v>1546</v>
      </c>
      <c r="I4" s="242" t="s">
        <v>692</v>
      </c>
      <c r="K4" s="239" t="s">
        <v>689</v>
      </c>
      <c r="L4" s="239" t="s">
        <v>690</v>
      </c>
    </row>
    <row r="5" ht="23" customHeight="1" spans="1:12">
      <c r="A5" s="244" t="s">
        <v>1693</v>
      </c>
      <c r="B5" s="245" t="s">
        <v>24</v>
      </c>
      <c r="C5" s="246" t="s">
        <v>25</v>
      </c>
      <c r="D5" s="151" t="s">
        <v>1927</v>
      </c>
      <c r="E5" s="151" t="s">
        <v>694</v>
      </c>
      <c r="F5" s="151" t="s">
        <v>695</v>
      </c>
      <c r="G5" s="247">
        <v>0.001</v>
      </c>
      <c r="H5" s="247">
        <v>0.1</v>
      </c>
      <c r="I5" s="244" t="s">
        <v>1928</v>
      </c>
      <c r="K5" s="260">
        <v>126</v>
      </c>
      <c r="L5" s="260">
        <v>18</v>
      </c>
    </row>
    <row r="6" ht="23" customHeight="1" spans="1:12">
      <c r="A6" s="244" t="s">
        <v>1693</v>
      </c>
      <c r="B6" s="245" t="s">
        <v>24</v>
      </c>
      <c r="C6" s="246" t="s">
        <v>25</v>
      </c>
      <c r="D6" s="151" t="s">
        <v>1929</v>
      </c>
      <c r="E6" s="151" t="s">
        <v>698</v>
      </c>
      <c r="F6" s="151" t="s">
        <v>699</v>
      </c>
      <c r="G6" s="247">
        <v>0.101</v>
      </c>
      <c r="H6" s="247">
        <v>0.2</v>
      </c>
      <c r="I6" s="244" t="s">
        <v>1928</v>
      </c>
      <c r="K6" s="260">
        <v>126</v>
      </c>
      <c r="L6" s="260">
        <v>18</v>
      </c>
    </row>
    <row r="7" ht="23" customHeight="1" spans="1:12">
      <c r="A7" s="244" t="s">
        <v>1693</v>
      </c>
      <c r="B7" s="245" t="s">
        <v>24</v>
      </c>
      <c r="C7" s="246" t="s">
        <v>25</v>
      </c>
      <c r="D7" s="151" t="s">
        <v>1930</v>
      </c>
      <c r="E7" s="151" t="s">
        <v>701</v>
      </c>
      <c r="F7" s="151" t="s">
        <v>702</v>
      </c>
      <c r="G7" s="247">
        <v>0.201</v>
      </c>
      <c r="H7" s="247">
        <v>0.45</v>
      </c>
      <c r="I7" s="244" t="s">
        <v>1928</v>
      </c>
      <c r="K7" s="260">
        <v>126</v>
      </c>
      <c r="L7" s="260">
        <v>16</v>
      </c>
    </row>
    <row r="8" ht="23" customHeight="1" spans="1:12">
      <c r="A8" s="244" t="s">
        <v>1693</v>
      </c>
      <c r="B8" s="245" t="s">
        <v>24</v>
      </c>
      <c r="C8" s="246" t="s">
        <v>25</v>
      </c>
      <c r="D8" s="151" t="s">
        <v>803</v>
      </c>
      <c r="E8" s="151" t="s">
        <v>701</v>
      </c>
      <c r="F8" s="151" t="s">
        <v>704</v>
      </c>
      <c r="G8" s="247">
        <v>0.451</v>
      </c>
      <c r="H8" s="247">
        <v>0.7</v>
      </c>
      <c r="I8" s="244" t="s">
        <v>1928</v>
      </c>
      <c r="K8" s="260">
        <v>120</v>
      </c>
      <c r="L8" s="260">
        <v>16</v>
      </c>
    </row>
    <row r="9" ht="23" customHeight="1" spans="1:12">
      <c r="A9" s="244" t="s">
        <v>1693</v>
      </c>
      <c r="B9" s="245" t="s">
        <v>24</v>
      </c>
      <c r="C9" s="246" t="s">
        <v>25</v>
      </c>
      <c r="D9" s="151" t="s">
        <v>803</v>
      </c>
      <c r="E9" s="151" t="s">
        <v>705</v>
      </c>
      <c r="F9" s="151" t="s">
        <v>706</v>
      </c>
      <c r="G9" s="247">
        <v>0.701</v>
      </c>
      <c r="H9" s="247">
        <v>1.5</v>
      </c>
      <c r="I9" s="244" t="s">
        <v>1928</v>
      </c>
      <c r="K9" s="260">
        <v>120</v>
      </c>
      <c r="L9" s="260">
        <v>9</v>
      </c>
    </row>
    <row r="10" ht="23" customHeight="1" spans="1:12">
      <c r="A10" s="244" t="s">
        <v>1693</v>
      </c>
      <c r="B10" s="245" t="s">
        <v>24</v>
      </c>
      <c r="C10" s="246" t="s">
        <v>25</v>
      </c>
      <c r="D10" s="151" t="s">
        <v>803</v>
      </c>
      <c r="E10" s="151" t="s">
        <v>705</v>
      </c>
      <c r="F10" s="151" t="s">
        <v>707</v>
      </c>
      <c r="G10" s="247">
        <v>1.501</v>
      </c>
      <c r="H10" s="247">
        <v>2</v>
      </c>
      <c r="I10" s="244" t="s">
        <v>1928</v>
      </c>
      <c r="K10" s="260">
        <v>120</v>
      </c>
      <c r="L10" s="260">
        <v>9</v>
      </c>
    </row>
    <row r="11" ht="23" customHeight="1" spans="1:12">
      <c r="A11" s="244"/>
      <c r="B11" s="245"/>
      <c r="C11" s="246" t="s">
        <v>25</v>
      </c>
      <c r="D11" s="151" t="s">
        <v>1931</v>
      </c>
      <c r="E11" s="151" t="s">
        <v>705</v>
      </c>
      <c r="F11" s="151" t="s">
        <v>709</v>
      </c>
      <c r="G11" s="247">
        <v>2.001</v>
      </c>
      <c r="H11" s="247">
        <v>30</v>
      </c>
      <c r="I11" s="244"/>
      <c r="K11" s="260"/>
      <c r="L11" s="260"/>
    </row>
    <row r="12" ht="23" customHeight="1" spans="1:12">
      <c r="A12" s="244" t="s">
        <v>1693</v>
      </c>
      <c r="B12" s="245" t="s">
        <v>78</v>
      </c>
      <c r="C12" s="246" t="s">
        <v>79</v>
      </c>
      <c r="D12" s="151" t="s">
        <v>719</v>
      </c>
      <c r="E12" s="151" t="s">
        <v>711</v>
      </c>
      <c r="F12" s="244" t="s">
        <v>712</v>
      </c>
      <c r="G12" s="247">
        <v>0.001</v>
      </c>
      <c r="H12" s="247">
        <v>0.15</v>
      </c>
      <c r="I12" s="244" t="s">
        <v>696</v>
      </c>
      <c r="K12" s="260">
        <v>83</v>
      </c>
      <c r="L12" s="260">
        <v>23</v>
      </c>
    </row>
    <row r="13" ht="23" customHeight="1" spans="1:12">
      <c r="A13" s="244" t="s">
        <v>1693</v>
      </c>
      <c r="B13" s="245" t="s">
        <v>78</v>
      </c>
      <c r="C13" s="246" t="s">
        <v>79</v>
      </c>
      <c r="D13" s="151" t="s">
        <v>722</v>
      </c>
      <c r="E13" s="151" t="s">
        <v>714</v>
      </c>
      <c r="F13" s="244" t="s">
        <v>715</v>
      </c>
      <c r="G13" s="247">
        <v>0.151</v>
      </c>
      <c r="H13" s="247">
        <v>0.45</v>
      </c>
      <c r="I13" s="244" t="s">
        <v>696</v>
      </c>
      <c r="K13" s="260">
        <v>84</v>
      </c>
      <c r="L13" s="260">
        <v>23</v>
      </c>
    </row>
    <row r="14" ht="23" customHeight="1" spans="1:12">
      <c r="A14" s="244" t="s">
        <v>1693</v>
      </c>
      <c r="B14" s="245" t="s">
        <v>78</v>
      </c>
      <c r="C14" s="246" t="s">
        <v>79</v>
      </c>
      <c r="D14" s="151" t="s">
        <v>812</v>
      </c>
      <c r="E14" s="151" t="s">
        <v>717</v>
      </c>
      <c r="F14" s="244" t="s">
        <v>718</v>
      </c>
      <c r="G14" s="247">
        <v>0.451</v>
      </c>
      <c r="H14" s="247">
        <v>0.75</v>
      </c>
      <c r="I14" s="244" t="s">
        <v>696</v>
      </c>
      <c r="K14" s="260">
        <v>86</v>
      </c>
      <c r="L14" s="260">
        <v>23</v>
      </c>
    </row>
    <row r="15" ht="23" customHeight="1" spans="1:12">
      <c r="A15" s="244" t="s">
        <v>1693</v>
      </c>
      <c r="B15" s="245" t="s">
        <v>78</v>
      </c>
      <c r="C15" s="246" t="s">
        <v>79</v>
      </c>
      <c r="D15" s="151" t="s">
        <v>755</v>
      </c>
      <c r="E15" s="151" t="s">
        <v>717</v>
      </c>
      <c r="F15" s="244" t="s">
        <v>720</v>
      </c>
      <c r="G15" s="247">
        <v>0.751</v>
      </c>
      <c r="H15" s="247">
        <v>1</v>
      </c>
      <c r="I15" s="244" t="s">
        <v>696</v>
      </c>
      <c r="K15" s="260">
        <v>88</v>
      </c>
      <c r="L15" s="260">
        <v>23</v>
      </c>
    </row>
    <row r="16" ht="23" customHeight="1" spans="1:12">
      <c r="A16" s="244" t="s">
        <v>1693</v>
      </c>
      <c r="B16" s="245" t="s">
        <v>78</v>
      </c>
      <c r="C16" s="246" t="s">
        <v>79</v>
      </c>
      <c r="D16" s="151" t="s">
        <v>755</v>
      </c>
      <c r="E16" s="151" t="s">
        <v>717</v>
      </c>
      <c r="F16" s="244" t="s">
        <v>721</v>
      </c>
      <c r="G16" s="247">
        <v>1.001</v>
      </c>
      <c r="H16" s="247">
        <v>30</v>
      </c>
      <c r="I16" s="244" t="s">
        <v>696</v>
      </c>
      <c r="K16" s="260">
        <v>88</v>
      </c>
      <c r="L16" s="260">
        <v>23</v>
      </c>
    </row>
    <row r="17" ht="23" customHeight="1" spans="1:12">
      <c r="A17" s="244" t="s">
        <v>1693</v>
      </c>
      <c r="B17" s="246" t="s">
        <v>94</v>
      </c>
      <c r="C17" s="246" t="s">
        <v>95</v>
      </c>
      <c r="D17" s="151" t="s">
        <v>759</v>
      </c>
      <c r="E17" s="151" t="s">
        <v>698</v>
      </c>
      <c r="F17" s="244" t="s">
        <v>723</v>
      </c>
      <c r="G17" s="247">
        <v>0.001</v>
      </c>
      <c r="H17" s="247">
        <v>0.5</v>
      </c>
      <c r="I17" s="244" t="s">
        <v>696</v>
      </c>
      <c r="K17" s="260">
        <v>103</v>
      </c>
      <c r="L17" s="260">
        <v>18</v>
      </c>
    </row>
    <row r="18" ht="23" customHeight="1" spans="1:12">
      <c r="A18" s="244" t="s">
        <v>1693</v>
      </c>
      <c r="B18" s="246" t="s">
        <v>94</v>
      </c>
      <c r="C18" s="246" t="s">
        <v>95</v>
      </c>
      <c r="D18" s="151" t="s">
        <v>759</v>
      </c>
      <c r="E18" s="151" t="s">
        <v>724</v>
      </c>
      <c r="F18" s="244" t="s">
        <v>725</v>
      </c>
      <c r="G18" s="247">
        <v>0.501</v>
      </c>
      <c r="H18" s="247">
        <v>1</v>
      </c>
      <c r="I18" s="244" t="s">
        <v>696</v>
      </c>
      <c r="K18" s="260">
        <v>103</v>
      </c>
      <c r="L18" s="260">
        <v>19</v>
      </c>
    </row>
    <row r="19" ht="23" customHeight="1" spans="1:12">
      <c r="A19" s="244" t="s">
        <v>1693</v>
      </c>
      <c r="B19" s="246" t="s">
        <v>94</v>
      </c>
      <c r="C19" s="246" t="s">
        <v>95</v>
      </c>
      <c r="D19" s="151" t="s">
        <v>703</v>
      </c>
      <c r="E19" s="151" t="s">
        <v>694</v>
      </c>
      <c r="F19" s="244" t="s">
        <v>727</v>
      </c>
      <c r="G19" s="247">
        <v>1.001</v>
      </c>
      <c r="H19" s="247">
        <v>5</v>
      </c>
      <c r="I19" s="244" t="s">
        <v>696</v>
      </c>
      <c r="K19" s="260">
        <v>103</v>
      </c>
      <c r="L19" s="260">
        <v>20</v>
      </c>
    </row>
    <row r="20" ht="23" customHeight="1" spans="1:12">
      <c r="A20" s="244" t="s">
        <v>1693</v>
      </c>
      <c r="B20" s="246" t="s">
        <v>184</v>
      </c>
      <c r="C20" s="246" t="s">
        <v>185</v>
      </c>
      <c r="D20" s="151" t="s">
        <v>1932</v>
      </c>
      <c r="E20" s="151" t="s">
        <v>799</v>
      </c>
      <c r="F20" s="151" t="s">
        <v>695</v>
      </c>
      <c r="G20" s="247">
        <v>0.001</v>
      </c>
      <c r="H20" s="247">
        <v>0.1</v>
      </c>
      <c r="I20" s="244" t="s">
        <v>696</v>
      </c>
      <c r="K20" s="260">
        <v>117</v>
      </c>
      <c r="L20" s="260">
        <v>32</v>
      </c>
    </row>
    <row r="21" ht="23" customHeight="1" spans="1:12">
      <c r="A21" s="244" t="s">
        <v>1693</v>
      </c>
      <c r="B21" s="246" t="s">
        <v>184</v>
      </c>
      <c r="C21" s="246" t="s">
        <v>185</v>
      </c>
      <c r="D21" s="151" t="s">
        <v>1932</v>
      </c>
      <c r="E21" s="151" t="s">
        <v>799</v>
      </c>
      <c r="F21" s="151" t="s">
        <v>699</v>
      </c>
      <c r="G21" s="247">
        <v>0.101</v>
      </c>
      <c r="H21" s="247">
        <v>0.2</v>
      </c>
      <c r="I21" s="244" t="s">
        <v>696</v>
      </c>
      <c r="K21" s="260">
        <v>125</v>
      </c>
      <c r="L21" s="260">
        <v>35</v>
      </c>
    </row>
    <row r="22" ht="23" customHeight="1" spans="1:12">
      <c r="A22" s="244" t="s">
        <v>1693</v>
      </c>
      <c r="B22" s="246" t="s">
        <v>184</v>
      </c>
      <c r="C22" s="246" t="s">
        <v>185</v>
      </c>
      <c r="D22" s="151" t="s">
        <v>1933</v>
      </c>
      <c r="E22" s="151" t="s">
        <v>729</v>
      </c>
      <c r="F22" s="151" t="s">
        <v>730</v>
      </c>
      <c r="G22" s="247">
        <v>0.201</v>
      </c>
      <c r="H22" s="247">
        <v>0.34</v>
      </c>
      <c r="I22" s="244" t="s">
        <v>696</v>
      </c>
      <c r="K22" s="260">
        <v>127</v>
      </c>
      <c r="L22" s="260">
        <v>40</v>
      </c>
    </row>
    <row r="23" ht="23" customHeight="1" spans="1:12">
      <c r="A23" s="244" t="s">
        <v>1693</v>
      </c>
      <c r="B23" s="246" t="s">
        <v>184</v>
      </c>
      <c r="C23" s="246" t="s">
        <v>185</v>
      </c>
      <c r="D23" s="151" t="s">
        <v>1934</v>
      </c>
      <c r="E23" s="151" t="s">
        <v>731</v>
      </c>
      <c r="F23" s="151" t="s">
        <v>732</v>
      </c>
      <c r="G23" s="247">
        <v>0.341</v>
      </c>
      <c r="H23" s="247">
        <v>0.45</v>
      </c>
      <c r="I23" s="244" t="s">
        <v>696</v>
      </c>
      <c r="K23" s="260">
        <v>132</v>
      </c>
      <c r="L23" s="260">
        <v>55</v>
      </c>
    </row>
    <row r="24" ht="23" customHeight="1" spans="1:12">
      <c r="A24" s="244"/>
      <c r="B24" s="246"/>
      <c r="C24" s="246" t="s">
        <v>185</v>
      </c>
      <c r="D24" s="151" t="s">
        <v>1927</v>
      </c>
      <c r="E24" s="151" t="s">
        <v>734</v>
      </c>
      <c r="F24" s="151" t="s">
        <v>704</v>
      </c>
      <c r="G24" s="247">
        <v>0.451</v>
      </c>
      <c r="H24" s="247">
        <v>0.7</v>
      </c>
      <c r="I24" s="244"/>
      <c r="K24" s="260"/>
      <c r="L24" s="260"/>
    </row>
    <row r="25" ht="23" customHeight="1" spans="1:12">
      <c r="A25" s="244"/>
      <c r="B25" s="246"/>
      <c r="C25" s="246" t="s">
        <v>185</v>
      </c>
      <c r="D25" s="151" t="s">
        <v>1927</v>
      </c>
      <c r="E25" s="151" t="s">
        <v>734</v>
      </c>
      <c r="F25" s="151" t="s">
        <v>706</v>
      </c>
      <c r="G25" s="247">
        <v>0.701</v>
      </c>
      <c r="H25" s="247">
        <v>1.5</v>
      </c>
      <c r="I25" s="244"/>
      <c r="K25" s="260"/>
      <c r="L25" s="260"/>
    </row>
    <row r="26" ht="23" customHeight="1" spans="1:12">
      <c r="A26" s="244"/>
      <c r="B26" s="246"/>
      <c r="C26" s="246" t="s">
        <v>185</v>
      </c>
      <c r="D26" s="151" t="s">
        <v>1927</v>
      </c>
      <c r="E26" s="151" t="s">
        <v>734</v>
      </c>
      <c r="F26" s="151" t="s">
        <v>707</v>
      </c>
      <c r="G26" s="247">
        <v>1.501</v>
      </c>
      <c r="H26" s="247">
        <v>2</v>
      </c>
      <c r="I26" s="244"/>
      <c r="K26" s="260"/>
      <c r="L26" s="260"/>
    </row>
    <row r="27" ht="23" customHeight="1" spans="1:12">
      <c r="A27" s="244"/>
      <c r="B27" s="246"/>
      <c r="C27" s="246" t="s">
        <v>185</v>
      </c>
      <c r="D27" s="151" t="s">
        <v>1927</v>
      </c>
      <c r="E27" s="151" t="s">
        <v>734</v>
      </c>
      <c r="F27" s="151" t="s">
        <v>709</v>
      </c>
      <c r="G27" s="247">
        <v>2.001</v>
      </c>
      <c r="H27" s="247">
        <v>30</v>
      </c>
      <c r="I27" s="244"/>
      <c r="K27" s="260"/>
      <c r="L27" s="260"/>
    </row>
    <row r="28" ht="23" customHeight="1" spans="1:12">
      <c r="A28" s="244" t="s">
        <v>1693</v>
      </c>
      <c r="B28" s="246" t="s">
        <v>735</v>
      </c>
      <c r="C28" s="248" t="s">
        <v>953</v>
      </c>
      <c r="D28" s="244">
        <v>118</v>
      </c>
      <c r="E28" s="244">
        <v>32</v>
      </c>
      <c r="F28" s="151" t="s">
        <v>695</v>
      </c>
      <c r="G28" s="247">
        <v>0.001</v>
      </c>
      <c r="H28" s="247">
        <v>0.1</v>
      </c>
      <c r="I28" s="244" t="s">
        <v>696</v>
      </c>
      <c r="K28" s="260">
        <v>117</v>
      </c>
      <c r="L28" s="260">
        <v>32</v>
      </c>
    </row>
    <row r="29" ht="23" customHeight="1" spans="1:12">
      <c r="A29" s="244" t="s">
        <v>1693</v>
      </c>
      <c r="B29" s="246" t="s">
        <v>735</v>
      </c>
      <c r="C29" s="248" t="s">
        <v>953</v>
      </c>
      <c r="D29" s="244">
        <v>118</v>
      </c>
      <c r="E29" s="244">
        <v>32</v>
      </c>
      <c r="F29" s="151" t="s">
        <v>699</v>
      </c>
      <c r="G29" s="247">
        <v>0.101</v>
      </c>
      <c r="H29" s="247">
        <v>0.2</v>
      </c>
      <c r="I29" s="244" t="s">
        <v>696</v>
      </c>
      <c r="K29" s="260">
        <v>125</v>
      </c>
      <c r="L29" s="260">
        <v>35</v>
      </c>
    </row>
    <row r="30" ht="23" customHeight="1" spans="1:12">
      <c r="A30" s="244" t="s">
        <v>1693</v>
      </c>
      <c r="B30" s="246" t="s">
        <v>735</v>
      </c>
      <c r="C30" s="248" t="s">
        <v>953</v>
      </c>
      <c r="D30" s="244">
        <v>126</v>
      </c>
      <c r="E30" s="244">
        <v>35</v>
      </c>
      <c r="F30" s="151" t="s">
        <v>730</v>
      </c>
      <c r="G30" s="247">
        <v>0.201</v>
      </c>
      <c r="H30" s="247">
        <v>0.34</v>
      </c>
      <c r="I30" s="244" t="s">
        <v>696</v>
      </c>
      <c r="K30" s="260">
        <v>127</v>
      </c>
      <c r="L30" s="260">
        <v>40</v>
      </c>
    </row>
    <row r="31" ht="23" customHeight="1" spans="1:12">
      <c r="A31" s="244" t="s">
        <v>1693</v>
      </c>
      <c r="B31" s="246" t="s">
        <v>735</v>
      </c>
      <c r="C31" s="248" t="s">
        <v>953</v>
      </c>
      <c r="D31" s="244">
        <v>128</v>
      </c>
      <c r="E31" s="244">
        <v>40</v>
      </c>
      <c r="F31" s="151" t="s">
        <v>732</v>
      </c>
      <c r="G31" s="247">
        <v>0.341</v>
      </c>
      <c r="H31" s="247">
        <v>0.45</v>
      </c>
      <c r="I31" s="244" t="s">
        <v>696</v>
      </c>
      <c r="K31" s="260">
        <v>132</v>
      </c>
      <c r="L31" s="260">
        <v>55</v>
      </c>
    </row>
    <row r="32" ht="23" customHeight="1" spans="1:12">
      <c r="A32" s="244"/>
      <c r="B32" s="246"/>
      <c r="C32" s="248" t="s">
        <v>953</v>
      </c>
      <c r="D32" s="244">
        <v>133</v>
      </c>
      <c r="E32" s="244">
        <v>55</v>
      </c>
      <c r="F32" s="151" t="s">
        <v>704</v>
      </c>
      <c r="G32" s="247">
        <v>0.451</v>
      </c>
      <c r="H32" s="247">
        <v>0.7</v>
      </c>
      <c r="I32" s="244"/>
      <c r="K32" s="260"/>
      <c r="L32" s="260"/>
    </row>
    <row r="33" ht="23" customHeight="1" spans="1:12">
      <c r="A33" s="244"/>
      <c r="B33" s="246"/>
      <c r="C33" s="248" t="s">
        <v>953</v>
      </c>
      <c r="D33" s="244">
        <v>133</v>
      </c>
      <c r="E33" s="244">
        <v>55</v>
      </c>
      <c r="F33" s="151" t="s">
        <v>706</v>
      </c>
      <c r="G33" s="247">
        <v>0.701</v>
      </c>
      <c r="H33" s="247">
        <v>1.5</v>
      </c>
      <c r="I33" s="244"/>
      <c r="K33" s="260"/>
      <c r="L33" s="260"/>
    </row>
    <row r="34" ht="23" customHeight="1" spans="1:12">
      <c r="A34" s="244"/>
      <c r="B34" s="246"/>
      <c r="C34" s="248" t="s">
        <v>953</v>
      </c>
      <c r="D34" s="244">
        <v>133</v>
      </c>
      <c r="E34" s="244">
        <v>55</v>
      </c>
      <c r="F34" s="151" t="s">
        <v>707</v>
      </c>
      <c r="G34" s="247">
        <v>1.501</v>
      </c>
      <c r="H34" s="247">
        <v>2</v>
      </c>
      <c r="I34" s="244"/>
      <c r="K34" s="260"/>
      <c r="L34" s="260"/>
    </row>
    <row r="35" ht="23" customHeight="1" spans="1:12">
      <c r="A35" s="244"/>
      <c r="B35" s="246"/>
      <c r="C35" s="248" t="s">
        <v>953</v>
      </c>
      <c r="D35" s="244">
        <v>133</v>
      </c>
      <c r="E35" s="244">
        <v>55</v>
      </c>
      <c r="F35" s="151" t="s">
        <v>709</v>
      </c>
      <c r="G35" s="247">
        <v>2.001</v>
      </c>
      <c r="H35" s="247">
        <v>30</v>
      </c>
      <c r="I35" s="244"/>
      <c r="K35" s="260"/>
      <c r="L35" s="260"/>
    </row>
    <row r="36" ht="23" customHeight="1" spans="1:12">
      <c r="A36" s="244" t="s">
        <v>1721</v>
      </c>
      <c r="B36" s="245" t="s">
        <v>26</v>
      </c>
      <c r="C36" s="246" t="s">
        <v>27</v>
      </c>
      <c r="D36" s="151" t="s">
        <v>1935</v>
      </c>
      <c r="E36" s="151" t="s">
        <v>701</v>
      </c>
      <c r="F36" s="244" t="s">
        <v>737</v>
      </c>
      <c r="G36" s="247">
        <v>0.001</v>
      </c>
      <c r="H36" s="247">
        <v>1</v>
      </c>
      <c r="I36" s="244" t="s">
        <v>738</v>
      </c>
      <c r="K36" s="260">
        <v>70</v>
      </c>
      <c r="L36" s="260">
        <v>16</v>
      </c>
    </row>
    <row r="37" ht="23" customHeight="1" spans="1:12">
      <c r="A37" s="244" t="s">
        <v>1721</v>
      </c>
      <c r="B37" s="245" t="s">
        <v>26</v>
      </c>
      <c r="C37" s="246" t="s">
        <v>27</v>
      </c>
      <c r="D37" s="151" t="s">
        <v>1936</v>
      </c>
      <c r="E37" s="151" t="s">
        <v>701</v>
      </c>
      <c r="F37" s="244" t="s">
        <v>740</v>
      </c>
      <c r="G37" s="247">
        <v>1.001</v>
      </c>
      <c r="H37" s="247">
        <v>20</v>
      </c>
      <c r="I37" s="244" t="s">
        <v>738</v>
      </c>
      <c r="K37" s="260">
        <v>71</v>
      </c>
      <c r="L37" s="260">
        <v>16</v>
      </c>
    </row>
    <row r="38" ht="23" customHeight="1" spans="1:12">
      <c r="A38" s="244" t="s">
        <v>1721</v>
      </c>
      <c r="B38" s="245" t="s">
        <v>28</v>
      </c>
      <c r="C38" s="246" t="s">
        <v>29</v>
      </c>
      <c r="D38" s="151" t="s">
        <v>750</v>
      </c>
      <c r="E38" s="151" t="s">
        <v>724</v>
      </c>
      <c r="F38" s="244" t="s">
        <v>723</v>
      </c>
      <c r="G38" s="247">
        <v>0.001</v>
      </c>
      <c r="H38" s="247">
        <v>0.5</v>
      </c>
      <c r="I38" s="244" t="s">
        <v>738</v>
      </c>
      <c r="K38" s="260">
        <v>98</v>
      </c>
      <c r="L38" s="260">
        <v>19</v>
      </c>
    </row>
    <row r="39" ht="23" customHeight="1" spans="1:12">
      <c r="A39" s="244" t="s">
        <v>1721</v>
      </c>
      <c r="B39" s="245" t="s">
        <v>28</v>
      </c>
      <c r="C39" s="246" t="s">
        <v>29</v>
      </c>
      <c r="D39" s="151" t="s">
        <v>770</v>
      </c>
      <c r="E39" s="151" t="s">
        <v>717</v>
      </c>
      <c r="F39" s="244" t="s">
        <v>743</v>
      </c>
      <c r="G39" s="247">
        <v>0.501</v>
      </c>
      <c r="H39" s="247">
        <v>30</v>
      </c>
      <c r="I39" s="244" t="s">
        <v>738</v>
      </c>
      <c r="K39" s="260">
        <v>96</v>
      </c>
      <c r="L39" s="260">
        <v>23</v>
      </c>
    </row>
    <row r="40" ht="23" customHeight="1" spans="1:12">
      <c r="A40" s="244" t="s">
        <v>1721</v>
      </c>
      <c r="B40" s="245" t="s">
        <v>72</v>
      </c>
      <c r="C40" s="246" t="s">
        <v>73</v>
      </c>
      <c r="D40" s="151" t="s">
        <v>785</v>
      </c>
      <c r="E40" s="151" t="s">
        <v>724</v>
      </c>
      <c r="F40" s="244" t="s">
        <v>744</v>
      </c>
      <c r="G40" s="247">
        <v>0.001</v>
      </c>
      <c r="H40" s="247">
        <v>0.3</v>
      </c>
      <c r="I40" s="244" t="s">
        <v>738</v>
      </c>
      <c r="K40" s="260">
        <v>88</v>
      </c>
      <c r="L40" s="260">
        <v>19</v>
      </c>
    </row>
    <row r="41" ht="23" customHeight="1" spans="1:12">
      <c r="A41" s="244" t="s">
        <v>1721</v>
      </c>
      <c r="B41" s="245" t="s">
        <v>72</v>
      </c>
      <c r="C41" s="246" t="s">
        <v>73</v>
      </c>
      <c r="D41" s="151" t="s">
        <v>785</v>
      </c>
      <c r="E41" s="151" t="s">
        <v>714</v>
      </c>
      <c r="F41" s="244" t="s">
        <v>746</v>
      </c>
      <c r="G41" s="247">
        <v>0.301</v>
      </c>
      <c r="H41" s="247">
        <v>30</v>
      </c>
      <c r="I41" s="244" t="s">
        <v>738</v>
      </c>
      <c r="K41" s="260">
        <v>88</v>
      </c>
      <c r="L41" s="260">
        <v>22</v>
      </c>
    </row>
    <row r="42" ht="23" customHeight="1" spans="1:12">
      <c r="A42" s="244" t="s">
        <v>1721</v>
      </c>
      <c r="B42" s="245" t="s">
        <v>32</v>
      </c>
      <c r="C42" s="246" t="s">
        <v>33</v>
      </c>
      <c r="D42" s="151" t="s">
        <v>754</v>
      </c>
      <c r="E42" s="151" t="s">
        <v>747</v>
      </c>
      <c r="F42" s="151" t="s">
        <v>748</v>
      </c>
      <c r="G42" s="247">
        <v>0.001</v>
      </c>
      <c r="H42" s="247">
        <v>30</v>
      </c>
      <c r="I42" s="244" t="s">
        <v>738</v>
      </c>
      <c r="K42" s="260">
        <v>67</v>
      </c>
      <c r="L42" s="260">
        <v>25</v>
      </c>
    </row>
    <row r="43" ht="23" customHeight="1" spans="1:12">
      <c r="A43" s="244" t="s">
        <v>1721</v>
      </c>
      <c r="B43" s="249" t="s">
        <v>34</v>
      </c>
      <c r="C43" s="246" t="s">
        <v>35</v>
      </c>
      <c r="D43" s="151" t="s">
        <v>785</v>
      </c>
      <c r="E43" s="151" t="s">
        <v>698</v>
      </c>
      <c r="F43" s="151" t="s">
        <v>748</v>
      </c>
      <c r="G43" s="247">
        <v>0.001</v>
      </c>
      <c r="H43" s="247">
        <v>30</v>
      </c>
      <c r="I43" s="244" t="s">
        <v>738</v>
      </c>
      <c r="K43" s="260">
        <v>75</v>
      </c>
      <c r="L43" s="260">
        <v>18</v>
      </c>
    </row>
    <row r="44" ht="23" customHeight="1" spans="1:12">
      <c r="A44" s="244" t="s">
        <v>1721</v>
      </c>
      <c r="B44" s="245" t="s">
        <v>92</v>
      </c>
      <c r="C44" s="246" t="s">
        <v>93</v>
      </c>
      <c r="D44" s="151" t="s">
        <v>761</v>
      </c>
      <c r="E44" s="151" t="s">
        <v>711</v>
      </c>
      <c r="F44" s="151" t="s">
        <v>744</v>
      </c>
      <c r="G44" s="247">
        <v>0.001</v>
      </c>
      <c r="H44" s="247">
        <v>0.3</v>
      </c>
      <c r="I44" s="244" t="s">
        <v>738</v>
      </c>
      <c r="K44" s="260">
        <v>102</v>
      </c>
      <c r="L44" s="260">
        <v>21</v>
      </c>
    </row>
    <row r="45" ht="23" customHeight="1" spans="1:12">
      <c r="A45" s="244" t="s">
        <v>1721</v>
      </c>
      <c r="B45" s="245" t="s">
        <v>92</v>
      </c>
      <c r="C45" s="246" t="s">
        <v>93</v>
      </c>
      <c r="D45" s="151" t="s">
        <v>1937</v>
      </c>
      <c r="E45" s="151" t="s">
        <v>711</v>
      </c>
      <c r="F45" s="151" t="s">
        <v>820</v>
      </c>
      <c r="G45" s="247">
        <v>0.301</v>
      </c>
      <c r="H45" s="247">
        <v>0.5</v>
      </c>
      <c r="I45" s="244" t="s">
        <v>738</v>
      </c>
      <c r="K45" s="260">
        <v>93</v>
      </c>
      <c r="L45" s="260">
        <v>21</v>
      </c>
    </row>
    <row r="46" ht="23" customHeight="1" spans="1:12">
      <c r="A46" s="244"/>
      <c r="B46" s="245"/>
      <c r="C46" s="246"/>
      <c r="D46" s="151" t="s">
        <v>1937</v>
      </c>
      <c r="E46" s="151" t="s">
        <v>711</v>
      </c>
      <c r="F46" s="151" t="s">
        <v>824</v>
      </c>
      <c r="G46" s="247">
        <v>0.501</v>
      </c>
      <c r="H46" s="247">
        <v>2</v>
      </c>
      <c r="I46" s="244"/>
      <c r="K46" s="260"/>
      <c r="L46" s="260"/>
    </row>
    <row r="47" ht="23" customHeight="1" spans="1:12">
      <c r="A47" s="244"/>
      <c r="B47" s="245"/>
      <c r="C47" s="246"/>
      <c r="D47" s="151" t="s">
        <v>788</v>
      </c>
      <c r="E47" s="151" t="s">
        <v>711</v>
      </c>
      <c r="F47" s="151" t="s">
        <v>709</v>
      </c>
      <c r="G47" s="247">
        <v>2.001</v>
      </c>
      <c r="H47" s="247">
        <v>30</v>
      </c>
      <c r="I47" s="244"/>
      <c r="K47" s="260"/>
      <c r="L47" s="260"/>
    </row>
    <row r="48" ht="23" customHeight="1" spans="1:12">
      <c r="A48" s="244"/>
      <c r="B48" s="245"/>
      <c r="C48" s="151" t="s">
        <v>31</v>
      </c>
      <c r="D48" s="151" t="s">
        <v>1938</v>
      </c>
      <c r="E48" s="151" t="s">
        <v>717</v>
      </c>
      <c r="F48" s="151" t="s">
        <v>748</v>
      </c>
      <c r="G48" s="247">
        <v>0.001</v>
      </c>
      <c r="H48" s="247">
        <v>30</v>
      </c>
      <c r="I48" s="244"/>
      <c r="K48" s="260"/>
      <c r="L48" s="260"/>
    </row>
    <row r="49" ht="23" customHeight="1" spans="1:12">
      <c r="A49" s="244" t="s">
        <v>1721</v>
      </c>
      <c r="B49" s="246" t="s">
        <v>36</v>
      </c>
      <c r="C49" s="246" t="s">
        <v>37</v>
      </c>
      <c r="D49" s="151" t="s">
        <v>708</v>
      </c>
      <c r="E49" s="151" t="s">
        <v>711</v>
      </c>
      <c r="F49" s="151" t="s">
        <v>744</v>
      </c>
      <c r="G49" s="247">
        <v>0.001</v>
      </c>
      <c r="H49" s="247">
        <v>0.3</v>
      </c>
      <c r="I49" s="244" t="s">
        <v>696</v>
      </c>
      <c r="K49" s="260">
        <v>104</v>
      </c>
      <c r="L49" s="260">
        <v>21</v>
      </c>
    </row>
    <row r="50" ht="23" customHeight="1" spans="1:12">
      <c r="A50" s="244" t="s">
        <v>1721</v>
      </c>
      <c r="B50" s="246" t="s">
        <v>36</v>
      </c>
      <c r="C50" s="246" t="s">
        <v>37</v>
      </c>
      <c r="D50" s="151" t="s">
        <v>708</v>
      </c>
      <c r="E50" s="151" t="s">
        <v>711</v>
      </c>
      <c r="F50" s="151" t="s">
        <v>820</v>
      </c>
      <c r="G50" s="247">
        <v>0.301</v>
      </c>
      <c r="H50" s="247">
        <v>0.5</v>
      </c>
      <c r="I50" s="244" t="s">
        <v>696</v>
      </c>
      <c r="K50" s="260">
        <v>97</v>
      </c>
      <c r="L50" s="260">
        <v>21</v>
      </c>
    </row>
    <row r="51" ht="23" customHeight="1" spans="1:12">
      <c r="A51" s="244"/>
      <c r="B51" s="246"/>
      <c r="C51" s="246" t="s">
        <v>37</v>
      </c>
      <c r="D51" s="151" t="s">
        <v>708</v>
      </c>
      <c r="E51" s="151" t="s">
        <v>711</v>
      </c>
      <c r="F51" s="151" t="s">
        <v>824</v>
      </c>
      <c r="G51" s="247">
        <v>0.501</v>
      </c>
      <c r="H51" s="247">
        <v>2</v>
      </c>
      <c r="I51" s="244"/>
      <c r="K51" s="260"/>
      <c r="L51" s="260"/>
    </row>
    <row r="52" ht="23" customHeight="1" spans="1:12">
      <c r="A52" s="244"/>
      <c r="B52" s="246"/>
      <c r="C52" s="246" t="s">
        <v>37</v>
      </c>
      <c r="D52" s="151" t="s">
        <v>1939</v>
      </c>
      <c r="E52" s="151" t="s">
        <v>711</v>
      </c>
      <c r="F52" s="151" t="s">
        <v>709</v>
      </c>
      <c r="G52" s="247">
        <v>2.001</v>
      </c>
      <c r="H52" s="247">
        <v>30</v>
      </c>
      <c r="I52" s="244"/>
      <c r="K52" s="260"/>
      <c r="L52" s="260"/>
    </row>
    <row r="53" ht="23" customHeight="1" spans="1:12">
      <c r="A53" s="244" t="s">
        <v>1721</v>
      </c>
      <c r="B53" s="244" t="s">
        <v>44</v>
      </c>
      <c r="C53" s="246" t="s">
        <v>45</v>
      </c>
      <c r="D53" s="250" t="s">
        <v>771</v>
      </c>
      <c r="E53" s="151" t="s">
        <v>698</v>
      </c>
      <c r="F53" s="244" t="s">
        <v>748</v>
      </c>
      <c r="G53" s="247">
        <v>0.001</v>
      </c>
      <c r="H53" s="247">
        <v>30</v>
      </c>
      <c r="I53" s="244" t="s">
        <v>696</v>
      </c>
      <c r="K53" s="260">
        <v>85</v>
      </c>
      <c r="L53" s="260">
        <v>18</v>
      </c>
    </row>
    <row r="54" ht="23" customHeight="1" spans="1:12">
      <c r="A54" s="244" t="s">
        <v>1721</v>
      </c>
      <c r="B54" s="246" t="s">
        <v>38</v>
      </c>
      <c r="C54" s="246" t="s">
        <v>39</v>
      </c>
      <c r="D54" s="151" t="s">
        <v>842</v>
      </c>
      <c r="E54" s="151" t="s">
        <v>714</v>
      </c>
      <c r="F54" s="151" t="s">
        <v>741</v>
      </c>
      <c r="G54" s="247">
        <v>0.001</v>
      </c>
      <c r="H54" s="247">
        <v>0.2</v>
      </c>
      <c r="I54" s="244" t="s">
        <v>696</v>
      </c>
      <c r="K54" s="260">
        <v>95</v>
      </c>
      <c r="L54" s="260">
        <v>24</v>
      </c>
    </row>
    <row r="55" ht="23" customHeight="1" spans="1:12">
      <c r="A55" s="244" t="s">
        <v>1721</v>
      </c>
      <c r="B55" s="246" t="s">
        <v>38</v>
      </c>
      <c r="C55" s="246" t="s">
        <v>39</v>
      </c>
      <c r="D55" s="151" t="s">
        <v>703</v>
      </c>
      <c r="E55" s="151" t="s">
        <v>760</v>
      </c>
      <c r="F55" s="151" t="s">
        <v>742</v>
      </c>
      <c r="G55" s="247">
        <v>0.201</v>
      </c>
      <c r="H55" s="247">
        <v>0.5</v>
      </c>
      <c r="I55" s="244" t="s">
        <v>696</v>
      </c>
      <c r="K55" s="260">
        <v>95</v>
      </c>
      <c r="L55" s="260">
        <v>24</v>
      </c>
    </row>
    <row r="56" ht="23" customHeight="1" spans="1:12">
      <c r="A56" s="244" t="s">
        <v>1721</v>
      </c>
      <c r="B56" s="246" t="s">
        <v>38</v>
      </c>
      <c r="C56" s="246" t="s">
        <v>39</v>
      </c>
      <c r="D56" s="151" t="s">
        <v>763</v>
      </c>
      <c r="E56" s="151" t="s">
        <v>760</v>
      </c>
      <c r="F56" s="151" t="s">
        <v>725</v>
      </c>
      <c r="G56" s="247">
        <v>0.501</v>
      </c>
      <c r="H56" s="247">
        <v>1</v>
      </c>
      <c r="I56" s="244" t="s">
        <v>696</v>
      </c>
      <c r="K56" s="260">
        <v>95</v>
      </c>
      <c r="L56" s="260">
        <v>24</v>
      </c>
    </row>
    <row r="57" ht="23" customHeight="1" spans="1:12">
      <c r="A57" s="244" t="s">
        <v>1721</v>
      </c>
      <c r="B57" s="246" t="s">
        <v>38</v>
      </c>
      <c r="C57" s="246" t="s">
        <v>39</v>
      </c>
      <c r="D57" s="151" t="s">
        <v>763</v>
      </c>
      <c r="E57" s="151" t="s">
        <v>760</v>
      </c>
      <c r="F57" s="151" t="s">
        <v>762</v>
      </c>
      <c r="G57" s="247">
        <v>1.001</v>
      </c>
      <c r="H57" s="247">
        <v>2</v>
      </c>
      <c r="I57" s="244" t="s">
        <v>696</v>
      </c>
      <c r="K57" s="260">
        <v>109</v>
      </c>
      <c r="L57" s="260">
        <v>34</v>
      </c>
    </row>
    <row r="58" ht="23" customHeight="1" spans="1:12">
      <c r="A58" s="244"/>
      <c r="B58" s="246" t="s">
        <v>38</v>
      </c>
      <c r="C58" s="246" t="s">
        <v>39</v>
      </c>
      <c r="D58" s="151" t="s">
        <v>1932</v>
      </c>
      <c r="E58" s="151" t="s">
        <v>764</v>
      </c>
      <c r="F58" s="151" t="s">
        <v>709</v>
      </c>
      <c r="G58" s="247">
        <v>2.001</v>
      </c>
      <c r="H58" s="247">
        <v>30</v>
      </c>
      <c r="I58" s="244"/>
      <c r="K58" s="260"/>
      <c r="L58" s="260"/>
    </row>
    <row r="59" ht="23" customHeight="1" spans="1:12">
      <c r="A59" s="244"/>
      <c r="B59" s="151" t="s">
        <v>108</v>
      </c>
      <c r="C59" s="151" t="s">
        <v>109</v>
      </c>
      <c r="D59" s="151" t="s">
        <v>1940</v>
      </c>
      <c r="E59" s="151" t="s">
        <v>694</v>
      </c>
      <c r="F59" s="244" t="s">
        <v>769</v>
      </c>
      <c r="G59" s="247">
        <v>0.001</v>
      </c>
      <c r="H59" s="247">
        <v>2</v>
      </c>
      <c r="I59" s="244"/>
      <c r="K59" s="260"/>
      <c r="L59" s="260"/>
    </row>
    <row r="60" ht="23" customHeight="1" spans="1:12">
      <c r="A60" s="244" t="s">
        <v>1721</v>
      </c>
      <c r="B60" s="244" t="s">
        <v>48</v>
      </c>
      <c r="C60" s="246" t="s">
        <v>49</v>
      </c>
      <c r="D60" s="250" t="s">
        <v>771</v>
      </c>
      <c r="E60" s="250" t="s">
        <v>694</v>
      </c>
      <c r="F60" s="244" t="s">
        <v>769</v>
      </c>
      <c r="G60" s="247">
        <v>0.001</v>
      </c>
      <c r="H60" s="247">
        <v>2</v>
      </c>
      <c r="I60" s="244" t="s">
        <v>696</v>
      </c>
      <c r="K60" s="260">
        <v>89</v>
      </c>
      <c r="L60" s="260">
        <v>21</v>
      </c>
    </row>
    <row r="61" ht="23" customHeight="1" spans="1:12">
      <c r="A61" s="244" t="s">
        <v>1721</v>
      </c>
      <c r="B61" s="246" t="s">
        <v>74</v>
      </c>
      <c r="C61" s="246" t="s">
        <v>75</v>
      </c>
      <c r="D61" s="244" t="s">
        <v>1941</v>
      </c>
      <c r="E61" s="244" t="s">
        <v>760</v>
      </c>
      <c r="F61" s="244" t="s">
        <v>769</v>
      </c>
      <c r="G61" s="247">
        <v>0.001</v>
      </c>
      <c r="H61" s="247">
        <v>2</v>
      </c>
      <c r="I61" s="244" t="s">
        <v>696</v>
      </c>
      <c r="K61" s="260">
        <v>97</v>
      </c>
      <c r="L61" s="260">
        <v>24</v>
      </c>
    </row>
    <row r="62" ht="23" customHeight="1" spans="1:12">
      <c r="A62" s="244" t="s">
        <v>1721</v>
      </c>
      <c r="B62" s="246" t="s">
        <v>74</v>
      </c>
      <c r="C62" s="246" t="s">
        <v>75</v>
      </c>
      <c r="D62" s="244" t="s">
        <v>750</v>
      </c>
      <c r="E62" s="244" t="s">
        <v>760</v>
      </c>
      <c r="F62" s="244" t="s">
        <v>709</v>
      </c>
      <c r="G62" s="247">
        <v>2.001</v>
      </c>
      <c r="H62" s="247">
        <v>30</v>
      </c>
      <c r="I62" s="244" t="s">
        <v>696</v>
      </c>
      <c r="K62" s="260">
        <v>93</v>
      </c>
      <c r="L62" s="260">
        <v>24</v>
      </c>
    </row>
    <row r="63" ht="23" customHeight="1" spans="1:12">
      <c r="A63" s="244" t="s">
        <v>1721</v>
      </c>
      <c r="B63" s="246" t="s">
        <v>50</v>
      </c>
      <c r="C63" s="246" t="s">
        <v>51</v>
      </c>
      <c r="D63" s="151" t="s">
        <v>726</v>
      </c>
      <c r="E63" s="151" t="s">
        <v>694</v>
      </c>
      <c r="F63" s="244" t="s">
        <v>769</v>
      </c>
      <c r="G63" s="247">
        <v>0.001</v>
      </c>
      <c r="H63" s="247">
        <v>2</v>
      </c>
      <c r="I63" s="244" t="s">
        <v>696</v>
      </c>
      <c r="K63" s="260">
        <v>80</v>
      </c>
      <c r="L63" s="260">
        <v>20</v>
      </c>
    </row>
    <row r="64" ht="23" customHeight="1" spans="1:12">
      <c r="A64" s="244" t="s">
        <v>1721</v>
      </c>
      <c r="B64" s="246" t="s">
        <v>50</v>
      </c>
      <c r="C64" s="246" t="s">
        <v>51</v>
      </c>
      <c r="D64" s="151" t="s">
        <v>726</v>
      </c>
      <c r="E64" s="151" t="s">
        <v>694</v>
      </c>
      <c r="F64" s="244" t="s">
        <v>709</v>
      </c>
      <c r="G64" s="247">
        <v>2.001</v>
      </c>
      <c r="H64" s="247">
        <v>30</v>
      </c>
      <c r="I64" s="244" t="s">
        <v>696</v>
      </c>
      <c r="K64" s="260">
        <v>80</v>
      </c>
      <c r="L64" s="260">
        <v>20</v>
      </c>
    </row>
    <row r="65" ht="23" customHeight="1" spans="1:12">
      <c r="A65" s="244" t="s">
        <v>1721</v>
      </c>
      <c r="B65" s="244" t="s">
        <v>52</v>
      </c>
      <c r="C65" s="246" t="s">
        <v>53</v>
      </c>
      <c r="D65" s="151" t="s">
        <v>726</v>
      </c>
      <c r="E65" s="151" t="s">
        <v>773</v>
      </c>
      <c r="F65" s="244" t="s">
        <v>774</v>
      </c>
      <c r="G65" s="247">
        <v>0.001</v>
      </c>
      <c r="H65" s="247">
        <v>20</v>
      </c>
      <c r="I65" s="244" t="s">
        <v>696</v>
      </c>
      <c r="K65" s="260">
        <v>88</v>
      </c>
      <c r="L65" s="260">
        <v>26</v>
      </c>
    </row>
    <row r="66" ht="23" customHeight="1" spans="1:12">
      <c r="A66" s="244" t="s">
        <v>1721</v>
      </c>
      <c r="B66" s="244" t="s">
        <v>76</v>
      </c>
      <c r="C66" s="246" t="s">
        <v>77</v>
      </c>
      <c r="D66" s="151" t="s">
        <v>759</v>
      </c>
      <c r="E66" s="151" t="s">
        <v>698</v>
      </c>
      <c r="F66" s="244" t="s">
        <v>748</v>
      </c>
      <c r="G66" s="247">
        <v>0.001</v>
      </c>
      <c r="H66" s="247">
        <v>30</v>
      </c>
      <c r="I66" s="244" t="s">
        <v>696</v>
      </c>
      <c r="K66" s="260">
        <v>93</v>
      </c>
      <c r="L66" s="260">
        <v>18</v>
      </c>
    </row>
    <row r="67" ht="23" customHeight="1" spans="1:12">
      <c r="A67" s="244" t="s">
        <v>1721</v>
      </c>
      <c r="B67" s="244" t="s">
        <v>46</v>
      </c>
      <c r="C67" s="246" t="s">
        <v>47</v>
      </c>
      <c r="D67" s="151" t="s">
        <v>759</v>
      </c>
      <c r="E67" s="151" t="s">
        <v>717</v>
      </c>
      <c r="F67" s="244" t="s">
        <v>748</v>
      </c>
      <c r="G67" s="247">
        <v>0.001</v>
      </c>
      <c r="H67" s="247">
        <v>30</v>
      </c>
      <c r="I67" s="244" t="s">
        <v>696</v>
      </c>
      <c r="K67" s="260">
        <v>85</v>
      </c>
      <c r="L67" s="260">
        <v>26</v>
      </c>
    </row>
    <row r="68" ht="23" customHeight="1" spans="1:12">
      <c r="A68" s="244" t="s">
        <v>1721</v>
      </c>
      <c r="B68" s="246" t="s">
        <v>54</v>
      </c>
      <c r="C68" s="246" t="s">
        <v>55</v>
      </c>
      <c r="D68" s="250" t="s">
        <v>755</v>
      </c>
      <c r="E68" s="151" t="s">
        <v>711</v>
      </c>
      <c r="F68" s="244" t="s">
        <v>769</v>
      </c>
      <c r="G68" s="247">
        <v>0.001</v>
      </c>
      <c r="H68" s="247">
        <v>2</v>
      </c>
      <c r="I68" s="244" t="s">
        <v>696</v>
      </c>
      <c r="K68" s="260">
        <v>75</v>
      </c>
      <c r="L68" s="260">
        <v>21</v>
      </c>
    </row>
    <row r="69" ht="23" customHeight="1" spans="1:12">
      <c r="A69" s="244" t="s">
        <v>1721</v>
      </c>
      <c r="B69" s="246" t="s">
        <v>54</v>
      </c>
      <c r="C69" s="246" t="s">
        <v>55</v>
      </c>
      <c r="D69" s="250" t="s">
        <v>726</v>
      </c>
      <c r="E69" s="151" t="s">
        <v>711</v>
      </c>
      <c r="F69" s="244" t="s">
        <v>709</v>
      </c>
      <c r="G69" s="247">
        <v>2.001</v>
      </c>
      <c r="H69" s="247">
        <v>30</v>
      </c>
      <c r="I69" s="244" t="s">
        <v>696</v>
      </c>
      <c r="K69" s="260">
        <v>75</v>
      </c>
      <c r="L69" s="260">
        <v>21</v>
      </c>
    </row>
    <row r="70" ht="23" customHeight="1" spans="1:12">
      <c r="A70" s="244" t="s">
        <v>1721</v>
      </c>
      <c r="B70" s="244" t="s">
        <v>42</v>
      </c>
      <c r="C70" s="246" t="s">
        <v>43</v>
      </c>
      <c r="D70" s="151" t="s">
        <v>759</v>
      </c>
      <c r="E70" s="151" t="s">
        <v>717</v>
      </c>
      <c r="F70" s="244" t="s">
        <v>748</v>
      </c>
      <c r="G70" s="247">
        <v>0.001</v>
      </c>
      <c r="H70" s="247">
        <v>30</v>
      </c>
      <c r="I70" s="244" t="s">
        <v>696</v>
      </c>
      <c r="K70" s="260">
        <v>100</v>
      </c>
      <c r="L70" s="260">
        <v>23</v>
      </c>
    </row>
    <row r="71" ht="23" customHeight="1" spans="1:12">
      <c r="A71" s="244" t="s">
        <v>1721</v>
      </c>
      <c r="B71" s="246" t="s">
        <v>58</v>
      </c>
      <c r="C71" s="246" t="s">
        <v>59</v>
      </c>
      <c r="D71" s="151" t="s">
        <v>726</v>
      </c>
      <c r="E71" s="151" t="s">
        <v>694</v>
      </c>
      <c r="F71" s="244" t="s">
        <v>769</v>
      </c>
      <c r="G71" s="247">
        <v>0.001</v>
      </c>
      <c r="H71" s="247">
        <v>2</v>
      </c>
      <c r="I71" s="244" t="s">
        <v>696</v>
      </c>
      <c r="K71" s="260">
        <v>80</v>
      </c>
      <c r="L71" s="260">
        <v>20</v>
      </c>
    </row>
    <row r="72" ht="23" customHeight="1" spans="1:12">
      <c r="A72" s="244" t="s">
        <v>1721</v>
      </c>
      <c r="B72" s="246" t="s">
        <v>58</v>
      </c>
      <c r="C72" s="246" t="s">
        <v>59</v>
      </c>
      <c r="D72" s="151" t="s">
        <v>726</v>
      </c>
      <c r="E72" s="151" t="s">
        <v>694</v>
      </c>
      <c r="F72" s="244" t="s">
        <v>709</v>
      </c>
      <c r="G72" s="247">
        <v>2.001</v>
      </c>
      <c r="H72" s="247">
        <v>30</v>
      </c>
      <c r="I72" s="244" t="s">
        <v>696</v>
      </c>
      <c r="K72" s="260">
        <v>80</v>
      </c>
      <c r="L72" s="260">
        <v>20</v>
      </c>
    </row>
    <row r="73" ht="23" customHeight="1" spans="1:12">
      <c r="A73" s="244" t="s">
        <v>1721</v>
      </c>
      <c r="B73" s="246" t="s">
        <v>40</v>
      </c>
      <c r="C73" s="246" t="s">
        <v>41</v>
      </c>
      <c r="D73" s="151" t="s">
        <v>844</v>
      </c>
      <c r="E73" s="151" t="s">
        <v>773</v>
      </c>
      <c r="F73" s="244" t="s">
        <v>769</v>
      </c>
      <c r="G73" s="247">
        <v>0.001</v>
      </c>
      <c r="H73" s="247">
        <v>2</v>
      </c>
      <c r="I73" s="244" t="s">
        <v>696</v>
      </c>
      <c r="K73" s="260">
        <v>90</v>
      </c>
      <c r="L73" s="260">
        <v>26</v>
      </c>
    </row>
    <row r="74" ht="23" customHeight="1" spans="1:12">
      <c r="A74" s="244" t="s">
        <v>1721</v>
      </c>
      <c r="B74" s="246" t="s">
        <v>40</v>
      </c>
      <c r="C74" s="246" t="s">
        <v>41</v>
      </c>
      <c r="D74" s="151" t="s">
        <v>1934</v>
      </c>
      <c r="E74" s="151" t="s">
        <v>773</v>
      </c>
      <c r="F74" s="244" t="s">
        <v>709</v>
      </c>
      <c r="G74" s="247">
        <v>2.001</v>
      </c>
      <c r="H74" s="247">
        <v>30</v>
      </c>
      <c r="I74" s="244" t="s">
        <v>696</v>
      </c>
      <c r="K74" s="260">
        <v>95</v>
      </c>
      <c r="L74" s="260">
        <v>26</v>
      </c>
    </row>
    <row r="75" ht="23" customHeight="1" spans="1:12">
      <c r="A75" s="244" t="s">
        <v>1721</v>
      </c>
      <c r="B75" s="246" t="s">
        <v>56</v>
      </c>
      <c r="C75" s="246" t="s">
        <v>57</v>
      </c>
      <c r="D75" s="151" t="s">
        <v>789</v>
      </c>
      <c r="E75" s="151" t="s">
        <v>694</v>
      </c>
      <c r="F75" s="244" t="s">
        <v>769</v>
      </c>
      <c r="G75" s="247">
        <v>0.001</v>
      </c>
      <c r="H75" s="247">
        <v>2</v>
      </c>
      <c r="I75" s="244" t="s">
        <v>696</v>
      </c>
      <c r="K75" s="260">
        <v>80</v>
      </c>
      <c r="L75" s="260">
        <v>20</v>
      </c>
    </row>
    <row r="76" ht="23" customHeight="1" spans="1:12">
      <c r="A76" s="244" t="s">
        <v>1721</v>
      </c>
      <c r="B76" s="246" t="s">
        <v>56</v>
      </c>
      <c r="C76" s="246" t="s">
        <v>57</v>
      </c>
      <c r="D76" s="151" t="s">
        <v>789</v>
      </c>
      <c r="E76" s="151" t="s">
        <v>694</v>
      </c>
      <c r="F76" s="244" t="s">
        <v>709</v>
      </c>
      <c r="G76" s="247">
        <v>2.001</v>
      </c>
      <c r="H76" s="247">
        <v>30</v>
      </c>
      <c r="I76" s="244" t="s">
        <v>696</v>
      </c>
      <c r="K76" s="260">
        <v>80</v>
      </c>
      <c r="L76" s="260">
        <v>20</v>
      </c>
    </row>
    <row r="77" ht="23" customHeight="1" spans="1:12">
      <c r="A77" s="244" t="s">
        <v>1721</v>
      </c>
      <c r="B77" s="244" t="s">
        <v>142</v>
      </c>
      <c r="C77" s="246" t="s">
        <v>143</v>
      </c>
      <c r="D77" s="151" t="s">
        <v>1942</v>
      </c>
      <c r="E77" s="151" t="s">
        <v>728</v>
      </c>
      <c r="F77" s="244" t="s">
        <v>769</v>
      </c>
      <c r="G77" s="247">
        <v>0.001</v>
      </c>
      <c r="H77" s="247">
        <v>2</v>
      </c>
      <c r="I77" s="244" t="s">
        <v>696</v>
      </c>
      <c r="K77" s="260">
        <v>240</v>
      </c>
      <c r="L77" s="260">
        <v>20</v>
      </c>
    </row>
    <row r="78" ht="23" customHeight="1" spans="1:12">
      <c r="A78" s="244" t="s">
        <v>1721</v>
      </c>
      <c r="B78" s="244" t="s">
        <v>80</v>
      </c>
      <c r="C78" s="246" t="s">
        <v>81</v>
      </c>
      <c r="D78" s="151" t="s">
        <v>1941</v>
      </c>
      <c r="E78" s="151" t="s">
        <v>694</v>
      </c>
      <c r="F78" s="151" t="s">
        <v>695</v>
      </c>
      <c r="G78" s="247">
        <v>0.001</v>
      </c>
      <c r="H78" s="247">
        <v>0.1</v>
      </c>
      <c r="I78" s="244" t="s">
        <v>696</v>
      </c>
      <c r="K78" s="260">
        <v>117</v>
      </c>
      <c r="L78" s="260">
        <v>20</v>
      </c>
    </row>
    <row r="79" ht="23" customHeight="1" spans="1:12">
      <c r="A79" s="244"/>
      <c r="B79" s="244"/>
      <c r="C79" s="246" t="s">
        <v>81</v>
      </c>
      <c r="D79" s="151" t="s">
        <v>716</v>
      </c>
      <c r="E79" s="151" t="s">
        <v>694</v>
      </c>
      <c r="F79" s="151" t="s">
        <v>779</v>
      </c>
      <c r="G79" s="247">
        <v>0.101</v>
      </c>
      <c r="H79" s="247">
        <v>0.3</v>
      </c>
      <c r="I79" s="244"/>
      <c r="K79" s="260"/>
      <c r="L79" s="260"/>
    </row>
    <row r="80" ht="23" customHeight="1" spans="1:12">
      <c r="A80" s="244"/>
      <c r="B80" s="244"/>
      <c r="C80" s="246" t="s">
        <v>81</v>
      </c>
      <c r="D80" s="151" t="s">
        <v>756</v>
      </c>
      <c r="E80" s="151" t="s">
        <v>694</v>
      </c>
      <c r="F80" s="151" t="s">
        <v>781</v>
      </c>
      <c r="G80" s="247">
        <v>0.301</v>
      </c>
      <c r="H80" s="247">
        <v>5</v>
      </c>
      <c r="I80" s="244"/>
      <c r="K80" s="260"/>
      <c r="L80" s="260"/>
    </row>
    <row r="81" ht="23" customHeight="1" spans="1:12">
      <c r="A81" s="244" t="s">
        <v>1721</v>
      </c>
      <c r="B81" s="246" t="s">
        <v>60</v>
      </c>
      <c r="C81" s="246" t="s">
        <v>61</v>
      </c>
      <c r="D81" s="151" t="s">
        <v>719</v>
      </c>
      <c r="E81" s="151" t="s">
        <v>804</v>
      </c>
      <c r="F81" s="244" t="s">
        <v>741</v>
      </c>
      <c r="G81" s="247">
        <v>0.001</v>
      </c>
      <c r="H81" s="247">
        <v>0.2</v>
      </c>
      <c r="I81" s="244" t="s">
        <v>738</v>
      </c>
      <c r="K81" s="260">
        <v>78</v>
      </c>
      <c r="L81" s="260">
        <v>13</v>
      </c>
    </row>
    <row r="82" ht="23" customHeight="1" spans="1:12">
      <c r="A82" s="244" t="s">
        <v>1721</v>
      </c>
      <c r="B82" s="246" t="s">
        <v>60</v>
      </c>
      <c r="C82" s="246" t="s">
        <v>61</v>
      </c>
      <c r="D82" s="151" t="s">
        <v>758</v>
      </c>
      <c r="E82" s="151" t="s">
        <v>784</v>
      </c>
      <c r="F82" s="244" t="s">
        <v>1943</v>
      </c>
      <c r="G82" s="247">
        <v>0.201</v>
      </c>
      <c r="H82" s="247">
        <v>30</v>
      </c>
      <c r="I82" s="244" t="s">
        <v>738</v>
      </c>
      <c r="K82" s="260">
        <v>70</v>
      </c>
      <c r="L82" s="260">
        <v>15</v>
      </c>
    </row>
    <row r="83" ht="23" customHeight="1" spans="1:12">
      <c r="A83" s="244" t="s">
        <v>1721</v>
      </c>
      <c r="B83" s="244" t="s">
        <v>62</v>
      </c>
      <c r="C83" s="246" t="s">
        <v>63</v>
      </c>
      <c r="D83" s="151" t="s">
        <v>1944</v>
      </c>
      <c r="E83" s="151" t="s">
        <v>694</v>
      </c>
      <c r="F83" s="244" t="s">
        <v>748</v>
      </c>
      <c r="G83" s="247">
        <v>0.001</v>
      </c>
      <c r="H83" s="247">
        <v>30</v>
      </c>
      <c r="I83" s="244" t="s">
        <v>696</v>
      </c>
      <c r="K83" s="260">
        <v>105</v>
      </c>
      <c r="L83" s="260">
        <v>20</v>
      </c>
    </row>
    <row r="84" ht="23" customHeight="1" spans="1:12">
      <c r="A84" s="244" t="s">
        <v>1721</v>
      </c>
      <c r="B84" s="244" t="s">
        <v>64</v>
      </c>
      <c r="C84" s="246" t="s">
        <v>65</v>
      </c>
      <c r="D84" s="250" t="s">
        <v>758</v>
      </c>
      <c r="E84" s="151" t="s">
        <v>698</v>
      </c>
      <c r="F84" s="244" t="s">
        <v>748</v>
      </c>
      <c r="G84" s="247">
        <v>0.001</v>
      </c>
      <c r="H84" s="247">
        <v>30</v>
      </c>
      <c r="I84" s="244" t="s">
        <v>696</v>
      </c>
      <c r="K84" s="260">
        <v>80</v>
      </c>
      <c r="L84" s="260">
        <v>18</v>
      </c>
    </row>
    <row r="85" ht="23" customHeight="1" spans="1:12">
      <c r="A85" s="244" t="s">
        <v>1721</v>
      </c>
      <c r="B85" s="246" t="s">
        <v>70</v>
      </c>
      <c r="C85" s="246" t="s">
        <v>71</v>
      </c>
      <c r="D85" s="151" t="s">
        <v>770</v>
      </c>
      <c r="E85" s="151" t="s">
        <v>701</v>
      </c>
      <c r="F85" s="151" t="s">
        <v>744</v>
      </c>
      <c r="G85" s="247">
        <v>0.001</v>
      </c>
      <c r="H85" s="247">
        <v>0.3</v>
      </c>
      <c r="I85" s="244" t="s">
        <v>696</v>
      </c>
      <c r="K85" s="260">
        <v>98</v>
      </c>
      <c r="L85" s="260">
        <v>16</v>
      </c>
    </row>
    <row r="86" ht="23" customHeight="1" spans="1:12">
      <c r="A86" s="244" t="s">
        <v>1721</v>
      </c>
      <c r="B86" s="246" t="s">
        <v>70</v>
      </c>
      <c r="C86" s="246" t="s">
        <v>71</v>
      </c>
      <c r="D86" s="151" t="s">
        <v>755</v>
      </c>
      <c r="E86" s="151" t="s">
        <v>711</v>
      </c>
      <c r="F86" s="151" t="s">
        <v>772</v>
      </c>
      <c r="G86" s="247">
        <v>0.301</v>
      </c>
      <c r="H86" s="247">
        <v>2</v>
      </c>
      <c r="I86" s="244" t="s">
        <v>696</v>
      </c>
      <c r="K86" s="260">
        <v>85</v>
      </c>
      <c r="L86" s="260">
        <v>21</v>
      </c>
    </row>
    <row r="87" ht="23" customHeight="1" spans="1:12">
      <c r="A87" s="244"/>
      <c r="B87" s="246"/>
      <c r="C87" s="246" t="s">
        <v>71</v>
      </c>
      <c r="D87" s="151" t="s">
        <v>755</v>
      </c>
      <c r="E87" s="151" t="s">
        <v>711</v>
      </c>
      <c r="F87" s="151" t="s">
        <v>787</v>
      </c>
      <c r="G87" s="247">
        <v>2.001</v>
      </c>
      <c r="H87" s="247">
        <v>20</v>
      </c>
      <c r="I87" s="244"/>
      <c r="K87" s="260"/>
      <c r="L87" s="260"/>
    </row>
    <row r="88" ht="23" customHeight="1" spans="1:12">
      <c r="A88" s="244" t="s">
        <v>1721</v>
      </c>
      <c r="B88" s="244" t="s">
        <v>68</v>
      </c>
      <c r="C88" s="246" t="s">
        <v>69</v>
      </c>
      <c r="D88" s="151" t="s">
        <v>759</v>
      </c>
      <c r="E88" s="151" t="s">
        <v>760</v>
      </c>
      <c r="F88" s="244" t="s">
        <v>748</v>
      </c>
      <c r="G88" s="247">
        <v>0.001</v>
      </c>
      <c r="H88" s="247">
        <v>30</v>
      </c>
      <c r="I88" s="244" t="s">
        <v>696</v>
      </c>
      <c r="K88" s="260">
        <v>85</v>
      </c>
      <c r="L88" s="260">
        <v>26</v>
      </c>
    </row>
    <row r="89" ht="23" customHeight="1" spans="1:12">
      <c r="A89" s="244" t="s">
        <v>1721</v>
      </c>
      <c r="B89" s="244" t="s">
        <v>66</v>
      </c>
      <c r="C89" s="246" t="s">
        <v>67</v>
      </c>
      <c r="D89" s="250" t="s">
        <v>755</v>
      </c>
      <c r="E89" s="250" t="s">
        <v>694</v>
      </c>
      <c r="F89" s="151" t="s">
        <v>769</v>
      </c>
      <c r="G89" s="247">
        <v>0.001</v>
      </c>
      <c r="H89" s="247">
        <v>2</v>
      </c>
      <c r="I89" s="244" t="s">
        <v>696</v>
      </c>
      <c r="K89" s="260">
        <v>80</v>
      </c>
      <c r="L89" s="260">
        <v>21</v>
      </c>
    </row>
    <row r="90" ht="23" customHeight="1" spans="1:12">
      <c r="A90" s="244"/>
      <c r="B90" s="244"/>
      <c r="C90" s="246"/>
      <c r="D90" s="250" t="s">
        <v>755</v>
      </c>
      <c r="E90" s="250" t="s">
        <v>694</v>
      </c>
      <c r="F90" s="151" t="s">
        <v>709</v>
      </c>
      <c r="G90" s="247">
        <v>2.001</v>
      </c>
      <c r="H90" s="247">
        <v>30</v>
      </c>
      <c r="I90" s="244"/>
      <c r="K90" s="260"/>
      <c r="L90" s="260"/>
    </row>
    <row r="91" ht="23" customHeight="1" spans="1:12">
      <c r="A91" s="244" t="s">
        <v>1721</v>
      </c>
      <c r="B91" s="246" t="s">
        <v>182</v>
      </c>
      <c r="C91" s="246" t="s">
        <v>183</v>
      </c>
      <c r="D91" s="151" t="s">
        <v>776</v>
      </c>
      <c r="E91" s="151" t="s">
        <v>694</v>
      </c>
      <c r="F91" s="244" t="s">
        <v>712</v>
      </c>
      <c r="G91" s="247">
        <v>0.001</v>
      </c>
      <c r="H91" s="247">
        <v>0.15</v>
      </c>
      <c r="I91" s="244" t="s">
        <v>696</v>
      </c>
      <c r="K91" s="260">
        <v>115</v>
      </c>
      <c r="L91" s="260">
        <v>20</v>
      </c>
    </row>
    <row r="92" ht="23" customHeight="1" spans="1:12">
      <c r="A92" s="244" t="s">
        <v>1721</v>
      </c>
      <c r="B92" s="246" t="s">
        <v>182</v>
      </c>
      <c r="C92" s="246" t="s">
        <v>183</v>
      </c>
      <c r="D92" s="151" t="s">
        <v>759</v>
      </c>
      <c r="E92" s="151" t="s">
        <v>790</v>
      </c>
      <c r="F92" s="244" t="s">
        <v>791</v>
      </c>
      <c r="G92" s="247">
        <v>0.151</v>
      </c>
      <c r="H92" s="247">
        <v>30</v>
      </c>
      <c r="I92" s="244" t="s">
        <v>696</v>
      </c>
      <c r="K92" s="260">
        <v>100</v>
      </c>
      <c r="L92" s="260">
        <v>12</v>
      </c>
    </row>
    <row r="93" ht="23" customHeight="1" spans="1:12">
      <c r="A93" s="244" t="s">
        <v>1713</v>
      </c>
      <c r="B93" s="245" t="s">
        <v>150</v>
      </c>
      <c r="C93" s="246" t="s">
        <v>151</v>
      </c>
      <c r="D93" s="151" t="s">
        <v>842</v>
      </c>
      <c r="E93" s="151" t="s">
        <v>792</v>
      </c>
      <c r="F93" s="151" t="s">
        <v>723</v>
      </c>
      <c r="G93" s="247">
        <v>0.001</v>
      </c>
      <c r="H93" s="247">
        <v>0.5</v>
      </c>
      <c r="I93" s="244" t="s">
        <v>696</v>
      </c>
      <c r="K93" s="260">
        <v>94</v>
      </c>
      <c r="L93" s="260">
        <v>35</v>
      </c>
    </row>
    <row r="94" ht="23" customHeight="1" spans="1:12">
      <c r="A94" s="244" t="s">
        <v>1713</v>
      </c>
      <c r="B94" s="245" t="s">
        <v>150</v>
      </c>
      <c r="C94" s="246" t="s">
        <v>151</v>
      </c>
      <c r="D94" s="151" t="s">
        <v>842</v>
      </c>
      <c r="E94" s="151" t="s">
        <v>731</v>
      </c>
      <c r="F94" s="151" t="s">
        <v>725</v>
      </c>
      <c r="G94" s="247">
        <v>0.501</v>
      </c>
      <c r="H94" s="247">
        <v>1</v>
      </c>
      <c r="I94" s="244" t="s">
        <v>696</v>
      </c>
      <c r="K94" s="260">
        <v>94</v>
      </c>
      <c r="L94" s="260">
        <v>37</v>
      </c>
    </row>
    <row r="95" ht="23" customHeight="1" spans="1:12">
      <c r="A95" s="244" t="s">
        <v>1713</v>
      </c>
      <c r="B95" s="245" t="s">
        <v>150</v>
      </c>
      <c r="C95" s="246" t="s">
        <v>151</v>
      </c>
      <c r="D95" s="151" t="s">
        <v>842</v>
      </c>
      <c r="E95" s="151" t="s">
        <v>793</v>
      </c>
      <c r="F95" s="151" t="s">
        <v>794</v>
      </c>
      <c r="G95" s="247">
        <v>1.001</v>
      </c>
      <c r="H95" s="247">
        <v>1.5</v>
      </c>
      <c r="I95" s="244" t="s">
        <v>696</v>
      </c>
      <c r="K95" s="260">
        <v>94</v>
      </c>
      <c r="L95" s="260">
        <v>41</v>
      </c>
    </row>
    <row r="96" ht="23" customHeight="1" spans="1:12">
      <c r="A96" s="244" t="s">
        <v>1713</v>
      </c>
      <c r="B96" s="245" t="s">
        <v>150</v>
      </c>
      <c r="C96" s="246" t="s">
        <v>151</v>
      </c>
      <c r="D96" s="151" t="s">
        <v>842</v>
      </c>
      <c r="E96" s="151" t="s">
        <v>795</v>
      </c>
      <c r="F96" s="151" t="s">
        <v>707</v>
      </c>
      <c r="G96" s="247">
        <v>1.501</v>
      </c>
      <c r="H96" s="247">
        <v>2</v>
      </c>
      <c r="I96" s="244" t="s">
        <v>696</v>
      </c>
      <c r="K96" s="260">
        <v>94</v>
      </c>
      <c r="L96" s="260">
        <v>45</v>
      </c>
    </row>
    <row r="97" ht="23" customHeight="1" spans="1:12">
      <c r="A97" s="244" t="s">
        <v>1713</v>
      </c>
      <c r="B97" s="245" t="s">
        <v>150</v>
      </c>
      <c r="C97" s="246" t="s">
        <v>151</v>
      </c>
      <c r="D97" s="151" t="s">
        <v>842</v>
      </c>
      <c r="E97" s="151" t="s">
        <v>745</v>
      </c>
      <c r="F97" s="151" t="s">
        <v>796</v>
      </c>
      <c r="G97" s="247">
        <v>2.001</v>
      </c>
      <c r="H97" s="247">
        <v>3</v>
      </c>
      <c r="I97" s="244" t="s">
        <v>696</v>
      </c>
      <c r="K97" s="260">
        <v>94</v>
      </c>
      <c r="L97" s="260">
        <v>60</v>
      </c>
    </row>
    <row r="98" ht="23" customHeight="1" spans="1:12">
      <c r="A98" s="244"/>
      <c r="B98" s="245"/>
      <c r="C98" s="246" t="s">
        <v>151</v>
      </c>
      <c r="D98" s="151" t="s">
        <v>842</v>
      </c>
      <c r="E98" s="151" t="s">
        <v>771</v>
      </c>
      <c r="F98" s="151" t="s">
        <v>797</v>
      </c>
      <c r="G98" s="247">
        <v>3.001</v>
      </c>
      <c r="H98" s="247">
        <v>5</v>
      </c>
      <c r="I98" s="244"/>
      <c r="K98" s="260"/>
      <c r="L98" s="260"/>
    </row>
    <row r="99" ht="23" customHeight="1" spans="1:12">
      <c r="A99" s="244" t="s">
        <v>1713</v>
      </c>
      <c r="B99" s="246" t="s">
        <v>172</v>
      </c>
      <c r="C99" s="246" t="s">
        <v>173</v>
      </c>
      <c r="D99" s="151" t="s">
        <v>789</v>
      </c>
      <c r="E99" s="151" t="s">
        <v>711</v>
      </c>
      <c r="F99" s="151" t="s">
        <v>723</v>
      </c>
      <c r="G99" s="247">
        <v>0.001</v>
      </c>
      <c r="H99" s="247">
        <v>0.5</v>
      </c>
      <c r="I99" s="244" t="s">
        <v>696</v>
      </c>
      <c r="K99" s="260">
        <v>95</v>
      </c>
      <c r="L99" s="260">
        <v>22</v>
      </c>
    </row>
    <row r="100" ht="23" customHeight="1" spans="1:12">
      <c r="A100" s="244" t="s">
        <v>1713</v>
      </c>
      <c r="B100" s="246" t="s">
        <v>172</v>
      </c>
      <c r="C100" s="246" t="s">
        <v>173</v>
      </c>
      <c r="D100" s="151" t="s">
        <v>703</v>
      </c>
      <c r="E100" s="151" t="s">
        <v>747</v>
      </c>
      <c r="F100" s="151" t="s">
        <v>725</v>
      </c>
      <c r="G100" s="247">
        <v>0.501</v>
      </c>
      <c r="H100" s="247">
        <v>1</v>
      </c>
      <c r="I100" s="244" t="s">
        <v>696</v>
      </c>
      <c r="K100" s="260">
        <v>108</v>
      </c>
      <c r="L100" s="260">
        <v>25</v>
      </c>
    </row>
    <row r="101" ht="23" customHeight="1" spans="1:12">
      <c r="A101" s="244" t="s">
        <v>1713</v>
      </c>
      <c r="B101" s="246" t="s">
        <v>172</v>
      </c>
      <c r="C101" s="246" t="s">
        <v>173</v>
      </c>
      <c r="D101" s="151" t="s">
        <v>703</v>
      </c>
      <c r="E101" s="151" t="s">
        <v>728</v>
      </c>
      <c r="F101" s="151" t="s">
        <v>762</v>
      </c>
      <c r="G101" s="247">
        <v>1.001</v>
      </c>
      <c r="H101" s="247">
        <v>2</v>
      </c>
      <c r="I101" s="244" t="s">
        <v>696</v>
      </c>
      <c r="K101" s="260">
        <v>108</v>
      </c>
      <c r="L101" s="260">
        <v>30</v>
      </c>
    </row>
    <row r="102" ht="23" customHeight="1" spans="1:12">
      <c r="A102" s="244" t="s">
        <v>1713</v>
      </c>
      <c r="B102" s="246" t="s">
        <v>174</v>
      </c>
      <c r="C102" s="246" t="s">
        <v>175</v>
      </c>
      <c r="D102" s="151" t="s">
        <v>800</v>
      </c>
      <c r="E102" s="151" t="s">
        <v>773</v>
      </c>
      <c r="F102" s="244" t="s">
        <v>769</v>
      </c>
      <c r="G102" s="247">
        <v>0.001</v>
      </c>
      <c r="H102" s="247">
        <v>2</v>
      </c>
      <c r="I102" s="244" t="s">
        <v>696</v>
      </c>
      <c r="K102" s="260">
        <v>134</v>
      </c>
      <c r="L102" s="260">
        <v>26</v>
      </c>
    </row>
    <row r="103" ht="23" customHeight="1" spans="1:12">
      <c r="A103" s="244" t="s">
        <v>1713</v>
      </c>
      <c r="B103" s="246" t="s">
        <v>174</v>
      </c>
      <c r="C103" s="246" t="s">
        <v>175</v>
      </c>
      <c r="D103" s="151" t="s">
        <v>800</v>
      </c>
      <c r="E103" s="151" t="s">
        <v>773</v>
      </c>
      <c r="F103" s="244" t="s">
        <v>796</v>
      </c>
      <c r="G103" s="247">
        <v>2.001</v>
      </c>
      <c r="H103" s="247">
        <v>3</v>
      </c>
      <c r="I103" s="244" t="s">
        <v>696</v>
      </c>
      <c r="K103" s="260">
        <v>134</v>
      </c>
      <c r="L103" s="260">
        <v>26</v>
      </c>
    </row>
    <row r="104" ht="23" customHeight="1" spans="1:12">
      <c r="A104" s="244" t="s">
        <v>1713</v>
      </c>
      <c r="B104" s="244" t="s">
        <v>122</v>
      </c>
      <c r="C104" s="246" t="s">
        <v>123</v>
      </c>
      <c r="D104" s="151" t="s">
        <v>801</v>
      </c>
      <c r="E104" s="151" t="s">
        <v>711</v>
      </c>
      <c r="F104" s="244" t="s">
        <v>769</v>
      </c>
      <c r="G104" s="247">
        <v>0.001</v>
      </c>
      <c r="H104" s="247">
        <v>2</v>
      </c>
      <c r="I104" s="244" t="s">
        <v>696</v>
      </c>
      <c r="K104" s="260">
        <v>185</v>
      </c>
      <c r="L104" s="260">
        <v>21</v>
      </c>
    </row>
    <row r="105" ht="23" customHeight="1" spans="1:12">
      <c r="A105" s="244" t="s">
        <v>1945</v>
      </c>
      <c r="B105" s="244" t="s">
        <v>84</v>
      </c>
      <c r="C105" s="246" t="s">
        <v>85</v>
      </c>
      <c r="D105" s="151" t="s">
        <v>789</v>
      </c>
      <c r="E105" s="151" t="s">
        <v>757</v>
      </c>
      <c r="F105" s="244" t="s">
        <v>802</v>
      </c>
      <c r="G105" s="247">
        <v>0.001</v>
      </c>
      <c r="H105" s="247">
        <v>25</v>
      </c>
      <c r="I105" s="244" t="s">
        <v>738</v>
      </c>
      <c r="K105" s="260">
        <v>95</v>
      </c>
      <c r="L105" s="260">
        <v>17</v>
      </c>
    </row>
    <row r="106" ht="23" customHeight="1" spans="1:12">
      <c r="A106" s="244" t="s">
        <v>1767</v>
      </c>
      <c r="B106" s="246" t="s">
        <v>178</v>
      </c>
      <c r="C106" s="246" t="s">
        <v>179</v>
      </c>
      <c r="D106" s="151" t="s">
        <v>784</v>
      </c>
      <c r="E106" s="151" t="s">
        <v>714</v>
      </c>
      <c r="F106" s="244" t="s">
        <v>769</v>
      </c>
      <c r="G106" s="247">
        <v>0.001</v>
      </c>
      <c r="H106" s="247">
        <v>2</v>
      </c>
      <c r="I106" s="244" t="s">
        <v>696</v>
      </c>
      <c r="K106" s="260">
        <v>15</v>
      </c>
      <c r="L106" s="260">
        <v>22</v>
      </c>
    </row>
    <row r="107" ht="23" customHeight="1" spans="1:12">
      <c r="A107" s="244" t="s">
        <v>1767</v>
      </c>
      <c r="B107" s="246" t="s">
        <v>178</v>
      </c>
      <c r="C107" s="246" t="s">
        <v>179</v>
      </c>
      <c r="D107" s="151" t="s">
        <v>784</v>
      </c>
      <c r="E107" s="151" t="s">
        <v>731</v>
      </c>
      <c r="F107" s="244" t="s">
        <v>787</v>
      </c>
      <c r="G107" s="247">
        <v>2.001</v>
      </c>
      <c r="H107" s="247">
        <v>20</v>
      </c>
      <c r="I107" s="244" t="s">
        <v>696</v>
      </c>
      <c r="K107" s="260">
        <v>15</v>
      </c>
      <c r="L107" s="260">
        <v>40</v>
      </c>
    </row>
    <row r="108" ht="23" customHeight="1" spans="1:12">
      <c r="A108" s="244" t="s">
        <v>1767</v>
      </c>
      <c r="B108" s="244" t="s">
        <v>180</v>
      </c>
      <c r="C108" s="246" t="s">
        <v>181</v>
      </c>
      <c r="D108" s="151" t="s">
        <v>1932</v>
      </c>
      <c r="E108" s="151" t="s">
        <v>804</v>
      </c>
      <c r="F108" s="244" t="s">
        <v>769</v>
      </c>
      <c r="G108" s="247">
        <v>0.001</v>
      </c>
      <c r="H108" s="247">
        <v>2</v>
      </c>
      <c r="I108" s="244" t="s">
        <v>696</v>
      </c>
      <c r="K108" s="260">
        <v>120</v>
      </c>
      <c r="L108" s="260">
        <v>13</v>
      </c>
    </row>
    <row r="109" ht="23" customHeight="1" spans="1:12">
      <c r="A109" s="244" t="s">
        <v>1767</v>
      </c>
      <c r="B109" s="246" t="s">
        <v>152</v>
      </c>
      <c r="C109" s="246" t="s">
        <v>153</v>
      </c>
      <c r="D109" s="151" t="s">
        <v>806</v>
      </c>
      <c r="E109" s="151" t="s">
        <v>757</v>
      </c>
      <c r="F109" s="244" t="s">
        <v>769</v>
      </c>
      <c r="G109" s="247">
        <v>0.001</v>
      </c>
      <c r="H109" s="247">
        <v>2</v>
      </c>
      <c r="I109" s="244" t="s">
        <v>696</v>
      </c>
      <c r="K109" s="260">
        <v>6</v>
      </c>
      <c r="L109" s="260">
        <v>17</v>
      </c>
    </row>
    <row r="110" ht="23" customHeight="1" spans="1:12">
      <c r="A110" s="244" t="s">
        <v>1767</v>
      </c>
      <c r="B110" s="246" t="s">
        <v>152</v>
      </c>
      <c r="C110" s="246" t="s">
        <v>153</v>
      </c>
      <c r="D110" s="151" t="s">
        <v>807</v>
      </c>
      <c r="E110" s="151" t="s">
        <v>757</v>
      </c>
      <c r="F110" s="244" t="s">
        <v>787</v>
      </c>
      <c r="G110" s="247">
        <v>2.001</v>
      </c>
      <c r="H110" s="247">
        <v>20</v>
      </c>
      <c r="I110" s="244" t="s">
        <v>738</v>
      </c>
      <c r="K110" s="260">
        <v>8</v>
      </c>
      <c r="L110" s="260">
        <v>17</v>
      </c>
    </row>
    <row r="111" ht="23" customHeight="1" spans="1:12">
      <c r="A111" s="244"/>
      <c r="B111" s="151" t="s">
        <v>134</v>
      </c>
      <c r="C111" s="151" t="s">
        <v>135</v>
      </c>
      <c r="D111" s="151" t="s">
        <v>1946</v>
      </c>
      <c r="E111" s="151" t="s">
        <v>711</v>
      </c>
      <c r="F111" s="151" t="s">
        <v>809</v>
      </c>
      <c r="G111" s="247">
        <v>0</v>
      </c>
      <c r="H111" s="247">
        <v>1</v>
      </c>
      <c r="I111" s="244"/>
      <c r="K111" s="260"/>
      <c r="L111" s="260"/>
    </row>
    <row r="112" ht="23" customHeight="1" spans="1:12">
      <c r="A112" s="244"/>
      <c r="B112" s="151"/>
      <c r="C112" s="151" t="s">
        <v>135</v>
      </c>
      <c r="D112" s="151" t="s">
        <v>1947</v>
      </c>
      <c r="E112" s="151" t="s">
        <v>701</v>
      </c>
      <c r="F112" s="151" t="s">
        <v>721</v>
      </c>
      <c r="G112" s="247">
        <v>0.001</v>
      </c>
      <c r="H112" s="247">
        <v>30</v>
      </c>
      <c r="I112" s="244"/>
      <c r="K112" s="260"/>
      <c r="L112" s="260"/>
    </row>
    <row r="113" ht="23" customHeight="1" spans="1:12">
      <c r="A113" s="244" t="s">
        <v>1767</v>
      </c>
      <c r="B113" s="244" t="s">
        <v>132</v>
      </c>
      <c r="C113" s="246" t="s">
        <v>133</v>
      </c>
      <c r="D113" s="151" t="s">
        <v>1939</v>
      </c>
      <c r="E113" s="151" t="s">
        <v>790</v>
      </c>
      <c r="F113" s="151" t="s">
        <v>811</v>
      </c>
      <c r="G113" s="247">
        <v>0.001</v>
      </c>
      <c r="H113" s="247">
        <v>30</v>
      </c>
      <c r="I113" s="244" t="s">
        <v>696</v>
      </c>
      <c r="K113" s="260">
        <v>90</v>
      </c>
      <c r="L113" s="260">
        <v>13</v>
      </c>
    </row>
    <row r="114" ht="23" customHeight="1" spans="1:12">
      <c r="A114" s="244"/>
      <c r="B114" s="244"/>
      <c r="C114" s="246" t="s">
        <v>133</v>
      </c>
      <c r="D114" s="151" t="s">
        <v>755</v>
      </c>
      <c r="E114" s="151" t="s">
        <v>790</v>
      </c>
      <c r="F114" s="151" t="s">
        <v>813</v>
      </c>
      <c r="G114" s="247">
        <v>0.501</v>
      </c>
      <c r="H114" s="247">
        <v>10</v>
      </c>
      <c r="I114" s="244"/>
      <c r="K114" s="260"/>
      <c r="L114" s="260"/>
    </row>
    <row r="115" ht="23" customHeight="1" spans="1:12">
      <c r="A115" s="244"/>
      <c r="B115" s="244"/>
      <c r="C115" s="246" t="s">
        <v>133</v>
      </c>
      <c r="D115" s="151" t="s">
        <v>755</v>
      </c>
      <c r="E115" s="151" t="s">
        <v>782</v>
      </c>
      <c r="F115" s="151" t="s">
        <v>814</v>
      </c>
      <c r="G115" s="247">
        <v>10.001</v>
      </c>
      <c r="H115" s="247">
        <v>30</v>
      </c>
      <c r="I115" s="244"/>
      <c r="K115" s="260"/>
      <c r="L115" s="260"/>
    </row>
    <row r="116" ht="23" customHeight="1" spans="1:12">
      <c r="A116" s="244" t="s">
        <v>1767</v>
      </c>
      <c r="B116" s="246" t="s">
        <v>104</v>
      </c>
      <c r="C116" s="246" t="s">
        <v>105</v>
      </c>
      <c r="D116" s="244">
        <v>42</v>
      </c>
      <c r="E116" s="244">
        <v>20</v>
      </c>
      <c r="F116" s="244" t="s">
        <v>769</v>
      </c>
      <c r="G116" s="247">
        <v>0.001</v>
      </c>
      <c r="H116" s="247">
        <v>0.2</v>
      </c>
      <c r="I116" s="244" t="s">
        <v>696</v>
      </c>
      <c r="K116" s="260">
        <v>63</v>
      </c>
      <c r="L116" s="260">
        <v>14</v>
      </c>
    </row>
    <row r="117" ht="23" customHeight="1" spans="1:12">
      <c r="A117" s="244" t="s">
        <v>1767</v>
      </c>
      <c r="B117" s="246" t="s">
        <v>104</v>
      </c>
      <c r="C117" s="246" t="s">
        <v>105</v>
      </c>
      <c r="D117" s="244">
        <v>46</v>
      </c>
      <c r="E117" s="244">
        <v>20</v>
      </c>
      <c r="F117" s="244" t="s">
        <v>709</v>
      </c>
      <c r="G117" s="247">
        <v>0.201</v>
      </c>
      <c r="H117" s="247">
        <v>30</v>
      </c>
      <c r="I117" s="244" t="s">
        <v>696</v>
      </c>
      <c r="K117" s="260">
        <v>62</v>
      </c>
      <c r="L117" s="260">
        <v>11.5</v>
      </c>
    </row>
    <row r="118" ht="23" customHeight="1" spans="1:12">
      <c r="A118" s="244" t="s">
        <v>1767</v>
      </c>
      <c r="B118" s="244" t="s">
        <v>88</v>
      </c>
      <c r="C118" s="246" t="s">
        <v>89</v>
      </c>
      <c r="D118" s="244">
        <v>28</v>
      </c>
      <c r="E118" s="244">
        <v>11</v>
      </c>
      <c r="F118" s="244" t="s">
        <v>748</v>
      </c>
      <c r="G118" s="247">
        <v>0.001</v>
      </c>
      <c r="H118" s="247">
        <v>30</v>
      </c>
      <c r="I118" s="244" t="s">
        <v>696</v>
      </c>
      <c r="K118" s="260">
        <v>25</v>
      </c>
      <c r="L118" s="260">
        <v>8</v>
      </c>
    </row>
    <row r="119" ht="23" customHeight="1" spans="1:9">
      <c r="A119" s="244" t="s">
        <v>1945</v>
      </c>
      <c r="B119" s="261" t="s">
        <v>106</v>
      </c>
      <c r="C119" s="244" t="s">
        <v>1948</v>
      </c>
      <c r="D119" s="151" t="s">
        <v>1949</v>
      </c>
      <c r="E119" s="151" t="s">
        <v>734</v>
      </c>
      <c r="F119" s="151" t="s">
        <v>723</v>
      </c>
      <c r="G119" s="247">
        <v>0.001</v>
      </c>
      <c r="H119" s="244">
        <v>0.5</v>
      </c>
      <c r="I119" s="244" t="s">
        <v>738</v>
      </c>
    </row>
    <row r="120" ht="23" customHeight="1" spans="1:9">
      <c r="A120" s="244" t="s">
        <v>1945</v>
      </c>
      <c r="B120" s="261" t="s">
        <v>106</v>
      </c>
      <c r="C120" s="244" t="s">
        <v>1948</v>
      </c>
      <c r="D120" s="151" t="s">
        <v>1949</v>
      </c>
      <c r="E120" s="151" t="s">
        <v>789</v>
      </c>
      <c r="F120" s="151" t="s">
        <v>824</v>
      </c>
      <c r="G120" s="247">
        <v>0.501</v>
      </c>
      <c r="H120" s="244">
        <v>2</v>
      </c>
      <c r="I120" s="244" t="s">
        <v>738</v>
      </c>
    </row>
    <row r="121" ht="23" customHeight="1" spans="1:9">
      <c r="A121" s="244" t="s">
        <v>1945</v>
      </c>
      <c r="B121" s="261" t="s">
        <v>106</v>
      </c>
      <c r="C121" s="244" t="s">
        <v>1948</v>
      </c>
      <c r="D121" s="151" t="s">
        <v>1949</v>
      </c>
      <c r="E121" s="151" t="s">
        <v>856</v>
      </c>
      <c r="F121" s="151" t="s">
        <v>825</v>
      </c>
      <c r="G121" s="244">
        <v>2.001</v>
      </c>
      <c r="H121" s="244">
        <v>5</v>
      </c>
      <c r="I121" s="244" t="s">
        <v>738</v>
      </c>
    </row>
    <row r="122" ht="23" customHeight="1" spans="1:9">
      <c r="A122" s="244" t="s">
        <v>1945</v>
      </c>
      <c r="B122" s="261" t="s">
        <v>106</v>
      </c>
      <c r="C122" s="244" t="s">
        <v>1948</v>
      </c>
      <c r="D122" s="151" t="s">
        <v>1949</v>
      </c>
      <c r="E122" s="151" t="s">
        <v>766</v>
      </c>
      <c r="F122" s="151" t="s">
        <v>857</v>
      </c>
      <c r="G122" s="244">
        <v>5.001</v>
      </c>
      <c r="H122" s="244">
        <v>10</v>
      </c>
      <c r="I122" s="244" t="s">
        <v>738</v>
      </c>
    </row>
    <row r="123" ht="23" customHeight="1" spans="1:9">
      <c r="A123" s="244" t="s">
        <v>1945</v>
      </c>
      <c r="B123" s="261" t="s">
        <v>106</v>
      </c>
      <c r="C123" s="244" t="s">
        <v>1948</v>
      </c>
      <c r="D123" s="151" t="s">
        <v>1949</v>
      </c>
      <c r="E123" s="151" t="s">
        <v>858</v>
      </c>
      <c r="F123" s="151" t="s">
        <v>859</v>
      </c>
      <c r="G123" s="244">
        <v>10.001</v>
      </c>
      <c r="H123" s="244">
        <v>22</v>
      </c>
      <c r="I123" s="244" t="s">
        <v>738</v>
      </c>
    </row>
    <row r="124" ht="40" customHeight="1" spans="1:14">
      <c r="A124" s="262" t="s">
        <v>1950</v>
      </c>
      <c r="B124" s="241"/>
      <c r="C124" s="241"/>
      <c r="D124" s="241"/>
      <c r="E124" s="241"/>
      <c r="F124" s="241"/>
      <c r="G124" s="241"/>
      <c r="H124" s="241"/>
      <c r="I124" s="241"/>
      <c r="J124" s="241"/>
      <c r="K124" s="241"/>
      <c r="L124" s="241"/>
      <c r="M124" s="241"/>
      <c r="N124" s="251"/>
    </row>
    <row r="125" ht="16.5" spans="1:14">
      <c r="A125" s="263" t="s">
        <v>1951</v>
      </c>
      <c r="B125" s="263" t="s">
        <v>860</v>
      </c>
      <c r="C125" s="241"/>
      <c r="D125" s="241"/>
      <c r="E125" s="241"/>
      <c r="F125" s="241"/>
      <c r="G125" s="241"/>
      <c r="H125" s="241"/>
      <c r="I125" s="241"/>
      <c r="J125" s="241"/>
      <c r="K125" s="241"/>
      <c r="L125" s="241"/>
      <c r="M125" s="241"/>
      <c r="N125" s="251"/>
    </row>
    <row r="126" ht="16.5" spans="1:14">
      <c r="A126" s="263" t="s">
        <v>1952</v>
      </c>
      <c r="B126" s="263" t="s">
        <v>1953</v>
      </c>
      <c r="C126" s="241"/>
      <c r="D126" s="241"/>
      <c r="E126" s="241"/>
      <c r="F126" s="241"/>
      <c r="G126" s="241"/>
      <c r="H126" s="241"/>
      <c r="I126" s="241"/>
      <c r="J126" s="241"/>
      <c r="K126" s="241"/>
      <c r="L126" s="241"/>
      <c r="M126" s="241"/>
      <c r="N126" s="251"/>
    </row>
    <row r="127" ht="16.5" spans="1:14">
      <c r="A127" s="263" t="s">
        <v>1954</v>
      </c>
      <c r="B127" s="263" t="s">
        <v>1955</v>
      </c>
      <c r="C127" s="241"/>
      <c r="D127" s="241"/>
      <c r="E127" s="241"/>
      <c r="F127" s="241"/>
      <c r="G127" s="241"/>
      <c r="H127" s="241"/>
      <c r="I127" s="241"/>
      <c r="J127" s="241"/>
      <c r="K127" s="241"/>
      <c r="L127" s="241"/>
      <c r="M127" s="241"/>
      <c r="N127" s="251"/>
    </row>
    <row r="128" ht="16.5" spans="1:14">
      <c r="A128" s="264"/>
      <c r="B128" s="263" t="s">
        <v>1956</v>
      </c>
      <c r="C128" s="241"/>
      <c r="D128" s="241"/>
      <c r="E128" s="241"/>
      <c r="F128" s="241"/>
      <c r="G128" s="241"/>
      <c r="H128" s="241"/>
      <c r="I128" s="241"/>
      <c r="J128" s="241"/>
      <c r="K128" s="241"/>
      <c r="L128" s="241"/>
      <c r="M128" s="241"/>
      <c r="N128" s="251"/>
    </row>
    <row r="129" ht="16.5" spans="1:14">
      <c r="A129" s="264"/>
      <c r="B129" s="263" t="s">
        <v>1957</v>
      </c>
      <c r="C129" s="241"/>
      <c r="D129" s="241"/>
      <c r="E129" s="241"/>
      <c r="F129" s="241"/>
      <c r="G129" s="241"/>
      <c r="H129" s="241"/>
      <c r="I129" s="241"/>
      <c r="J129" s="241"/>
      <c r="K129" s="241"/>
      <c r="L129" s="241"/>
      <c r="M129" s="241"/>
      <c r="N129" s="251"/>
    </row>
    <row r="130" ht="16.5" spans="1:14">
      <c r="A130" s="264"/>
      <c r="B130" s="263" t="s">
        <v>865</v>
      </c>
      <c r="C130" s="241"/>
      <c r="D130" s="241"/>
      <c r="E130" s="241"/>
      <c r="F130" s="241"/>
      <c r="G130" s="241"/>
      <c r="H130" s="241"/>
      <c r="I130" s="241"/>
      <c r="J130" s="241"/>
      <c r="K130" s="241"/>
      <c r="L130" s="241"/>
      <c r="M130" s="241"/>
      <c r="N130" s="251"/>
    </row>
    <row r="131" ht="16.5" spans="1:14">
      <c r="A131" s="264"/>
      <c r="B131" s="263" t="s">
        <v>866</v>
      </c>
      <c r="C131" s="241"/>
      <c r="D131" s="241"/>
      <c r="E131" s="241"/>
      <c r="F131" s="241"/>
      <c r="G131" s="241"/>
      <c r="H131" s="241"/>
      <c r="I131" s="241"/>
      <c r="J131" s="241"/>
      <c r="K131" s="241"/>
      <c r="L131" s="241"/>
      <c r="M131" s="241"/>
      <c r="N131" s="251"/>
    </row>
    <row r="132" ht="16.5" spans="1:14">
      <c r="A132" s="264"/>
      <c r="B132" s="263" t="s">
        <v>868</v>
      </c>
      <c r="C132" s="241"/>
      <c r="D132" s="241"/>
      <c r="E132" s="241"/>
      <c r="F132" s="241"/>
      <c r="G132" s="241"/>
      <c r="H132" s="241"/>
      <c r="I132" s="241"/>
      <c r="J132" s="241"/>
      <c r="K132" s="241"/>
      <c r="L132" s="241"/>
      <c r="M132" s="241"/>
      <c r="N132" s="251"/>
    </row>
    <row r="133" ht="16.5" spans="1:14">
      <c r="A133" s="264"/>
      <c r="B133" s="263" t="s">
        <v>869</v>
      </c>
      <c r="C133" s="241"/>
      <c r="D133" s="241"/>
      <c r="E133" s="241"/>
      <c r="F133" s="241"/>
      <c r="G133" s="241"/>
      <c r="H133" s="241"/>
      <c r="I133" s="241"/>
      <c r="J133" s="241"/>
      <c r="K133" s="241"/>
      <c r="L133" s="241"/>
      <c r="M133" s="241"/>
      <c r="N133" s="251"/>
    </row>
    <row r="134" ht="16.5" spans="1:14">
      <c r="A134" s="264"/>
      <c r="B134" s="263" t="s">
        <v>870</v>
      </c>
      <c r="C134" s="241"/>
      <c r="D134" s="241"/>
      <c r="E134" s="241"/>
      <c r="F134" s="241"/>
      <c r="G134" s="241"/>
      <c r="H134" s="241"/>
      <c r="I134" s="241"/>
      <c r="J134" s="241"/>
      <c r="K134" s="241"/>
      <c r="L134" s="241"/>
      <c r="M134" s="241"/>
      <c r="N134" s="251"/>
    </row>
    <row r="135" ht="16.5" spans="1:14">
      <c r="A135" s="264"/>
      <c r="B135" s="263" t="s">
        <v>871</v>
      </c>
      <c r="C135" s="241"/>
      <c r="D135" s="241"/>
      <c r="E135" s="241"/>
      <c r="F135" s="241"/>
      <c r="G135" s="241"/>
      <c r="H135" s="241"/>
      <c r="I135" s="241"/>
      <c r="J135" s="241"/>
      <c r="K135" s="241"/>
      <c r="L135" s="241"/>
      <c r="M135" s="241"/>
      <c r="N135" s="251"/>
    </row>
    <row r="136" ht="16.5" spans="1:14">
      <c r="A136" s="265"/>
      <c r="B136" s="263" t="s">
        <v>872</v>
      </c>
      <c r="C136" s="241"/>
      <c r="D136" s="241"/>
      <c r="E136" s="241"/>
      <c r="F136" s="241"/>
      <c r="G136" s="241"/>
      <c r="H136" s="241"/>
      <c r="I136" s="241"/>
      <c r="J136" s="241"/>
      <c r="K136" s="241"/>
      <c r="L136" s="241"/>
      <c r="M136" s="241"/>
      <c r="N136" s="251"/>
    </row>
    <row r="137" ht="16.5" spans="1:14">
      <c r="A137" s="263" t="s">
        <v>1958</v>
      </c>
      <c r="B137" s="263" t="s">
        <v>1959</v>
      </c>
      <c r="C137" s="241"/>
      <c r="D137" s="241"/>
      <c r="E137" s="241"/>
      <c r="F137" s="241"/>
      <c r="G137" s="241"/>
      <c r="H137" s="241"/>
      <c r="I137" s="241"/>
      <c r="J137" s="241"/>
      <c r="K137" s="241"/>
      <c r="L137" s="241"/>
      <c r="M137" s="241"/>
      <c r="N137" s="251"/>
    </row>
    <row r="138" ht="16.5" spans="1:14">
      <c r="A138" s="264"/>
      <c r="B138" s="263" t="s">
        <v>1960</v>
      </c>
      <c r="C138" s="241"/>
      <c r="D138" s="241"/>
      <c r="E138" s="241"/>
      <c r="F138" s="241"/>
      <c r="G138" s="241"/>
      <c r="H138" s="241"/>
      <c r="I138" s="241"/>
      <c r="J138" s="241"/>
      <c r="K138" s="241"/>
      <c r="L138" s="241"/>
      <c r="M138" s="241"/>
      <c r="N138" s="251"/>
    </row>
    <row r="139" ht="16.5" spans="1:14">
      <c r="A139" s="264"/>
      <c r="B139" s="263" t="s">
        <v>1961</v>
      </c>
      <c r="C139" s="241"/>
      <c r="D139" s="241"/>
      <c r="E139" s="241"/>
      <c r="F139" s="241"/>
      <c r="G139" s="241"/>
      <c r="H139" s="241"/>
      <c r="I139" s="241"/>
      <c r="J139" s="241"/>
      <c r="K139" s="241"/>
      <c r="L139" s="241"/>
      <c r="M139" s="241"/>
      <c r="N139" s="251"/>
    </row>
    <row r="140" ht="16.5" spans="1:14">
      <c r="A140" s="264"/>
      <c r="B140" s="263" t="s">
        <v>1962</v>
      </c>
      <c r="C140" s="241"/>
      <c r="D140" s="241"/>
      <c r="E140" s="241"/>
      <c r="F140" s="241"/>
      <c r="G140" s="241"/>
      <c r="H140" s="241"/>
      <c r="I140" s="241"/>
      <c r="J140" s="241"/>
      <c r="K140" s="241"/>
      <c r="L140" s="241"/>
      <c r="M140" s="241"/>
      <c r="N140" s="251"/>
    </row>
    <row r="141" ht="16.5" spans="1:14">
      <c r="A141" s="264"/>
      <c r="B141" s="263" t="s">
        <v>1963</v>
      </c>
      <c r="C141" s="241"/>
      <c r="D141" s="241"/>
      <c r="E141" s="241"/>
      <c r="F141" s="241"/>
      <c r="G141" s="241"/>
      <c r="H141" s="241"/>
      <c r="I141" s="241"/>
      <c r="J141" s="241"/>
      <c r="K141" s="241"/>
      <c r="L141" s="241"/>
      <c r="M141" s="241"/>
      <c r="N141" s="251"/>
    </row>
    <row r="142" ht="16.5" spans="1:14">
      <c r="A142" s="264"/>
      <c r="B142" s="263" t="s">
        <v>1964</v>
      </c>
      <c r="C142" s="241"/>
      <c r="D142" s="241"/>
      <c r="E142" s="241"/>
      <c r="F142" s="241"/>
      <c r="G142" s="241"/>
      <c r="H142" s="241"/>
      <c r="I142" s="241"/>
      <c r="J142" s="241"/>
      <c r="K142" s="241"/>
      <c r="L142" s="241"/>
      <c r="M142" s="241"/>
      <c r="N142" s="251"/>
    </row>
    <row r="143" ht="16.5" spans="1:14">
      <c r="A143" s="264"/>
      <c r="B143" s="263" t="s">
        <v>1965</v>
      </c>
      <c r="C143" s="241"/>
      <c r="D143" s="241"/>
      <c r="E143" s="241"/>
      <c r="F143" s="241"/>
      <c r="G143" s="241"/>
      <c r="H143" s="241"/>
      <c r="I143" s="241"/>
      <c r="J143" s="241"/>
      <c r="K143" s="241"/>
      <c r="L143" s="241"/>
      <c r="M143" s="241"/>
      <c r="N143" s="251"/>
    </row>
    <row r="144" ht="16.5" spans="1:14">
      <c r="A144" s="264"/>
      <c r="B144" s="263" t="s">
        <v>1966</v>
      </c>
      <c r="C144" s="241"/>
      <c r="D144" s="241"/>
      <c r="E144" s="241"/>
      <c r="F144" s="241"/>
      <c r="G144" s="241"/>
      <c r="H144" s="241"/>
      <c r="I144" s="241"/>
      <c r="J144" s="241"/>
      <c r="K144" s="241"/>
      <c r="L144" s="241"/>
      <c r="M144" s="241"/>
      <c r="N144" s="251"/>
    </row>
    <row r="145" ht="16.5" spans="1:14">
      <c r="A145" s="265"/>
      <c r="B145" s="263" t="s">
        <v>1967</v>
      </c>
      <c r="C145" s="241"/>
      <c r="D145" s="241"/>
      <c r="E145" s="241"/>
      <c r="F145" s="241"/>
      <c r="G145" s="241"/>
      <c r="H145" s="241"/>
      <c r="I145" s="241"/>
      <c r="J145" s="241"/>
      <c r="K145" s="241"/>
      <c r="L145" s="241"/>
      <c r="M145" s="241"/>
      <c r="N145" s="251"/>
    </row>
    <row r="146" ht="16.5" spans="1:14">
      <c r="A146" s="263" t="s">
        <v>1968</v>
      </c>
      <c r="B146" s="263" t="s">
        <v>876</v>
      </c>
      <c r="C146" s="241"/>
      <c r="D146" s="241"/>
      <c r="E146" s="241"/>
      <c r="F146" s="241"/>
      <c r="G146" s="241"/>
      <c r="H146" s="241"/>
      <c r="I146" s="241"/>
      <c r="J146" s="241"/>
      <c r="K146" s="241"/>
      <c r="L146" s="241"/>
      <c r="M146" s="241"/>
      <c r="N146" s="251"/>
    </row>
    <row r="147" ht="16.5" spans="1:14">
      <c r="A147" s="264"/>
      <c r="B147" s="263" t="s">
        <v>1969</v>
      </c>
      <c r="C147" s="241"/>
      <c r="D147" s="241"/>
      <c r="E147" s="241"/>
      <c r="F147" s="241"/>
      <c r="G147" s="241"/>
      <c r="H147" s="241"/>
      <c r="I147" s="241"/>
      <c r="J147" s="241"/>
      <c r="K147" s="241"/>
      <c r="L147" s="241"/>
      <c r="M147" s="241"/>
      <c r="N147" s="251"/>
    </row>
    <row r="148" ht="16.5" spans="1:14">
      <c r="A148" s="264"/>
      <c r="B148" s="263" t="s">
        <v>1970</v>
      </c>
      <c r="C148" s="241"/>
      <c r="D148" s="241"/>
      <c r="E148" s="241"/>
      <c r="F148" s="241"/>
      <c r="G148" s="241"/>
      <c r="H148" s="241"/>
      <c r="I148" s="241"/>
      <c r="J148" s="241"/>
      <c r="K148" s="241"/>
      <c r="L148" s="241"/>
      <c r="M148" s="241"/>
      <c r="N148" s="251"/>
    </row>
    <row r="149" ht="16.5" spans="1:14">
      <c r="A149" s="264"/>
      <c r="B149" s="263" t="s">
        <v>879</v>
      </c>
      <c r="C149" s="241"/>
      <c r="D149" s="241"/>
      <c r="E149" s="241"/>
      <c r="F149" s="241"/>
      <c r="G149" s="241"/>
      <c r="H149" s="241"/>
      <c r="I149" s="241"/>
      <c r="J149" s="241"/>
      <c r="K149" s="241"/>
      <c r="L149" s="241"/>
      <c r="M149" s="241"/>
      <c r="N149" s="251"/>
    </row>
    <row r="150" ht="16.5" spans="1:14">
      <c r="A150" s="265"/>
      <c r="B150" s="263" t="s">
        <v>880</v>
      </c>
      <c r="C150" s="241"/>
      <c r="D150" s="241"/>
      <c r="E150" s="241"/>
      <c r="F150" s="241"/>
      <c r="G150" s="241"/>
      <c r="H150" s="241"/>
      <c r="I150" s="241"/>
      <c r="J150" s="241"/>
      <c r="K150" s="241"/>
      <c r="L150" s="241"/>
      <c r="M150" s="241"/>
      <c r="N150" s="251"/>
    </row>
    <row r="151" ht="16.5" spans="1:14">
      <c r="A151" s="263" t="s">
        <v>1971</v>
      </c>
      <c r="B151" s="263" t="s">
        <v>881</v>
      </c>
      <c r="C151" s="241"/>
      <c r="D151" s="241"/>
      <c r="E151" s="241"/>
      <c r="F151" s="241"/>
      <c r="G151" s="241"/>
      <c r="H151" s="241"/>
      <c r="I151" s="241"/>
      <c r="J151" s="241"/>
      <c r="K151" s="241"/>
      <c r="L151" s="241"/>
      <c r="M151" s="241"/>
      <c r="N151" s="251"/>
    </row>
    <row r="152" ht="16.5" spans="1:14">
      <c r="A152" s="263" t="s">
        <v>1972</v>
      </c>
      <c r="B152" s="263" t="s">
        <v>881</v>
      </c>
      <c r="C152" s="241"/>
      <c r="D152" s="241"/>
      <c r="E152" s="241"/>
      <c r="F152" s="241"/>
      <c r="G152" s="241"/>
      <c r="H152" s="241"/>
      <c r="I152" s="241"/>
      <c r="J152" s="241"/>
      <c r="K152" s="241"/>
      <c r="L152" s="241"/>
      <c r="M152" s="241"/>
      <c r="N152" s="251"/>
    </row>
    <row r="153" ht="16.5" spans="1:14">
      <c r="A153" s="263" t="s">
        <v>1973</v>
      </c>
      <c r="B153" s="263" t="s">
        <v>1974</v>
      </c>
      <c r="C153" s="241"/>
      <c r="D153" s="241"/>
      <c r="E153" s="241"/>
      <c r="F153" s="241"/>
      <c r="G153" s="241"/>
      <c r="H153" s="241"/>
      <c r="I153" s="241"/>
      <c r="J153" s="241"/>
      <c r="K153" s="241"/>
      <c r="L153" s="241"/>
      <c r="M153" s="241"/>
      <c r="N153" s="251"/>
    </row>
    <row r="154" ht="16.5" spans="1:14">
      <c r="A154" s="263" t="s">
        <v>1975</v>
      </c>
      <c r="B154" s="263" t="s">
        <v>881</v>
      </c>
      <c r="C154" s="241"/>
      <c r="D154" s="241"/>
      <c r="E154" s="241"/>
      <c r="F154" s="241"/>
      <c r="G154" s="241"/>
      <c r="H154" s="241"/>
      <c r="I154" s="241"/>
      <c r="J154" s="241"/>
      <c r="K154" s="241"/>
      <c r="L154" s="241"/>
      <c r="M154" s="241"/>
      <c r="N154" s="251"/>
    </row>
    <row r="155" ht="16.5" spans="1:14">
      <c r="A155" s="263" t="s">
        <v>1976</v>
      </c>
      <c r="B155" s="263" t="s">
        <v>884</v>
      </c>
      <c r="C155" s="241"/>
      <c r="D155" s="241"/>
      <c r="E155" s="241"/>
      <c r="F155" s="241"/>
      <c r="G155" s="241"/>
      <c r="H155" s="241"/>
      <c r="I155" s="241"/>
      <c r="J155" s="241"/>
      <c r="K155" s="241"/>
      <c r="L155" s="241"/>
      <c r="M155" s="241"/>
      <c r="N155" s="251"/>
    </row>
    <row r="156" ht="16.5" spans="1:14">
      <c r="A156" s="263" t="s">
        <v>1977</v>
      </c>
      <c r="B156" s="263" t="s">
        <v>1978</v>
      </c>
      <c r="C156" s="241"/>
      <c r="D156" s="241"/>
      <c r="E156" s="241"/>
      <c r="F156" s="241"/>
      <c r="G156" s="241"/>
      <c r="H156" s="241"/>
      <c r="I156" s="241"/>
      <c r="J156" s="241"/>
      <c r="K156" s="241"/>
      <c r="L156" s="241"/>
      <c r="M156" s="241"/>
      <c r="N156" s="251"/>
    </row>
    <row r="157" ht="16.5" spans="1:14">
      <c r="A157" s="264"/>
      <c r="B157" s="263" t="s">
        <v>1979</v>
      </c>
      <c r="C157" s="241"/>
      <c r="D157" s="241"/>
      <c r="E157" s="241"/>
      <c r="F157" s="241"/>
      <c r="G157" s="241"/>
      <c r="H157" s="241"/>
      <c r="I157" s="241"/>
      <c r="J157" s="241"/>
      <c r="K157" s="241"/>
      <c r="L157" s="241"/>
      <c r="M157" s="241"/>
      <c r="N157" s="251"/>
    </row>
    <row r="158" ht="16.5" spans="1:14">
      <c r="A158" s="264"/>
      <c r="B158" s="263" t="s">
        <v>1980</v>
      </c>
      <c r="C158" s="241"/>
      <c r="D158" s="241"/>
      <c r="E158" s="241"/>
      <c r="F158" s="241"/>
      <c r="G158" s="241"/>
      <c r="H158" s="241"/>
      <c r="I158" s="241"/>
      <c r="J158" s="241"/>
      <c r="K158" s="241"/>
      <c r="L158" s="241"/>
      <c r="M158" s="241"/>
      <c r="N158" s="251"/>
    </row>
    <row r="159" ht="16.5" spans="1:14">
      <c r="A159" s="264"/>
      <c r="B159" s="263" t="s">
        <v>1981</v>
      </c>
      <c r="C159" s="241"/>
      <c r="D159" s="241"/>
      <c r="E159" s="241"/>
      <c r="F159" s="241"/>
      <c r="G159" s="241"/>
      <c r="H159" s="241"/>
      <c r="I159" s="241"/>
      <c r="J159" s="241"/>
      <c r="K159" s="241"/>
      <c r="L159" s="241"/>
      <c r="M159" s="241"/>
      <c r="N159" s="251"/>
    </row>
    <row r="160" ht="16.5" spans="1:14">
      <c r="A160" s="264"/>
      <c r="B160" s="263" t="s">
        <v>1982</v>
      </c>
      <c r="C160" s="241"/>
      <c r="D160" s="241"/>
      <c r="E160" s="241"/>
      <c r="F160" s="241"/>
      <c r="G160" s="241"/>
      <c r="H160" s="241"/>
      <c r="I160" s="241"/>
      <c r="J160" s="241"/>
      <c r="K160" s="241"/>
      <c r="L160" s="241"/>
      <c r="M160" s="241"/>
      <c r="N160" s="251"/>
    </row>
    <row r="161" ht="16.5" spans="1:14">
      <c r="A161" s="264"/>
      <c r="B161" s="263" t="s">
        <v>1983</v>
      </c>
      <c r="C161" s="241"/>
      <c r="D161" s="241"/>
      <c r="E161" s="241"/>
      <c r="F161" s="241"/>
      <c r="G161" s="241"/>
      <c r="H161" s="241"/>
      <c r="I161" s="241"/>
      <c r="J161" s="241"/>
      <c r="K161" s="241"/>
      <c r="L161" s="241"/>
      <c r="M161" s="241"/>
      <c r="N161" s="251"/>
    </row>
    <row r="162" ht="16.5" spans="1:14">
      <c r="A162" s="264"/>
      <c r="B162" s="263" t="s">
        <v>1984</v>
      </c>
      <c r="C162" s="241"/>
      <c r="D162" s="241"/>
      <c r="E162" s="241"/>
      <c r="F162" s="241"/>
      <c r="G162" s="241"/>
      <c r="H162" s="241"/>
      <c r="I162" s="241"/>
      <c r="J162" s="241"/>
      <c r="K162" s="241"/>
      <c r="L162" s="241"/>
      <c r="M162" s="241"/>
      <c r="N162" s="251"/>
    </row>
    <row r="163" ht="16.5" spans="1:14">
      <c r="A163" s="264"/>
      <c r="B163" s="263" t="s">
        <v>1985</v>
      </c>
      <c r="C163" s="241"/>
      <c r="D163" s="241"/>
      <c r="E163" s="241"/>
      <c r="F163" s="241"/>
      <c r="G163" s="241"/>
      <c r="H163" s="241"/>
      <c r="I163" s="241"/>
      <c r="J163" s="241"/>
      <c r="K163" s="241"/>
      <c r="L163" s="241"/>
      <c r="M163" s="241"/>
      <c r="N163" s="251"/>
    </row>
    <row r="164" ht="16.5" spans="1:14">
      <c r="A164" s="264"/>
      <c r="B164" s="263" t="s">
        <v>1986</v>
      </c>
      <c r="C164" s="241"/>
      <c r="D164" s="241"/>
      <c r="E164" s="241"/>
      <c r="F164" s="241"/>
      <c r="G164" s="241"/>
      <c r="H164" s="241"/>
      <c r="I164" s="241"/>
      <c r="J164" s="241"/>
      <c r="K164" s="241"/>
      <c r="L164" s="241"/>
      <c r="M164" s="241"/>
      <c r="N164" s="251"/>
    </row>
    <row r="165" ht="16.5" spans="1:14">
      <c r="A165" s="264"/>
      <c r="B165" s="263" t="s">
        <v>1987</v>
      </c>
      <c r="C165" s="241"/>
      <c r="D165" s="241"/>
      <c r="E165" s="241"/>
      <c r="F165" s="241"/>
      <c r="G165" s="241"/>
      <c r="H165" s="241"/>
      <c r="I165" s="241"/>
      <c r="J165" s="241"/>
      <c r="K165" s="241"/>
      <c r="L165" s="241"/>
      <c r="M165" s="241"/>
      <c r="N165" s="251"/>
    </row>
    <row r="166" ht="16.5" spans="1:14">
      <c r="A166" s="264"/>
      <c r="B166" s="263" t="s">
        <v>1988</v>
      </c>
      <c r="C166" s="241"/>
      <c r="D166" s="241"/>
      <c r="E166" s="241"/>
      <c r="F166" s="241"/>
      <c r="G166" s="241"/>
      <c r="H166" s="241"/>
      <c r="I166" s="241"/>
      <c r="J166" s="241"/>
      <c r="K166" s="241"/>
      <c r="L166" s="241"/>
      <c r="M166" s="241"/>
      <c r="N166" s="251"/>
    </row>
    <row r="167" ht="16.5" spans="1:14">
      <c r="A167" s="264"/>
      <c r="B167" s="263" t="s">
        <v>1989</v>
      </c>
      <c r="C167" s="241"/>
      <c r="D167" s="241"/>
      <c r="E167" s="241"/>
      <c r="F167" s="241"/>
      <c r="G167" s="241"/>
      <c r="H167" s="241"/>
      <c r="I167" s="241"/>
      <c r="J167" s="241"/>
      <c r="K167" s="241"/>
      <c r="L167" s="241"/>
      <c r="M167" s="241"/>
      <c r="N167" s="251"/>
    </row>
    <row r="168" ht="16.5" spans="1:14">
      <c r="A168" s="264"/>
      <c r="B168" s="263" t="s">
        <v>1990</v>
      </c>
      <c r="C168" s="241"/>
      <c r="D168" s="241"/>
      <c r="E168" s="241"/>
      <c r="F168" s="241"/>
      <c r="G168" s="241"/>
      <c r="H168" s="241"/>
      <c r="I168" s="241"/>
      <c r="J168" s="241"/>
      <c r="K168" s="241"/>
      <c r="L168" s="241"/>
      <c r="M168" s="241"/>
      <c r="N168" s="251"/>
    </row>
    <row r="169" ht="16.5" spans="1:14">
      <c r="A169" s="264"/>
      <c r="B169" s="263" t="s">
        <v>1991</v>
      </c>
      <c r="C169" s="241"/>
      <c r="D169" s="241"/>
      <c r="E169" s="241"/>
      <c r="F169" s="241"/>
      <c r="G169" s="241"/>
      <c r="H169" s="241"/>
      <c r="I169" s="241"/>
      <c r="J169" s="241"/>
      <c r="K169" s="241"/>
      <c r="L169" s="241"/>
      <c r="M169" s="241"/>
      <c r="N169" s="251"/>
    </row>
    <row r="170" ht="16.5" spans="1:14">
      <c r="A170" s="264"/>
      <c r="B170" s="263" t="s">
        <v>1992</v>
      </c>
      <c r="C170" s="241"/>
      <c r="D170" s="241"/>
      <c r="E170" s="241"/>
      <c r="F170" s="241"/>
      <c r="G170" s="241"/>
      <c r="H170" s="241"/>
      <c r="I170" s="241"/>
      <c r="J170" s="241"/>
      <c r="K170" s="241"/>
      <c r="L170" s="241"/>
      <c r="M170" s="241"/>
      <c r="N170" s="251"/>
    </row>
    <row r="171" ht="16.5" spans="1:14">
      <c r="A171" s="264"/>
      <c r="B171" s="263" t="s">
        <v>1993</v>
      </c>
      <c r="C171" s="241"/>
      <c r="D171" s="241"/>
      <c r="E171" s="241"/>
      <c r="F171" s="241"/>
      <c r="G171" s="241"/>
      <c r="H171" s="241"/>
      <c r="I171" s="241"/>
      <c r="J171" s="241"/>
      <c r="K171" s="241"/>
      <c r="L171" s="241"/>
      <c r="M171" s="241"/>
      <c r="N171" s="251"/>
    </row>
    <row r="172" ht="16.5" spans="1:14">
      <c r="A172" s="264"/>
      <c r="B172" s="263" t="s">
        <v>1994</v>
      </c>
      <c r="C172" s="241"/>
      <c r="D172" s="241"/>
      <c r="E172" s="241"/>
      <c r="F172" s="241"/>
      <c r="G172" s="241"/>
      <c r="H172" s="241"/>
      <c r="I172" s="241"/>
      <c r="J172" s="241"/>
      <c r="K172" s="241"/>
      <c r="L172" s="241"/>
      <c r="M172" s="241"/>
      <c r="N172" s="251"/>
    </row>
    <row r="173" ht="16.5" spans="1:14">
      <c r="A173" s="264"/>
      <c r="B173" s="263" t="s">
        <v>1995</v>
      </c>
      <c r="C173" s="241"/>
      <c r="D173" s="241"/>
      <c r="E173" s="241"/>
      <c r="F173" s="241"/>
      <c r="G173" s="241"/>
      <c r="H173" s="241"/>
      <c r="I173" s="241"/>
      <c r="J173" s="241"/>
      <c r="K173" s="241"/>
      <c r="L173" s="241"/>
      <c r="M173" s="241"/>
      <c r="N173" s="251"/>
    </row>
    <row r="174" ht="16.5" spans="1:14">
      <c r="A174" s="264"/>
      <c r="B174" s="263" t="s">
        <v>903</v>
      </c>
      <c r="C174" s="241"/>
      <c r="D174" s="241"/>
      <c r="E174" s="241"/>
      <c r="F174" s="241"/>
      <c r="G174" s="241"/>
      <c r="H174" s="241"/>
      <c r="I174" s="241"/>
      <c r="J174" s="241"/>
      <c r="K174" s="241"/>
      <c r="L174" s="241"/>
      <c r="M174" s="241"/>
      <c r="N174" s="251"/>
    </row>
    <row r="175" ht="16.5" spans="1:14">
      <c r="A175" s="264"/>
      <c r="B175" s="263" t="s">
        <v>904</v>
      </c>
      <c r="C175" s="241"/>
      <c r="D175" s="241"/>
      <c r="E175" s="241"/>
      <c r="F175" s="241"/>
      <c r="G175" s="241"/>
      <c r="H175" s="241"/>
      <c r="I175" s="241"/>
      <c r="J175" s="241"/>
      <c r="K175" s="241"/>
      <c r="L175" s="241"/>
      <c r="M175" s="241"/>
      <c r="N175" s="251"/>
    </row>
    <row r="176" ht="16.5" spans="1:14">
      <c r="A176" s="264"/>
      <c r="B176" s="263" t="s">
        <v>905</v>
      </c>
      <c r="C176" s="241"/>
      <c r="D176" s="241"/>
      <c r="E176" s="241"/>
      <c r="F176" s="241"/>
      <c r="G176" s="241"/>
      <c r="H176" s="241"/>
      <c r="I176" s="241"/>
      <c r="J176" s="241"/>
      <c r="K176" s="241"/>
      <c r="L176" s="241"/>
      <c r="M176" s="241"/>
      <c r="N176" s="251"/>
    </row>
    <row r="177" ht="16.5" spans="1:14">
      <c r="A177" s="264"/>
      <c r="B177" s="263" t="s">
        <v>906</v>
      </c>
      <c r="C177" s="241"/>
      <c r="D177" s="241"/>
      <c r="E177" s="241"/>
      <c r="F177" s="241"/>
      <c r="G177" s="241"/>
      <c r="H177" s="241"/>
      <c r="I177" s="241"/>
      <c r="J177" s="241"/>
      <c r="K177" s="241"/>
      <c r="L177" s="241"/>
      <c r="M177" s="241"/>
      <c r="N177" s="251"/>
    </row>
    <row r="178" ht="16.5" spans="1:14">
      <c r="A178" s="264"/>
      <c r="B178" s="263" t="s">
        <v>907</v>
      </c>
      <c r="C178" s="241"/>
      <c r="D178" s="241"/>
      <c r="E178" s="241"/>
      <c r="F178" s="241"/>
      <c r="G178" s="241"/>
      <c r="H178" s="241"/>
      <c r="I178" s="241"/>
      <c r="J178" s="241"/>
      <c r="K178" s="241"/>
      <c r="L178" s="241"/>
      <c r="M178" s="241"/>
      <c r="N178" s="251"/>
    </row>
    <row r="179" ht="16.5" spans="1:14">
      <c r="A179" s="264"/>
      <c r="B179" s="263" t="s">
        <v>1996</v>
      </c>
      <c r="C179" s="241"/>
      <c r="D179" s="241"/>
      <c r="E179" s="241"/>
      <c r="F179" s="241"/>
      <c r="G179" s="241"/>
      <c r="H179" s="241"/>
      <c r="I179" s="241"/>
      <c r="J179" s="241"/>
      <c r="K179" s="241"/>
      <c r="L179" s="241"/>
      <c r="M179" s="241"/>
      <c r="N179" s="251"/>
    </row>
    <row r="180" ht="16.5" spans="1:14">
      <c r="A180" s="264"/>
      <c r="B180" s="263" t="s">
        <v>1997</v>
      </c>
      <c r="C180" s="241"/>
      <c r="D180" s="241"/>
      <c r="E180" s="241"/>
      <c r="F180" s="241"/>
      <c r="G180" s="241"/>
      <c r="H180" s="241"/>
      <c r="I180" s="241"/>
      <c r="J180" s="241"/>
      <c r="K180" s="241"/>
      <c r="L180" s="241"/>
      <c r="M180" s="241"/>
      <c r="N180" s="251"/>
    </row>
    <row r="181" ht="16.5" spans="1:14">
      <c r="A181" s="264"/>
      <c r="B181" s="263" t="s">
        <v>1998</v>
      </c>
      <c r="C181" s="241"/>
      <c r="D181" s="241"/>
      <c r="E181" s="241"/>
      <c r="F181" s="241"/>
      <c r="G181" s="241"/>
      <c r="H181" s="241"/>
      <c r="I181" s="241"/>
      <c r="J181" s="241"/>
      <c r="K181" s="241"/>
      <c r="L181" s="241"/>
      <c r="M181" s="241"/>
      <c r="N181" s="251"/>
    </row>
    <row r="182" ht="16.5" spans="1:14">
      <c r="A182" s="264"/>
      <c r="B182" s="263" t="s">
        <v>1999</v>
      </c>
      <c r="C182" s="241"/>
      <c r="D182" s="241"/>
      <c r="E182" s="241"/>
      <c r="F182" s="241"/>
      <c r="G182" s="241"/>
      <c r="H182" s="241"/>
      <c r="I182" s="241"/>
      <c r="J182" s="241"/>
      <c r="K182" s="241"/>
      <c r="L182" s="241"/>
      <c r="M182" s="241"/>
      <c r="N182" s="251"/>
    </row>
    <row r="183" ht="16.5" spans="1:14">
      <c r="A183" s="265"/>
      <c r="B183" s="263" t="s">
        <v>2000</v>
      </c>
      <c r="C183" s="241"/>
      <c r="D183" s="241"/>
      <c r="E183" s="241"/>
      <c r="F183" s="241"/>
      <c r="G183" s="241"/>
      <c r="H183" s="241"/>
      <c r="I183" s="241"/>
      <c r="J183" s="241"/>
      <c r="K183" s="241"/>
      <c r="L183" s="241"/>
      <c r="M183" s="241"/>
      <c r="N183" s="251"/>
    </row>
    <row r="184" ht="16.5" spans="1:14">
      <c r="A184" s="263"/>
      <c r="B184" s="263" t="s">
        <v>2001</v>
      </c>
      <c r="C184" s="241"/>
      <c r="D184" s="241"/>
      <c r="E184" s="241"/>
      <c r="F184" s="241"/>
      <c r="G184" s="241"/>
      <c r="H184" s="241"/>
      <c r="I184" s="241"/>
      <c r="J184" s="241"/>
      <c r="K184" s="241"/>
      <c r="L184" s="241"/>
      <c r="M184" s="241"/>
      <c r="N184" s="251"/>
    </row>
    <row r="185" ht="16.5" spans="1:14">
      <c r="A185" s="265"/>
      <c r="B185" s="263" t="s">
        <v>2002</v>
      </c>
      <c r="C185" s="241"/>
      <c r="D185" s="241"/>
      <c r="E185" s="241"/>
      <c r="F185" s="241"/>
      <c r="G185" s="241"/>
      <c r="H185" s="241"/>
      <c r="I185" s="241"/>
      <c r="J185" s="241"/>
      <c r="K185" s="241"/>
      <c r="L185" s="241"/>
      <c r="M185" s="241"/>
      <c r="N185" s="251"/>
    </row>
    <row r="186" ht="16.5" spans="1:14">
      <c r="A186" s="263" t="s">
        <v>2003</v>
      </c>
      <c r="B186" s="263" t="s">
        <v>916</v>
      </c>
      <c r="C186" s="241"/>
      <c r="D186" s="241"/>
      <c r="E186" s="241"/>
      <c r="F186" s="241"/>
      <c r="G186" s="241"/>
      <c r="H186" s="241"/>
      <c r="I186" s="241"/>
      <c r="J186" s="241"/>
      <c r="K186" s="241"/>
      <c r="L186" s="241"/>
      <c r="M186" s="241"/>
      <c r="N186" s="251"/>
    </row>
    <row r="187" ht="40" customHeight="1" spans="1:13">
      <c r="A187" s="262" t="s">
        <v>2004</v>
      </c>
      <c r="B187" s="241"/>
      <c r="C187" s="241"/>
      <c r="D187" s="241"/>
      <c r="E187" s="241"/>
      <c r="F187" s="241"/>
      <c r="G187" s="241"/>
      <c r="H187" s="241"/>
      <c r="I187" s="241"/>
      <c r="J187" s="241"/>
      <c r="K187" s="241"/>
      <c r="L187" s="241"/>
      <c r="M187" s="251"/>
    </row>
    <row r="188" ht="30" spans="1:13">
      <c r="A188" s="242" t="s">
        <v>1732</v>
      </c>
      <c r="B188" s="242" t="s">
        <v>661</v>
      </c>
      <c r="C188" s="242" t="s">
        <v>917</v>
      </c>
      <c r="D188" s="242" t="s">
        <v>918</v>
      </c>
      <c r="E188" s="242" t="s">
        <v>919</v>
      </c>
      <c r="F188" s="242" t="s">
        <v>920</v>
      </c>
      <c r="G188" s="242"/>
      <c r="H188" s="242"/>
      <c r="I188" s="242" t="s">
        <v>925</v>
      </c>
      <c r="J188" s="242" t="s">
        <v>921</v>
      </c>
      <c r="K188" s="242" t="s">
        <v>922</v>
      </c>
      <c r="L188" s="242" t="s">
        <v>923</v>
      </c>
      <c r="M188" s="242" t="s">
        <v>924</v>
      </c>
    </row>
    <row r="189" ht="50" customHeight="1" spans="1:13">
      <c r="A189" s="244" t="s">
        <v>1693</v>
      </c>
      <c r="B189" s="244" t="s">
        <v>24</v>
      </c>
      <c r="C189" s="244" t="s">
        <v>25</v>
      </c>
      <c r="D189" s="244" t="s">
        <v>926</v>
      </c>
      <c r="E189" s="244" t="s">
        <v>958</v>
      </c>
      <c r="F189" s="244" t="s">
        <v>2005</v>
      </c>
      <c r="G189" s="244"/>
      <c r="H189" s="244"/>
      <c r="I189" s="244" t="s">
        <v>2006</v>
      </c>
      <c r="J189" s="244" t="s">
        <v>929</v>
      </c>
      <c r="K189" s="244" t="s">
        <v>2007</v>
      </c>
      <c r="L189" s="244" t="s">
        <v>931</v>
      </c>
      <c r="M189" s="244" t="s">
        <v>2008</v>
      </c>
    </row>
    <row r="190" ht="50" customHeight="1" spans="1:13">
      <c r="A190" s="244" t="s">
        <v>1693</v>
      </c>
      <c r="B190" s="244" t="s">
        <v>78</v>
      </c>
      <c r="C190" s="244" t="s">
        <v>79</v>
      </c>
      <c r="D190" s="244" t="s">
        <v>934</v>
      </c>
      <c r="E190" s="244" t="s">
        <v>2009</v>
      </c>
      <c r="F190" s="244" t="s">
        <v>2010</v>
      </c>
      <c r="G190" s="244"/>
      <c r="H190" s="244"/>
      <c r="I190" s="244" t="s">
        <v>2011</v>
      </c>
      <c r="J190" s="244" t="s">
        <v>929</v>
      </c>
      <c r="K190" s="244" t="s">
        <v>2012</v>
      </c>
      <c r="L190" s="244" t="s">
        <v>2013</v>
      </c>
      <c r="M190" s="244" t="s">
        <v>2014</v>
      </c>
    </row>
    <row r="191" ht="50" customHeight="1" spans="1:13">
      <c r="A191" s="244" t="s">
        <v>1693</v>
      </c>
      <c r="B191" s="244" t="s">
        <v>94</v>
      </c>
      <c r="C191" s="244" t="s">
        <v>95</v>
      </c>
      <c r="D191" s="244" t="s">
        <v>2015</v>
      </c>
      <c r="E191" s="244" t="s">
        <v>2016</v>
      </c>
      <c r="F191" s="244" t="s">
        <v>943</v>
      </c>
      <c r="G191" s="244"/>
      <c r="H191" s="244"/>
      <c r="I191" s="244" t="s">
        <v>2017</v>
      </c>
      <c r="J191" s="244" t="s">
        <v>944</v>
      </c>
      <c r="K191" s="244" t="s">
        <v>2018</v>
      </c>
      <c r="L191" s="244" t="s">
        <v>2019</v>
      </c>
      <c r="M191" s="244" t="s">
        <v>947</v>
      </c>
    </row>
    <row r="192" ht="50" customHeight="1" spans="1:13">
      <c r="A192" s="244" t="s">
        <v>1693</v>
      </c>
      <c r="B192" s="244" t="s">
        <v>184</v>
      </c>
      <c r="C192" s="244" t="s">
        <v>185</v>
      </c>
      <c r="D192" s="244" t="s">
        <v>949</v>
      </c>
      <c r="E192" s="244"/>
      <c r="F192" s="244" t="s">
        <v>2005</v>
      </c>
      <c r="G192" s="244"/>
      <c r="H192" s="244"/>
      <c r="I192" s="244" t="s">
        <v>2006</v>
      </c>
      <c r="J192" s="244" t="s">
        <v>929</v>
      </c>
      <c r="K192" s="244" t="s">
        <v>2020</v>
      </c>
      <c r="L192" s="244" t="s">
        <v>951</v>
      </c>
      <c r="M192" s="244" t="s">
        <v>952</v>
      </c>
    </row>
    <row r="193" ht="50" customHeight="1" spans="1:13">
      <c r="A193" s="244" t="s">
        <v>1693</v>
      </c>
      <c r="B193" s="244" t="s">
        <v>735</v>
      </c>
      <c r="C193" s="244" t="s">
        <v>953</v>
      </c>
      <c r="D193" s="244" t="s">
        <v>949</v>
      </c>
      <c r="E193" s="244"/>
      <c r="F193" s="244" t="s">
        <v>2005</v>
      </c>
      <c r="G193" s="244"/>
      <c r="H193" s="244"/>
      <c r="I193" s="244" t="s">
        <v>2006</v>
      </c>
      <c r="J193" s="244" t="s">
        <v>929</v>
      </c>
      <c r="K193" s="244" t="s">
        <v>2020</v>
      </c>
      <c r="L193" s="244" t="s">
        <v>2021</v>
      </c>
      <c r="M193" s="244" t="s">
        <v>952</v>
      </c>
    </row>
    <row r="194" ht="50" customHeight="1" spans="1:13">
      <c r="A194" s="244" t="s">
        <v>1721</v>
      </c>
      <c r="B194" s="244" t="s">
        <v>26</v>
      </c>
      <c r="C194" s="244" t="s">
        <v>956</v>
      </c>
      <c r="D194" s="244" t="s">
        <v>2022</v>
      </c>
      <c r="E194" s="244" t="s">
        <v>958</v>
      </c>
      <c r="F194" s="244" t="s">
        <v>2023</v>
      </c>
      <c r="G194" s="244"/>
      <c r="H194" s="244"/>
      <c r="I194" s="244" t="s">
        <v>964</v>
      </c>
      <c r="J194" s="244" t="s">
        <v>960</v>
      </c>
      <c r="K194" s="244" t="s">
        <v>2024</v>
      </c>
      <c r="L194" s="244" t="s">
        <v>2025</v>
      </c>
      <c r="M194" s="244" t="s">
        <v>2026</v>
      </c>
    </row>
    <row r="195" ht="50" customHeight="1" spans="1:13">
      <c r="A195" s="244" t="s">
        <v>1721</v>
      </c>
      <c r="B195" s="244" t="s">
        <v>28</v>
      </c>
      <c r="C195" s="244" t="s">
        <v>29</v>
      </c>
      <c r="D195" s="244" t="s">
        <v>1180</v>
      </c>
      <c r="E195" s="244" t="s">
        <v>2027</v>
      </c>
      <c r="F195" s="244" t="s">
        <v>2028</v>
      </c>
      <c r="G195" s="244"/>
      <c r="H195" s="244"/>
      <c r="I195" s="244" t="s">
        <v>2029</v>
      </c>
      <c r="J195" s="244" t="s">
        <v>929</v>
      </c>
      <c r="K195" s="244" t="s">
        <v>2030</v>
      </c>
      <c r="L195" s="244" t="s">
        <v>2031</v>
      </c>
      <c r="M195" s="244" t="s">
        <v>2032</v>
      </c>
    </row>
    <row r="196" ht="50" customHeight="1" spans="1:13">
      <c r="A196" s="244" t="s">
        <v>1721</v>
      </c>
      <c r="B196" s="244" t="s">
        <v>72</v>
      </c>
      <c r="C196" s="244" t="s">
        <v>73</v>
      </c>
      <c r="D196" s="244" t="s">
        <v>2022</v>
      </c>
      <c r="E196" s="244" t="s">
        <v>2033</v>
      </c>
      <c r="F196" s="244" t="s">
        <v>2034</v>
      </c>
      <c r="G196" s="244"/>
      <c r="H196" s="244"/>
      <c r="I196" s="244" t="s">
        <v>2029</v>
      </c>
      <c r="J196" s="244" t="s">
        <v>929</v>
      </c>
      <c r="K196" s="244" t="s">
        <v>2035</v>
      </c>
      <c r="L196" s="244" t="s">
        <v>958</v>
      </c>
      <c r="M196" s="244" t="s">
        <v>975</v>
      </c>
    </row>
    <row r="197" ht="50" customHeight="1" spans="1:13">
      <c r="A197" s="244" t="s">
        <v>1721</v>
      </c>
      <c r="B197" s="244" t="s">
        <v>32</v>
      </c>
      <c r="C197" s="244" t="s">
        <v>33</v>
      </c>
      <c r="D197" s="244" t="s">
        <v>2022</v>
      </c>
      <c r="E197" s="244" t="s">
        <v>978</v>
      </c>
      <c r="F197" s="244" t="s">
        <v>2036</v>
      </c>
      <c r="G197" s="244"/>
      <c r="H197" s="244"/>
      <c r="I197" s="244" t="s">
        <v>2037</v>
      </c>
      <c r="J197" s="244" t="s">
        <v>929</v>
      </c>
      <c r="K197" s="244" t="s">
        <v>2038</v>
      </c>
      <c r="L197" s="244" t="s">
        <v>1045</v>
      </c>
      <c r="M197" s="244" t="s">
        <v>2039</v>
      </c>
    </row>
    <row r="198" ht="50" customHeight="1" spans="1:13">
      <c r="A198" s="244" t="s">
        <v>1721</v>
      </c>
      <c r="B198" s="244" t="s">
        <v>34</v>
      </c>
      <c r="C198" s="244" t="s">
        <v>35</v>
      </c>
      <c r="D198" s="244" t="s">
        <v>2022</v>
      </c>
      <c r="E198" s="244" t="s">
        <v>2040</v>
      </c>
      <c r="F198" s="244" t="s">
        <v>2041</v>
      </c>
      <c r="G198" s="244"/>
      <c r="H198" s="244"/>
      <c r="I198" s="244" t="s">
        <v>2037</v>
      </c>
      <c r="J198" s="244" t="s">
        <v>929</v>
      </c>
      <c r="K198" s="244" t="s">
        <v>2042</v>
      </c>
      <c r="L198" s="244" t="s">
        <v>988</v>
      </c>
      <c r="M198" s="244" t="s">
        <v>952</v>
      </c>
    </row>
    <row r="199" ht="50" customHeight="1" spans="1:13">
      <c r="A199" s="244" t="s">
        <v>1721</v>
      </c>
      <c r="B199" s="244" t="s">
        <v>92</v>
      </c>
      <c r="C199" s="244" t="s">
        <v>93</v>
      </c>
      <c r="D199" s="244" t="s">
        <v>2043</v>
      </c>
      <c r="E199" s="244" t="s">
        <v>2044</v>
      </c>
      <c r="F199" s="244" t="s">
        <v>2045</v>
      </c>
      <c r="G199" s="244"/>
      <c r="H199" s="244"/>
      <c r="I199" s="244" t="s">
        <v>2037</v>
      </c>
      <c r="J199" s="244" t="s">
        <v>929</v>
      </c>
      <c r="K199" s="244" t="s">
        <v>2046</v>
      </c>
      <c r="L199" s="244" t="s">
        <v>2047</v>
      </c>
      <c r="M199" s="244" t="s">
        <v>952</v>
      </c>
    </row>
    <row r="200" ht="50" customHeight="1" spans="1:13">
      <c r="A200" s="244" t="s">
        <v>1721</v>
      </c>
      <c r="B200" s="244" t="s">
        <v>30</v>
      </c>
      <c r="C200" s="244" t="s">
        <v>31</v>
      </c>
      <c r="D200" s="244" t="s">
        <v>992</v>
      </c>
      <c r="E200" s="244" t="s">
        <v>2048</v>
      </c>
      <c r="F200" s="244" t="s">
        <v>2036</v>
      </c>
      <c r="G200" s="244"/>
      <c r="H200" s="244"/>
      <c r="I200" s="244" t="s">
        <v>2037</v>
      </c>
      <c r="J200" s="244" t="s">
        <v>929</v>
      </c>
      <c r="K200" s="244" t="s">
        <v>2049</v>
      </c>
      <c r="L200" s="244" t="s">
        <v>2050</v>
      </c>
      <c r="M200" s="244" t="s">
        <v>1179</v>
      </c>
    </row>
    <row r="201" ht="50" customHeight="1" spans="1:13">
      <c r="A201" s="244" t="s">
        <v>1721</v>
      </c>
      <c r="B201" s="244" t="s">
        <v>36</v>
      </c>
      <c r="C201" s="244" t="s">
        <v>37</v>
      </c>
      <c r="D201" s="244" t="s">
        <v>2043</v>
      </c>
      <c r="E201" s="244" t="s">
        <v>997</v>
      </c>
      <c r="F201" s="244" t="s">
        <v>2036</v>
      </c>
      <c r="G201" s="244"/>
      <c r="H201" s="244"/>
      <c r="I201" s="244" t="s">
        <v>2037</v>
      </c>
      <c r="J201" s="244" t="s">
        <v>929</v>
      </c>
      <c r="K201" s="244" t="s">
        <v>2051</v>
      </c>
      <c r="L201" s="244" t="s">
        <v>2052</v>
      </c>
      <c r="M201" s="244" t="s">
        <v>2053</v>
      </c>
    </row>
    <row r="202" ht="50" customHeight="1" spans="1:13">
      <c r="A202" s="244" t="s">
        <v>1721</v>
      </c>
      <c r="B202" s="244" t="s">
        <v>44</v>
      </c>
      <c r="C202" s="244" t="s">
        <v>45</v>
      </c>
      <c r="D202" s="244" t="s">
        <v>2043</v>
      </c>
      <c r="E202" s="244" t="s">
        <v>958</v>
      </c>
      <c r="F202" s="244" t="s">
        <v>2054</v>
      </c>
      <c r="G202" s="244"/>
      <c r="H202" s="244"/>
      <c r="I202" s="244" t="s">
        <v>2055</v>
      </c>
      <c r="J202" s="244" t="s">
        <v>929</v>
      </c>
      <c r="K202" s="244" t="s">
        <v>2056</v>
      </c>
      <c r="L202" s="244" t="s">
        <v>2057</v>
      </c>
      <c r="M202" s="244" t="s">
        <v>1062</v>
      </c>
    </row>
    <row r="203" ht="50" customHeight="1" spans="1:13">
      <c r="A203" s="244" t="s">
        <v>1721</v>
      </c>
      <c r="B203" s="244" t="s">
        <v>38</v>
      </c>
      <c r="C203" s="244" t="s">
        <v>39</v>
      </c>
      <c r="D203" s="244" t="s">
        <v>2043</v>
      </c>
      <c r="E203" s="244" t="s">
        <v>2058</v>
      </c>
      <c r="F203" s="244" t="s">
        <v>1008</v>
      </c>
      <c r="G203" s="244"/>
      <c r="H203" s="244"/>
      <c r="I203" s="244"/>
      <c r="J203" s="244" t="s">
        <v>929</v>
      </c>
      <c r="K203" s="244" t="s">
        <v>2059</v>
      </c>
      <c r="L203" s="244" t="s">
        <v>1010</v>
      </c>
      <c r="M203" s="244" t="s">
        <v>2060</v>
      </c>
    </row>
    <row r="204" ht="50" customHeight="1" spans="1:13">
      <c r="A204" s="244" t="s">
        <v>1721</v>
      </c>
      <c r="B204" s="244" t="s">
        <v>48</v>
      </c>
      <c r="C204" s="244" t="s">
        <v>49</v>
      </c>
      <c r="D204" s="244" t="s">
        <v>2043</v>
      </c>
      <c r="E204" s="244" t="s">
        <v>958</v>
      </c>
      <c r="F204" s="244" t="s">
        <v>2061</v>
      </c>
      <c r="G204" s="244"/>
      <c r="H204" s="244"/>
      <c r="I204" s="244" t="s">
        <v>2055</v>
      </c>
      <c r="J204" s="244" t="s">
        <v>1014</v>
      </c>
      <c r="K204" s="244" t="s">
        <v>2062</v>
      </c>
      <c r="L204" s="244" t="s">
        <v>2063</v>
      </c>
      <c r="M204" s="244" t="s">
        <v>2064</v>
      </c>
    </row>
    <row r="205" ht="50" customHeight="1" spans="1:13">
      <c r="A205" s="244" t="s">
        <v>1721</v>
      </c>
      <c r="B205" s="244" t="s">
        <v>74</v>
      </c>
      <c r="C205" s="244" t="s">
        <v>75</v>
      </c>
      <c r="D205" s="244" t="s">
        <v>2043</v>
      </c>
      <c r="E205" s="244" t="s">
        <v>2065</v>
      </c>
      <c r="F205" s="244" t="s">
        <v>2036</v>
      </c>
      <c r="G205" s="244"/>
      <c r="H205" s="244"/>
      <c r="I205" s="244" t="s">
        <v>2037</v>
      </c>
      <c r="J205" s="244" t="s">
        <v>929</v>
      </c>
      <c r="K205" s="244" t="s">
        <v>2066</v>
      </c>
      <c r="L205" s="244" t="s">
        <v>1022</v>
      </c>
      <c r="M205" s="244" t="s">
        <v>2067</v>
      </c>
    </row>
    <row r="206" ht="50" customHeight="1" spans="1:13">
      <c r="A206" s="244" t="s">
        <v>1721</v>
      </c>
      <c r="B206" s="244" t="s">
        <v>50</v>
      </c>
      <c r="C206" s="244" t="s">
        <v>51</v>
      </c>
      <c r="D206" s="244" t="s">
        <v>2043</v>
      </c>
      <c r="E206" s="244" t="s">
        <v>958</v>
      </c>
      <c r="F206" s="244" t="s">
        <v>2068</v>
      </c>
      <c r="G206" s="244"/>
      <c r="H206" s="244"/>
      <c r="I206" s="244" t="s">
        <v>2055</v>
      </c>
      <c r="J206" s="244" t="s">
        <v>929</v>
      </c>
      <c r="K206" s="244" t="s">
        <v>2069</v>
      </c>
      <c r="L206" s="244" t="s">
        <v>2070</v>
      </c>
      <c r="M206" s="244" t="s">
        <v>2071</v>
      </c>
    </row>
    <row r="207" ht="50" customHeight="1" spans="1:13">
      <c r="A207" s="244" t="s">
        <v>1721</v>
      </c>
      <c r="B207" s="244" t="s">
        <v>52</v>
      </c>
      <c r="C207" s="244" t="s">
        <v>53</v>
      </c>
      <c r="D207" s="244" t="s">
        <v>2043</v>
      </c>
      <c r="E207" s="244" t="s">
        <v>2072</v>
      </c>
      <c r="F207" s="244" t="s">
        <v>2036</v>
      </c>
      <c r="G207" s="244"/>
      <c r="H207" s="244"/>
      <c r="I207" s="244" t="s">
        <v>2037</v>
      </c>
      <c r="J207" s="244" t="s">
        <v>960</v>
      </c>
      <c r="K207" s="244" t="s">
        <v>2073</v>
      </c>
      <c r="L207" s="244" t="s">
        <v>2074</v>
      </c>
      <c r="M207" s="244" t="s">
        <v>1029</v>
      </c>
    </row>
    <row r="208" ht="50" customHeight="1" spans="1:13">
      <c r="A208" s="244" t="s">
        <v>1721</v>
      </c>
      <c r="B208" s="244" t="s">
        <v>76</v>
      </c>
      <c r="C208" s="244" t="s">
        <v>77</v>
      </c>
      <c r="D208" s="244" t="s">
        <v>2043</v>
      </c>
      <c r="E208" s="244" t="s">
        <v>1030</v>
      </c>
      <c r="F208" s="244" t="s">
        <v>2036</v>
      </c>
      <c r="G208" s="244"/>
      <c r="H208" s="244"/>
      <c r="I208" s="244" t="s">
        <v>2037</v>
      </c>
      <c r="J208" s="244" t="s">
        <v>929</v>
      </c>
      <c r="K208" s="244" t="s">
        <v>2075</v>
      </c>
      <c r="L208" s="244" t="s">
        <v>2076</v>
      </c>
      <c r="M208" s="244" t="s">
        <v>2077</v>
      </c>
    </row>
    <row r="209" ht="50" customHeight="1" spans="1:13">
      <c r="A209" s="244" t="s">
        <v>1721</v>
      </c>
      <c r="B209" s="244" t="s">
        <v>46</v>
      </c>
      <c r="C209" s="244" t="s">
        <v>1034</v>
      </c>
      <c r="D209" s="244" t="s">
        <v>2043</v>
      </c>
      <c r="E209" s="244" t="s">
        <v>958</v>
      </c>
      <c r="F209" s="244" t="s">
        <v>2061</v>
      </c>
      <c r="G209" s="244"/>
      <c r="H209" s="244"/>
      <c r="I209" s="244" t="s">
        <v>2055</v>
      </c>
      <c r="J209" s="244" t="s">
        <v>929</v>
      </c>
      <c r="K209" s="244" t="s">
        <v>2078</v>
      </c>
      <c r="L209" s="244" t="s">
        <v>2079</v>
      </c>
      <c r="M209" s="244" t="s">
        <v>2080</v>
      </c>
    </row>
    <row r="210" ht="50" customHeight="1" spans="1:13">
      <c r="A210" s="244" t="s">
        <v>1721</v>
      </c>
      <c r="B210" s="244" t="s">
        <v>54</v>
      </c>
      <c r="C210" s="244" t="s">
        <v>55</v>
      </c>
      <c r="D210" s="244" t="s">
        <v>2043</v>
      </c>
      <c r="E210" s="244" t="s">
        <v>958</v>
      </c>
      <c r="F210" s="244" t="s">
        <v>967</v>
      </c>
      <c r="G210" s="244"/>
      <c r="H210" s="244"/>
      <c r="I210" s="244" t="s">
        <v>2081</v>
      </c>
      <c r="J210" s="244" t="s">
        <v>929</v>
      </c>
      <c r="K210" s="244" t="s">
        <v>2056</v>
      </c>
      <c r="L210" s="244" t="s">
        <v>958</v>
      </c>
      <c r="M210" s="244" t="s">
        <v>952</v>
      </c>
    </row>
    <row r="211" ht="50" customHeight="1" spans="1:13">
      <c r="A211" s="244" t="s">
        <v>1721</v>
      </c>
      <c r="B211" s="244" t="s">
        <v>42</v>
      </c>
      <c r="C211" s="244" t="s">
        <v>43</v>
      </c>
      <c r="D211" s="244" t="s">
        <v>2043</v>
      </c>
      <c r="E211" s="244" t="s">
        <v>958</v>
      </c>
      <c r="F211" s="244" t="s">
        <v>2082</v>
      </c>
      <c r="G211" s="244"/>
      <c r="H211" s="244"/>
      <c r="I211" s="244" t="s">
        <v>2037</v>
      </c>
      <c r="J211" s="244" t="s">
        <v>929</v>
      </c>
      <c r="K211" s="244" t="s">
        <v>2083</v>
      </c>
      <c r="L211" s="244" t="s">
        <v>1040</v>
      </c>
      <c r="M211" s="244" t="s">
        <v>2084</v>
      </c>
    </row>
    <row r="212" ht="50" customHeight="1" spans="1:13">
      <c r="A212" s="244" t="s">
        <v>1721</v>
      </c>
      <c r="B212" s="244" t="s">
        <v>58</v>
      </c>
      <c r="C212" s="244" t="s">
        <v>59</v>
      </c>
      <c r="D212" s="244" t="s">
        <v>2043</v>
      </c>
      <c r="E212" s="244" t="s">
        <v>958</v>
      </c>
      <c r="F212" s="244" t="s">
        <v>2068</v>
      </c>
      <c r="G212" s="244"/>
      <c r="H212" s="244"/>
      <c r="I212" s="244" t="s">
        <v>2085</v>
      </c>
      <c r="J212" s="244" t="s">
        <v>929</v>
      </c>
      <c r="K212" s="244" t="s">
        <v>2086</v>
      </c>
      <c r="L212" s="244" t="s">
        <v>2087</v>
      </c>
      <c r="M212" s="244" t="s">
        <v>2088</v>
      </c>
    </row>
    <row r="213" ht="50" customHeight="1" spans="1:13">
      <c r="A213" s="244" t="s">
        <v>1721</v>
      </c>
      <c r="B213" s="244" t="s">
        <v>40</v>
      </c>
      <c r="C213" s="244" t="s">
        <v>41</v>
      </c>
      <c r="D213" s="244" t="s">
        <v>2043</v>
      </c>
      <c r="E213" s="244" t="s">
        <v>958</v>
      </c>
      <c r="F213" s="244" t="s">
        <v>2036</v>
      </c>
      <c r="G213" s="244"/>
      <c r="H213" s="244"/>
      <c r="I213" s="244" t="s">
        <v>2037</v>
      </c>
      <c r="J213" s="244" t="s">
        <v>929</v>
      </c>
      <c r="K213" s="244" t="s">
        <v>2089</v>
      </c>
      <c r="L213" s="244" t="s">
        <v>958</v>
      </c>
      <c r="M213" s="244" t="s">
        <v>2090</v>
      </c>
    </row>
    <row r="214" ht="50" customHeight="1" spans="1:13">
      <c r="A214" s="244" t="s">
        <v>1721</v>
      </c>
      <c r="B214" s="244" t="s">
        <v>56</v>
      </c>
      <c r="C214" s="244" t="s">
        <v>57</v>
      </c>
      <c r="D214" s="244" t="s">
        <v>2043</v>
      </c>
      <c r="E214" s="244" t="s">
        <v>958</v>
      </c>
      <c r="F214" s="244" t="s">
        <v>2061</v>
      </c>
      <c r="G214" s="244"/>
      <c r="H214" s="244"/>
      <c r="I214" s="244" t="s">
        <v>2085</v>
      </c>
      <c r="J214" s="244" t="s">
        <v>929</v>
      </c>
      <c r="K214" s="244" t="s">
        <v>2069</v>
      </c>
      <c r="L214" s="244" t="s">
        <v>2091</v>
      </c>
      <c r="M214" s="244" t="s">
        <v>2071</v>
      </c>
    </row>
    <row r="215" ht="50" customHeight="1" spans="1:13">
      <c r="A215" s="244" t="s">
        <v>1721</v>
      </c>
      <c r="B215" s="244" t="s">
        <v>142</v>
      </c>
      <c r="C215" s="244" t="s">
        <v>1048</v>
      </c>
      <c r="D215" s="244" t="s">
        <v>2043</v>
      </c>
      <c r="E215" s="244" t="s">
        <v>2092</v>
      </c>
      <c r="F215" s="244" t="s">
        <v>2036</v>
      </c>
      <c r="G215" s="244"/>
      <c r="H215" s="244"/>
      <c r="I215" s="244" t="s">
        <v>2037</v>
      </c>
      <c r="J215" s="244" t="s">
        <v>1014</v>
      </c>
      <c r="K215" s="244" t="s">
        <v>2093</v>
      </c>
      <c r="L215" s="244" t="s">
        <v>958</v>
      </c>
      <c r="M215" s="244" t="s">
        <v>2053</v>
      </c>
    </row>
    <row r="216" ht="50" customHeight="1" spans="1:13">
      <c r="A216" s="244" t="s">
        <v>1721</v>
      </c>
      <c r="B216" s="244" t="s">
        <v>80</v>
      </c>
      <c r="C216" s="244" t="s">
        <v>81</v>
      </c>
      <c r="D216" s="244" t="s">
        <v>1001</v>
      </c>
      <c r="E216" s="244" t="s">
        <v>2094</v>
      </c>
      <c r="F216" s="244" t="s">
        <v>1053</v>
      </c>
      <c r="G216" s="244"/>
      <c r="H216" s="244"/>
      <c r="I216" s="244" t="s">
        <v>958</v>
      </c>
      <c r="J216" s="244" t="s">
        <v>944</v>
      </c>
      <c r="K216" s="244" t="s">
        <v>2095</v>
      </c>
      <c r="L216" s="244"/>
      <c r="M216" s="244" t="s">
        <v>1056</v>
      </c>
    </row>
    <row r="217" ht="50" customHeight="1" spans="1:13">
      <c r="A217" s="244" t="s">
        <v>1721</v>
      </c>
      <c r="B217" s="244" t="s">
        <v>60</v>
      </c>
      <c r="C217" s="244" t="s">
        <v>61</v>
      </c>
      <c r="D217" s="244" t="s">
        <v>2043</v>
      </c>
      <c r="E217" s="244" t="s">
        <v>958</v>
      </c>
      <c r="F217" s="244" t="s">
        <v>2068</v>
      </c>
      <c r="G217" s="244"/>
      <c r="H217" s="244"/>
      <c r="I217" s="244" t="s">
        <v>2055</v>
      </c>
      <c r="J217" s="244" t="s">
        <v>929</v>
      </c>
      <c r="K217" s="244" t="s">
        <v>2096</v>
      </c>
      <c r="L217" s="244" t="s">
        <v>2097</v>
      </c>
      <c r="M217" s="244" t="s">
        <v>952</v>
      </c>
    </row>
    <row r="218" ht="50" customHeight="1" spans="1:13">
      <c r="A218" s="244" t="s">
        <v>1721</v>
      </c>
      <c r="B218" s="244" t="s">
        <v>62</v>
      </c>
      <c r="C218" s="244" t="s">
        <v>63</v>
      </c>
      <c r="D218" s="244" t="s">
        <v>2043</v>
      </c>
      <c r="E218" s="244" t="s">
        <v>2040</v>
      </c>
      <c r="F218" s="244" t="s">
        <v>2036</v>
      </c>
      <c r="G218" s="244"/>
      <c r="H218" s="244"/>
      <c r="I218" s="244" t="s">
        <v>2037</v>
      </c>
      <c r="J218" s="244" t="s">
        <v>929</v>
      </c>
      <c r="K218" s="244" t="s">
        <v>2098</v>
      </c>
      <c r="L218" s="244" t="s">
        <v>1060</v>
      </c>
      <c r="M218" s="244" t="s">
        <v>952</v>
      </c>
    </row>
    <row r="219" ht="50" customHeight="1" spans="1:13">
      <c r="A219" s="244" t="s">
        <v>1721</v>
      </c>
      <c r="B219" s="244" t="s">
        <v>64</v>
      </c>
      <c r="C219" s="244" t="s">
        <v>65</v>
      </c>
      <c r="D219" s="244" t="s">
        <v>2043</v>
      </c>
      <c r="E219" s="244" t="s">
        <v>958</v>
      </c>
      <c r="F219" s="244" t="s">
        <v>2068</v>
      </c>
      <c r="G219" s="244"/>
      <c r="H219" s="244"/>
      <c r="I219" s="244" t="s">
        <v>2085</v>
      </c>
      <c r="J219" s="244" t="s">
        <v>929</v>
      </c>
      <c r="K219" s="244" t="s">
        <v>2078</v>
      </c>
      <c r="L219" s="244" t="s">
        <v>2099</v>
      </c>
      <c r="M219" s="244" t="s">
        <v>2100</v>
      </c>
    </row>
    <row r="220" ht="50" customHeight="1" spans="1:13">
      <c r="A220" s="244" t="s">
        <v>1721</v>
      </c>
      <c r="B220" s="244" t="s">
        <v>70</v>
      </c>
      <c r="C220" s="244" t="s">
        <v>1064</v>
      </c>
      <c r="D220" s="244" t="s">
        <v>2043</v>
      </c>
      <c r="E220" s="244" t="s">
        <v>2101</v>
      </c>
      <c r="F220" s="244" t="s">
        <v>2036</v>
      </c>
      <c r="G220" s="244"/>
      <c r="H220" s="244"/>
      <c r="I220" s="244" t="s">
        <v>2037</v>
      </c>
      <c r="J220" s="244" t="s">
        <v>960</v>
      </c>
      <c r="K220" s="244" t="s">
        <v>2102</v>
      </c>
      <c r="L220" s="244" t="s">
        <v>958</v>
      </c>
      <c r="M220" s="244" t="s">
        <v>1067</v>
      </c>
    </row>
    <row r="221" ht="50" customHeight="1" spans="1:13">
      <c r="A221" s="244" t="s">
        <v>1721</v>
      </c>
      <c r="B221" s="244" t="s">
        <v>68</v>
      </c>
      <c r="C221" s="244" t="s">
        <v>69</v>
      </c>
      <c r="D221" s="244" t="s">
        <v>2043</v>
      </c>
      <c r="E221" s="244" t="s">
        <v>958</v>
      </c>
      <c r="F221" s="244" t="s">
        <v>2068</v>
      </c>
      <c r="G221" s="244"/>
      <c r="H221" s="244"/>
      <c r="I221" s="244" t="s">
        <v>2085</v>
      </c>
      <c r="J221" s="244" t="s">
        <v>929</v>
      </c>
      <c r="K221" s="244" t="s">
        <v>2103</v>
      </c>
      <c r="L221" s="244" t="s">
        <v>2079</v>
      </c>
      <c r="M221" s="244" t="s">
        <v>2080</v>
      </c>
    </row>
    <row r="222" ht="50" customHeight="1" spans="1:13">
      <c r="A222" s="244" t="s">
        <v>1721</v>
      </c>
      <c r="B222" s="244" t="s">
        <v>66</v>
      </c>
      <c r="C222" s="244" t="s">
        <v>67</v>
      </c>
      <c r="D222" s="244" t="s">
        <v>2043</v>
      </c>
      <c r="E222" s="244" t="s">
        <v>958</v>
      </c>
      <c r="F222" s="244" t="s">
        <v>2068</v>
      </c>
      <c r="G222" s="244"/>
      <c r="H222" s="244"/>
      <c r="I222" s="244" t="s">
        <v>2085</v>
      </c>
      <c r="J222" s="244" t="s">
        <v>929</v>
      </c>
      <c r="K222" s="244" t="s">
        <v>2056</v>
      </c>
      <c r="L222" s="244" t="s">
        <v>2104</v>
      </c>
      <c r="M222" s="244" t="s">
        <v>952</v>
      </c>
    </row>
    <row r="223" ht="50" customHeight="1" spans="1:13">
      <c r="A223" s="244" t="s">
        <v>1721</v>
      </c>
      <c r="B223" s="244" t="s">
        <v>182</v>
      </c>
      <c r="C223" s="244" t="s">
        <v>183</v>
      </c>
      <c r="D223" s="244" t="s">
        <v>2043</v>
      </c>
      <c r="E223" s="244" t="s">
        <v>1073</v>
      </c>
      <c r="F223" s="244" t="s">
        <v>2105</v>
      </c>
      <c r="G223" s="244"/>
      <c r="H223" s="244"/>
      <c r="I223" s="244" t="s">
        <v>2106</v>
      </c>
      <c r="J223" s="244" t="s">
        <v>929</v>
      </c>
      <c r="K223" s="244" t="s">
        <v>2107</v>
      </c>
      <c r="L223" s="244" t="s">
        <v>1076</v>
      </c>
      <c r="M223" s="244" t="s">
        <v>1000</v>
      </c>
    </row>
    <row r="224" ht="50" customHeight="1" spans="1:13">
      <c r="A224" s="244" t="s">
        <v>1713</v>
      </c>
      <c r="B224" s="244" t="s">
        <v>150</v>
      </c>
      <c r="C224" s="244" t="s">
        <v>151</v>
      </c>
      <c r="D224" s="244" t="s">
        <v>1079</v>
      </c>
      <c r="E224" s="244" t="s">
        <v>2108</v>
      </c>
      <c r="F224" s="244" t="s">
        <v>2109</v>
      </c>
      <c r="G224" s="244"/>
      <c r="H224" s="244"/>
      <c r="I224" s="244" t="s">
        <v>2110</v>
      </c>
      <c r="J224" s="244" t="s">
        <v>1095</v>
      </c>
      <c r="K224" s="244" t="s">
        <v>2111</v>
      </c>
      <c r="L224" s="244" t="s">
        <v>2112</v>
      </c>
      <c r="M224" s="244" t="s">
        <v>2113</v>
      </c>
    </row>
    <row r="225" ht="50" customHeight="1" spans="1:13">
      <c r="A225" s="244" t="s">
        <v>1713</v>
      </c>
      <c r="B225" s="244" t="s">
        <v>172</v>
      </c>
      <c r="C225" s="244" t="s">
        <v>173</v>
      </c>
      <c r="D225" s="244" t="s">
        <v>1086</v>
      </c>
      <c r="E225" s="244" t="s">
        <v>2114</v>
      </c>
      <c r="F225" s="244" t="s">
        <v>2115</v>
      </c>
      <c r="G225" s="244"/>
      <c r="H225" s="244"/>
      <c r="I225" s="244" t="s">
        <v>1092</v>
      </c>
      <c r="J225" s="244" t="s">
        <v>1014</v>
      </c>
      <c r="K225" s="244" t="s">
        <v>2116</v>
      </c>
      <c r="L225" s="244" t="s">
        <v>1090</v>
      </c>
      <c r="M225" s="244" t="s">
        <v>2117</v>
      </c>
    </row>
    <row r="226" ht="50" customHeight="1" spans="1:13">
      <c r="A226" s="244" t="s">
        <v>1713</v>
      </c>
      <c r="B226" s="244" t="s">
        <v>174</v>
      </c>
      <c r="C226" s="244" t="s">
        <v>175</v>
      </c>
      <c r="D226" s="244" t="s">
        <v>2015</v>
      </c>
      <c r="E226" s="244" t="s">
        <v>2118</v>
      </c>
      <c r="F226" s="244" t="s">
        <v>1094</v>
      </c>
      <c r="G226" s="244"/>
      <c r="H226" s="244"/>
      <c r="I226" s="244" t="s">
        <v>2119</v>
      </c>
      <c r="J226" s="244" t="s">
        <v>1095</v>
      </c>
      <c r="K226" s="244" t="s">
        <v>2120</v>
      </c>
      <c r="L226" s="244" t="s">
        <v>958</v>
      </c>
      <c r="M226" s="244" t="s">
        <v>2121</v>
      </c>
    </row>
    <row r="227" ht="50" customHeight="1" spans="1:13">
      <c r="A227" s="244" t="s">
        <v>1713</v>
      </c>
      <c r="B227" s="244" t="s">
        <v>122</v>
      </c>
      <c r="C227" s="244" t="s">
        <v>123</v>
      </c>
      <c r="D227" s="244" t="s">
        <v>1099</v>
      </c>
      <c r="E227" s="244" t="s">
        <v>958</v>
      </c>
      <c r="F227" s="244" t="s">
        <v>1100</v>
      </c>
      <c r="G227" s="244"/>
      <c r="H227" s="244"/>
      <c r="I227" s="244" t="s">
        <v>1103</v>
      </c>
      <c r="J227" s="244" t="s">
        <v>1014</v>
      </c>
      <c r="K227" s="244" t="s">
        <v>1101</v>
      </c>
      <c r="L227" s="244" t="s">
        <v>1102</v>
      </c>
      <c r="M227" s="244" t="s">
        <v>952</v>
      </c>
    </row>
    <row r="228" ht="50" customHeight="1" spans="1:13">
      <c r="A228" s="244" t="s">
        <v>1945</v>
      </c>
      <c r="B228" s="244" t="s">
        <v>106</v>
      </c>
      <c r="C228" s="244" t="s">
        <v>107</v>
      </c>
      <c r="D228" s="244" t="s">
        <v>2122</v>
      </c>
      <c r="E228" s="244" t="s">
        <v>2123</v>
      </c>
      <c r="F228" s="244" t="s">
        <v>1105</v>
      </c>
      <c r="G228" s="244"/>
      <c r="H228" s="244"/>
      <c r="I228" s="244" t="s">
        <v>1110</v>
      </c>
      <c r="J228" s="244" t="s">
        <v>1106</v>
      </c>
      <c r="K228" s="244" t="s">
        <v>2124</v>
      </c>
      <c r="L228" s="244" t="s">
        <v>2125</v>
      </c>
      <c r="M228" s="244" t="s">
        <v>1179</v>
      </c>
    </row>
    <row r="229" ht="50" customHeight="1" spans="1:13">
      <c r="A229" s="244" t="s">
        <v>1945</v>
      </c>
      <c r="B229" s="244" t="s">
        <v>84</v>
      </c>
      <c r="C229" s="244" t="s">
        <v>85</v>
      </c>
      <c r="D229" s="244" t="s">
        <v>2122</v>
      </c>
      <c r="E229" s="244" t="s">
        <v>2126</v>
      </c>
      <c r="F229" s="244" t="s">
        <v>1112</v>
      </c>
      <c r="G229" s="244"/>
      <c r="H229" s="244"/>
      <c r="I229" s="244" t="s">
        <v>1117</v>
      </c>
      <c r="J229" s="244" t="s">
        <v>1113</v>
      </c>
      <c r="K229" s="244" t="s">
        <v>1114</v>
      </c>
      <c r="L229" s="244"/>
      <c r="M229" s="244" t="s">
        <v>1116</v>
      </c>
    </row>
    <row r="230" ht="50" customHeight="1" spans="1:13">
      <c r="A230" s="244" t="s">
        <v>1767</v>
      </c>
      <c r="B230" s="244" t="s">
        <v>90</v>
      </c>
      <c r="C230" s="244" t="s">
        <v>91</v>
      </c>
      <c r="D230" s="244" t="s">
        <v>2127</v>
      </c>
      <c r="E230" s="244" t="s">
        <v>2128</v>
      </c>
      <c r="F230" s="244" t="s">
        <v>2129</v>
      </c>
      <c r="G230" s="244"/>
      <c r="H230" s="244"/>
      <c r="I230" s="244" t="s">
        <v>1125</v>
      </c>
      <c r="J230" s="244" t="s">
        <v>1121</v>
      </c>
      <c r="K230" s="244" t="s">
        <v>1122</v>
      </c>
      <c r="L230" s="244" t="s">
        <v>2130</v>
      </c>
      <c r="M230" s="244" t="s">
        <v>2131</v>
      </c>
    </row>
    <row r="231" ht="50" customHeight="1" spans="1:13">
      <c r="A231" s="244" t="s">
        <v>1767</v>
      </c>
      <c r="B231" s="244" t="s">
        <v>178</v>
      </c>
      <c r="C231" s="244" t="s">
        <v>179</v>
      </c>
      <c r="D231" s="244" t="s">
        <v>1126</v>
      </c>
      <c r="E231" s="244" t="s">
        <v>1127</v>
      </c>
      <c r="F231" s="244" t="s">
        <v>958</v>
      </c>
      <c r="G231" s="244"/>
      <c r="H231" s="244"/>
      <c r="I231" s="244"/>
      <c r="J231" s="244" t="s">
        <v>960</v>
      </c>
      <c r="K231" s="244" t="s">
        <v>2132</v>
      </c>
      <c r="L231" s="244" t="s">
        <v>2133</v>
      </c>
      <c r="M231" s="244" t="s">
        <v>1130</v>
      </c>
    </row>
    <row r="232" ht="50" customHeight="1" spans="1:13">
      <c r="A232" s="244" t="s">
        <v>1767</v>
      </c>
      <c r="B232" s="244" t="s">
        <v>180</v>
      </c>
      <c r="C232" s="244" t="s">
        <v>181</v>
      </c>
      <c r="D232" s="244" t="s">
        <v>941</v>
      </c>
      <c r="E232" s="244" t="s">
        <v>2134</v>
      </c>
      <c r="F232" s="244" t="s">
        <v>2135</v>
      </c>
      <c r="G232" s="244"/>
      <c r="H232" s="244"/>
      <c r="I232" s="244" t="s">
        <v>2136</v>
      </c>
      <c r="J232" s="244" t="s">
        <v>1014</v>
      </c>
      <c r="K232" s="244" t="s">
        <v>2137</v>
      </c>
      <c r="L232" s="244" t="s">
        <v>958</v>
      </c>
      <c r="M232" s="244" t="s">
        <v>2138</v>
      </c>
    </row>
    <row r="233" ht="50" customHeight="1" spans="1:13">
      <c r="A233" s="244" t="s">
        <v>1767</v>
      </c>
      <c r="B233" s="244" t="s">
        <v>152</v>
      </c>
      <c r="C233" s="244" t="s">
        <v>153</v>
      </c>
      <c r="D233" s="244" t="s">
        <v>1137</v>
      </c>
      <c r="E233" s="244" t="s">
        <v>2139</v>
      </c>
      <c r="F233" s="244" t="s">
        <v>1139</v>
      </c>
      <c r="G233" s="244"/>
      <c r="H233" s="244"/>
      <c r="I233" s="244" t="s">
        <v>1143</v>
      </c>
      <c r="J233" s="244" t="s">
        <v>960</v>
      </c>
      <c r="K233" s="244" t="s">
        <v>2140</v>
      </c>
      <c r="L233" s="244" t="s">
        <v>2141</v>
      </c>
      <c r="M233" s="244" t="s">
        <v>2142</v>
      </c>
    </row>
    <row r="234" ht="50" customHeight="1" spans="1:13">
      <c r="A234" s="244" t="s">
        <v>1767</v>
      </c>
      <c r="B234" s="244" t="s">
        <v>132</v>
      </c>
      <c r="C234" s="244" t="s">
        <v>133</v>
      </c>
      <c r="D234" s="244" t="s">
        <v>1154</v>
      </c>
      <c r="E234" s="244" t="s">
        <v>2143</v>
      </c>
      <c r="F234" s="244" t="s">
        <v>2144</v>
      </c>
      <c r="G234" s="244"/>
      <c r="H234" s="244"/>
      <c r="I234" s="244" t="s">
        <v>2145</v>
      </c>
      <c r="J234" s="244" t="s">
        <v>2146</v>
      </c>
      <c r="K234" s="244" t="s">
        <v>2147</v>
      </c>
      <c r="L234" s="244" t="s">
        <v>958</v>
      </c>
      <c r="M234" s="244" t="s">
        <v>2148</v>
      </c>
    </row>
    <row r="235" ht="50" customHeight="1" spans="1:13">
      <c r="A235" s="244" t="s">
        <v>1767</v>
      </c>
      <c r="B235" s="244" t="s">
        <v>104</v>
      </c>
      <c r="C235" s="244" t="s">
        <v>105</v>
      </c>
      <c r="D235" s="244" t="s">
        <v>1154</v>
      </c>
      <c r="E235" s="244" t="s">
        <v>1159</v>
      </c>
      <c r="F235" s="244" t="s">
        <v>2149</v>
      </c>
      <c r="G235" s="244"/>
      <c r="H235" s="244"/>
      <c r="I235" s="244" t="s">
        <v>1159</v>
      </c>
      <c r="J235" s="244" t="s">
        <v>929</v>
      </c>
      <c r="K235" s="244" t="s">
        <v>2150</v>
      </c>
      <c r="L235" s="244" t="s">
        <v>958</v>
      </c>
      <c r="M235" s="244" t="s">
        <v>2151</v>
      </c>
    </row>
    <row r="236" ht="50" customHeight="1" spans="1:13">
      <c r="A236" s="244" t="s">
        <v>1767</v>
      </c>
      <c r="B236" s="244" t="s">
        <v>88</v>
      </c>
      <c r="C236" s="244" t="s">
        <v>1160</v>
      </c>
      <c r="D236" s="244" t="s">
        <v>2152</v>
      </c>
      <c r="E236" s="244" t="s">
        <v>2153</v>
      </c>
      <c r="F236" s="244" t="s">
        <v>1163</v>
      </c>
      <c r="G236" s="244"/>
      <c r="H236" s="244"/>
      <c r="I236" s="244" t="s">
        <v>2154</v>
      </c>
      <c r="J236" s="244" t="s">
        <v>929</v>
      </c>
      <c r="K236" s="244" t="s">
        <v>1164</v>
      </c>
      <c r="L236" s="244" t="s">
        <v>2155</v>
      </c>
      <c r="M236" s="244" t="s">
        <v>1166</v>
      </c>
    </row>
    <row r="237" ht="50" customHeight="1" spans="1:13">
      <c r="A237" s="244" t="s">
        <v>1767</v>
      </c>
      <c r="B237" s="244" t="s">
        <v>176</v>
      </c>
      <c r="C237" s="244" t="s">
        <v>177</v>
      </c>
      <c r="D237" s="244" t="s">
        <v>1168</v>
      </c>
      <c r="E237" s="244" t="s">
        <v>2156</v>
      </c>
      <c r="F237" s="244" t="s">
        <v>2157</v>
      </c>
      <c r="G237" s="244"/>
      <c r="H237" s="244"/>
      <c r="I237" s="244" t="s">
        <v>1173</v>
      </c>
      <c r="J237" s="244" t="s">
        <v>2158</v>
      </c>
      <c r="K237" s="244" t="s">
        <v>2159</v>
      </c>
      <c r="L237" s="244" t="s">
        <v>2160</v>
      </c>
      <c r="M237" s="244" t="s">
        <v>2161</v>
      </c>
    </row>
    <row r="238" ht="50" customHeight="1" spans="1:13">
      <c r="A238" s="244" t="s">
        <v>2162</v>
      </c>
      <c r="B238" s="244" t="s">
        <v>187</v>
      </c>
      <c r="C238" s="244" t="s">
        <v>1174</v>
      </c>
      <c r="D238" s="244" t="s">
        <v>2163</v>
      </c>
      <c r="E238" s="244" t="s">
        <v>2164</v>
      </c>
      <c r="F238" s="244" t="s">
        <v>2165</v>
      </c>
      <c r="G238" s="244"/>
      <c r="H238" s="244"/>
      <c r="I238" s="244" t="s">
        <v>2166</v>
      </c>
      <c r="J238" s="244" t="s">
        <v>929</v>
      </c>
      <c r="K238" s="244" t="s">
        <v>1177</v>
      </c>
      <c r="L238" s="244" t="s">
        <v>2167</v>
      </c>
      <c r="M238" s="244" t="s">
        <v>1179</v>
      </c>
    </row>
    <row r="239" ht="50" customHeight="1" spans="1:13">
      <c r="A239" s="244" t="s">
        <v>2162</v>
      </c>
      <c r="B239" s="244" t="s">
        <v>102</v>
      </c>
      <c r="C239" s="244" t="s">
        <v>103</v>
      </c>
      <c r="D239" s="244" t="s">
        <v>1180</v>
      </c>
      <c r="E239" s="244" t="s">
        <v>2168</v>
      </c>
      <c r="F239" s="244" t="s">
        <v>1182</v>
      </c>
      <c r="G239" s="244"/>
      <c r="H239" s="244"/>
      <c r="I239" s="244" t="s">
        <v>1187</v>
      </c>
      <c r="J239" s="244" t="s">
        <v>1183</v>
      </c>
      <c r="K239" s="244" t="s">
        <v>1184</v>
      </c>
      <c r="L239" s="244" t="s">
        <v>2169</v>
      </c>
      <c r="M239" s="244" t="s">
        <v>1186</v>
      </c>
    </row>
    <row r="240" ht="50" customHeight="1" spans="1:13">
      <c r="A240" s="244" t="s">
        <v>2162</v>
      </c>
      <c r="B240" s="244" t="s">
        <v>108</v>
      </c>
      <c r="C240" s="244" t="s">
        <v>109</v>
      </c>
      <c r="D240" s="244" t="s">
        <v>2043</v>
      </c>
      <c r="E240" s="244" t="s">
        <v>958</v>
      </c>
      <c r="F240" s="244" t="s">
        <v>2068</v>
      </c>
      <c r="G240" s="244"/>
      <c r="H240" s="244"/>
      <c r="I240" s="244" t="s">
        <v>2055</v>
      </c>
      <c r="J240" s="244" t="s">
        <v>2170</v>
      </c>
      <c r="K240" s="244" t="s">
        <v>2062</v>
      </c>
      <c r="L240" s="244" t="s">
        <v>958</v>
      </c>
      <c r="M240" s="244" t="s">
        <v>2171</v>
      </c>
    </row>
    <row r="241" ht="50" customHeight="1" spans="1:13">
      <c r="A241" s="244" t="s">
        <v>2162</v>
      </c>
      <c r="B241" s="244" t="s">
        <v>82</v>
      </c>
      <c r="C241" s="244" t="s">
        <v>83</v>
      </c>
      <c r="D241" s="244" t="s">
        <v>2163</v>
      </c>
      <c r="E241" s="244" t="s">
        <v>2172</v>
      </c>
      <c r="F241" s="244" t="s">
        <v>2173</v>
      </c>
      <c r="G241" s="244"/>
      <c r="H241" s="244"/>
      <c r="I241" s="244" t="s">
        <v>2174</v>
      </c>
      <c r="J241" s="244" t="s">
        <v>944</v>
      </c>
      <c r="K241" s="244" t="s">
        <v>1190</v>
      </c>
      <c r="L241" s="244" t="s">
        <v>2175</v>
      </c>
      <c r="M241" s="244" t="s">
        <v>2176</v>
      </c>
    </row>
    <row r="242" ht="50" customHeight="1" spans="1:13">
      <c r="A242" s="244" t="s">
        <v>2162</v>
      </c>
      <c r="B242" s="244" t="s">
        <v>144</v>
      </c>
      <c r="C242" s="244" t="s">
        <v>145</v>
      </c>
      <c r="D242" s="244" t="s">
        <v>1194</v>
      </c>
      <c r="E242" s="244" t="s">
        <v>2168</v>
      </c>
      <c r="F242" s="244" t="s">
        <v>1195</v>
      </c>
      <c r="G242" s="244"/>
      <c r="H242" s="244"/>
      <c r="I242" s="244" t="s">
        <v>1198</v>
      </c>
      <c r="J242" s="244" t="s">
        <v>1196</v>
      </c>
      <c r="K242" s="244" t="s">
        <v>1184</v>
      </c>
      <c r="L242" s="244" t="s">
        <v>2169</v>
      </c>
      <c r="M242" s="244" t="s">
        <v>1197</v>
      </c>
    </row>
    <row r="243" ht="50" customHeight="1" spans="1:13">
      <c r="A243" s="244" t="s">
        <v>2162</v>
      </c>
      <c r="B243" s="244" t="s">
        <v>186</v>
      </c>
      <c r="C243" s="244" t="s">
        <v>1199</v>
      </c>
      <c r="D243" s="244" t="s">
        <v>1200</v>
      </c>
      <c r="E243" s="244" t="s">
        <v>2168</v>
      </c>
      <c r="F243" s="244" t="s">
        <v>1201</v>
      </c>
      <c r="G243" s="244"/>
      <c r="H243" s="244"/>
      <c r="I243" s="244" t="s">
        <v>1204</v>
      </c>
      <c r="J243" s="244" t="s">
        <v>1202</v>
      </c>
      <c r="K243" s="244" t="s">
        <v>1184</v>
      </c>
      <c r="L243" s="244" t="s">
        <v>2169</v>
      </c>
      <c r="M243" s="244" t="s">
        <v>2177</v>
      </c>
    </row>
    <row r="244" ht="50" customHeight="1" spans="1:13">
      <c r="A244" s="244" t="s">
        <v>2162</v>
      </c>
      <c r="B244" s="244" t="s">
        <v>100</v>
      </c>
      <c r="C244" s="244" t="s">
        <v>101</v>
      </c>
      <c r="D244" s="244" t="s">
        <v>934</v>
      </c>
      <c r="E244" s="244" t="s">
        <v>2168</v>
      </c>
      <c r="F244" s="244" t="s">
        <v>1205</v>
      </c>
      <c r="G244" s="244"/>
      <c r="H244" s="244"/>
      <c r="I244" s="244" t="s">
        <v>1208</v>
      </c>
      <c r="J244" s="244" t="s">
        <v>1206</v>
      </c>
      <c r="K244" s="244" t="s">
        <v>1184</v>
      </c>
      <c r="L244" s="244" t="s">
        <v>2169</v>
      </c>
      <c r="M244" s="244" t="s">
        <v>1207</v>
      </c>
    </row>
    <row r="245" ht="50" customHeight="1" spans="1:13">
      <c r="A245" s="244" t="s">
        <v>2162</v>
      </c>
      <c r="B245" s="244" t="s">
        <v>96</v>
      </c>
      <c r="C245" s="244" t="s">
        <v>97</v>
      </c>
      <c r="D245" s="244" t="s">
        <v>2163</v>
      </c>
      <c r="E245" s="244" t="s">
        <v>2178</v>
      </c>
      <c r="F245" s="244" t="s">
        <v>2179</v>
      </c>
      <c r="G245" s="244"/>
      <c r="H245" s="244"/>
      <c r="I245" s="244" t="s">
        <v>2180</v>
      </c>
      <c r="J245" s="244" t="s">
        <v>929</v>
      </c>
      <c r="K245" s="244" t="s">
        <v>1211</v>
      </c>
      <c r="L245" s="244" t="s">
        <v>2181</v>
      </c>
      <c r="M245" s="244" t="s">
        <v>1213</v>
      </c>
    </row>
    <row r="246" ht="50" customHeight="1" spans="1:13">
      <c r="A246" s="244" t="s">
        <v>2162</v>
      </c>
      <c r="B246" s="244" t="s">
        <v>148</v>
      </c>
      <c r="C246" s="244" t="s">
        <v>149</v>
      </c>
      <c r="D246" s="244" t="s">
        <v>1001</v>
      </c>
      <c r="E246" s="244" t="s">
        <v>2182</v>
      </c>
      <c r="F246" s="244" t="s">
        <v>2183</v>
      </c>
      <c r="G246" s="244"/>
      <c r="H246" s="244"/>
      <c r="I246" s="244" t="s">
        <v>1220</v>
      </c>
      <c r="J246" s="244" t="s">
        <v>1121</v>
      </c>
      <c r="K246" s="244" t="s">
        <v>2184</v>
      </c>
      <c r="L246" s="244" t="s">
        <v>2185</v>
      </c>
      <c r="M246" s="244" t="s">
        <v>1219</v>
      </c>
    </row>
    <row r="247" ht="50" customHeight="1" spans="1:13">
      <c r="A247" s="244" t="s">
        <v>2186</v>
      </c>
      <c r="B247" s="244" t="s">
        <v>166</v>
      </c>
      <c r="C247" s="244" t="s">
        <v>1227</v>
      </c>
      <c r="D247" s="244" t="s">
        <v>1228</v>
      </c>
      <c r="E247" s="244" t="s">
        <v>2187</v>
      </c>
      <c r="F247" s="244"/>
      <c r="G247" s="244"/>
      <c r="H247" s="244"/>
      <c r="I247" s="244"/>
      <c r="J247" s="244" t="s">
        <v>1230</v>
      </c>
      <c r="K247" s="244" t="s">
        <v>2188</v>
      </c>
      <c r="L247" s="244" t="s">
        <v>1232</v>
      </c>
      <c r="M247" s="244" t="s">
        <v>1233</v>
      </c>
    </row>
    <row r="248" ht="50" customHeight="1" spans="1:13">
      <c r="A248" s="244" t="s">
        <v>2186</v>
      </c>
      <c r="B248" s="244" t="s">
        <v>156</v>
      </c>
      <c r="C248" s="244" t="s">
        <v>1234</v>
      </c>
      <c r="D248" s="244" t="s">
        <v>1235</v>
      </c>
      <c r="E248" s="244" t="s">
        <v>2187</v>
      </c>
      <c r="F248" s="244"/>
      <c r="G248" s="244"/>
      <c r="H248" s="244"/>
      <c r="I248" s="244"/>
      <c r="J248" s="244" t="s">
        <v>1206</v>
      </c>
      <c r="K248" s="244" t="s">
        <v>2188</v>
      </c>
      <c r="L248" s="244" t="s">
        <v>1232</v>
      </c>
      <c r="M248" s="244" t="s">
        <v>1233</v>
      </c>
    </row>
    <row r="249" ht="50" customHeight="1" spans="1:13">
      <c r="A249" s="244" t="s">
        <v>2186</v>
      </c>
      <c r="B249" s="244" t="s">
        <v>160</v>
      </c>
      <c r="C249" s="244" t="s">
        <v>161</v>
      </c>
      <c r="D249" s="244" t="s">
        <v>1235</v>
      </c>
      <c r="E249" s="244" t="s">
        <v>2189</v>
      </c>
      <c r="F249" s="244"/>
      <c r="G249" s="244"/>
      <c r="H249" s="244"/>
      <c r="I249" s="244"/>
      <c r="J249" s="244" t="s">
        <v>1206</v>
      </c>
      <c r="K249" s="244" t="s">
        <v>2188</v>
      </c>
      <c r="L249" s="244" t="s">
        <v>1232</v>
      </c>
      <c r="M249" s="244" t="s">
        <v>1233</v>
      </c>
    </row>
    <row r="250" ht="50" customHeight="1" spans="1:13">
      <c r="A250" s="244" t="s">
        <v>2186</v>
      </c>
      <c r="B250" s="244" t="s">
        <v>128</v>
      </c>
      <c r="C250" s="244" t="s">
        <v>129</v>
      </c>
      <c r="D250" s="244" t="s">
        <v>934</v>
      </c>
      <c r="E250" s="244" t="s">
        <v>2190</v>
      </c>
      <c r="F250" s="244" t="s">
        <v>2191</v>
      </c>
      <c r="G250" s="244"/>
      <c r="H250" s="244"/>
      <c r="I250" s="244" t="s">
        <v>1244</v>
      </c>
      <c r="J250" s="244" t="s">
        <v>1014</v>
      </c>
      <c r="K250" s="244" t="s">
        <v>1241</v>
      </c>
      <c r="L250" s="244" t="s">
        <v>2192</v>
      </c>
      <c r="M250" s="244" t="s">
        <v>1243</v>
      </c>
    </row>
    <row r="251" ht="50" customHeight="1" spans="1:13">
      <c r="A251" s="244" t="s">
        <v>2186</v>
      </c>
      <c r="B251" s="244" t="s">
        <v>154</v>
      </c>
      <c r="C251" s="244" t="s">
        <v>155</v>
      </c>
      <c r="D251" s="244" t="s">
        <v>1235</v>
      </c>
      <c r="E251" s="244" t="s">
        <v>2193</v>
      </c>
      <c r="F251" s="244"/>
      <c r="G251" s="244"/>
      <c r="H251" s="244"/>
      <c r="I251" s="244"/>
      <c r="J251" s="244" t="s">
        <v>1206</v>
      </c>
      <c r="K251" s="244" t="s">
        <v>2188</v>
      </c>
      <c r="L251" s="244" t="s">
        <v>1232</v>
      </c>
      <c r="M251" s="244" t="s">
        <v>1233</v>
      </c>
    </row>
    <row r="252" ht="50" customHeight="1" spans="1:13">
      <c r="A252" s="244" t="s">
        <v>2186</v>
      </c>
      <c r="B252" s="244" t="s">
        <v>164</v>
      </c>
      <c r="C252" s="244" t="s">
        <v>1246</v>
      </c>
      <c r="D252" s="244" t="s">
        <v>1247</v>
      </c>
      <c r="E252" s="244" t="s">
        <v>2194</v>
      </c>
      <c r="F252" s="244" t="s">
        <v>1249</v>
      </c>
      <c r="G252" s="244"/>
      <c r="H252" s="244"/>
      <c r="I252" s="244"/>
      <c r="J252" s="244" t="s">
        <v>1230</v>
      </c>
      <c r="K252" s="244" t="s">
        <v>2188</v>
      </c>
      <c r="L252" s="244" t="s">
        <v>1232</v>
      </c>
      <c r="M252" s="244" t="s">
        <v>1233</v>
      </c>
    </row>
    <row r="253" ht="50" customHeight="1" spans="1:13">
      <c r="A253" s="244" t="s">
        <v>2186</v>
      </c>
      <c r="B253" s="244" t="s">
        <v>162</v>
      </c>
      <c r="C253" s="244" t="s">
        <v>163</v>
      </c>
      <c r="D253" s="244" t="s">
        <v>1228</v>
      </c>
      <c r="E253" s="244" t="s">
        <v>2187</v>
      </c>
      <c r="F253" s="244"/>
      <c r="G253" s="244"/>
      <c r="H253" s="244"/>
      <c r="I253" s="244"/>
      <c r="J253" s="244" t="s">
        <v>1230</v>
      </c>
      <c r="K253" s="244" t="s">
        <v>2188</v>
      </c>
      <c r="L253" s="244" t="s">
        <v>1232</v>
      </c>
      <c r="M253" s="244" t="s">
        <v>1233</v>
      </c>
    </row>
    <row r="254" ht="50" customHeight="1" spans="1:13">
      <c r="A254" s="244" t="s">
        <v>2186</v>
      </c>
      <c r="B254" s="244" t="s">
        <v>158</v>
      </c>
      <c r="C254" s="244" t="s">
        <v>1251</v>
      </c>
      <c r="D254" s="244" t="s">
        <v>1235</v>
      </c>
      <c r="E254" s="244" t="s">
        <v>2195</v>
      </c>
      <c r="F254" s="244"/>
      <c r="G254" s="244"/>
      <c r="H254" s="244"/>
      <c r="I254" s="244"/>
      <c r="J254" s="244" t="s">
        <v>1206</v>
      </c>
      <c r="K254" s="244" t="s">
        <v>2188</v>
      </c>
      <c r="L254" s="244" t="s">
        <v>1232</v>
      </c>
      <c r="M254" s="244" t="s">
        <v>1233</v>
      </c>
    </row>
    <row r="255" ht="50" customHeight="1" spans="1:13">
      <c r="A255" s="244" t="s">
        <v>2186</v>
      </c>
      <c r="B255" s="244" t="s">
        <v>138</v>
      </c>
      <c r="C255" s="244" t="s">
        <v>139</v>
      </c>
      <c r="D255" s="244" t="s">
        <v>2015</v>
      </c>
      <c r="E255" s="244" t="s">
        <v>2196</v>
      </c>
      <c r="F255" s="244" t="s">
        <v>2197</v>
      </c>
      <c r="G255" s="244"/>
      <c r="H255" s="244"/>
      <c r="I255" s="244"/>
      <c r="J255" s="244" t="s">
        <v>1255</v>
      </c>
      <c r="K255" s="244" t="s">
        <v>1256</v>
      </c>
      <c r="L255" s="244" t="s">
        <v>2198</v>
      </c>
      <c r="M255" s="244" t="s">
        <v>2199</v>
      </c>
    </row>
  </sheetData>
  <sheetProtection formatCells="0" formatColumns="0" formatRows="0" insertRows="0" insertColumns="0" insertHyperlinks="0" deleteColumns="0" deleteRows="0" sort="0" autoFilter="0" pivotTables="0"/>
  <autoFilter xmlns:etc="http://www.wps.cn/officeDocument/2017/etCustomData" ref="A4:N255" etc:filterBottomFollowUsedRange="0">
    <extLst/>
  </autoFilter>
  <mergeCells count="88">
    <mergeCell ref="A1:I1"/>
    <mergeCell ref="B2:I2"/>
    <mergeCell ref="B3:I3"/>
    <mergeCell ref="A124:N124"/>
    <mergeCell ref="B125:N125"/>
    <mergeCell ref="B126:N126"/>
    <mergeCell ref="B127:N127"/>
    <mergeCell ref="B128:N128"/>
    <mergeCell ref="B129:N129"/>
    <mergeCell ref="B130:N130"/>
    <mergeCell ref="B131:N131"/>
    <mergeCell ref="B132:N132"/>
    <mergeCell ref="B133:N133"/>
    <mergeCell ref="B134:N134"/>
    <mergeCell ref="B135:N135"/>
    <mergeCell ref="B136:N136"/>
    <mergeCell ref="B137:N137"/>
    <mergeCell ref="B138:N138"/>
    <mergeCell ref="B139:N139"/>
    <mergeCell ref="B140:N140"/>
    <mergeCell ref="B141:N141"/>
    <mergeCell ref="B142:N142"/>
    <mergeCell ref="B143:N143"/>
    <mergeCell ref="B144:N144"/>
    <mergeCell ref="B145:N145"/>
    <mergeCell ref="B146:N146"/>
    <mergeCell ref="B147:N147"/>
    <mergeCell ref="B148:N148"/>
    <mergeCell ref="B149:N149"/>
    <mergeCell ref="B150:N150"/>
    <mergeCell ref="B151:N151"/>
    <mergeCell ref="B152:N152"/>
    <mergeCell ref="B153:N153"/>
    <mergeCell ref="B154:N154"/>
    <mergeCell ref="B155:N155"/>
    <mergeCell ref="B156:N156"/>
    <mergeCell ref="B157:N157"/>
    <mergeCell ref="B158:N158"/>
    <mergeCell ref="B159:N159"/>
    <mergeCell ref="B160:N160"/>
    <mergeCell ref="B161:N161"/>
    <mergeCell ref="B162:N162"/>
    <mergeCell ref="B163:N163"/>
    <mergeCell ref="B164:N164"/>
    <mergeCell ref="B165:N165"/>
    <mergeCell ref="B166:N166"/>
    <mergeCell ref="B167:N167"/>
    <mergeCell ref="B168:N168"/>
    <mergeCell ref="B169:N169"/>
    <mergeCell ref="B170:N170"/>
    <mergeCell ref="B171:N171"/>
    <mergeCell ref="B172:N172"/>
    <mergeCell ref="B173:N173"/>
    <mergeCell ref="B174:N174"/>
    <mergeCell ref="B175:N175"/>
    <mergeCell ref="B176:N176"/>
    <mergeCell ref="B177:N177"/>
    <mergeCell ref="B178:N178"/>
    <mergeCell ref="B179:N179"/>
    <mergeCell ref="B180:N180"/>
    <mergeCell ref="B181:N181"/>
    <mergeCell ref="B182:N182"/>
    <mergeCell ref="B183:N183"/>
    <mergeCell ref="B184:N184"/>
    <mergeCell ref="B185:N185"/>
    <mergeCell ref="B186:N186"/>
    <mergeCell ref="A187:M187"/>
    <mergeCell ref="A5:A31"/>
    <mergeCell ref="A36:A92"/>
    <mergeCell ref="A93:A104"/>
    <mergeCell ref="A106:A118"/>
    <mergeCell ref="A119:A123"/>
    <mergeCell ref="A127:A136"/>
    <mergeCell ref="A137:A145"/>
    <mergeCell ref="A146:A150"/>
    <mergeCell ref="A156:A183"/>
    <mergeCell ref="A184:A185"/>
    <mergeCell ref="A189:A193"/>
    <mergeCell ref="A194:A223"/>
    <mergeCell ref="A224:A227"/>
    <mergeCell ref="A228:A229"/>
    <mergeCell ref="A230:A237"/>
    <mergeCell ref="A238:A246"/>
    <mergeCell ref="A247:A255"/>
    <mergeCell ref="B111:B112"/>
    <mergeCell ref="B119:B123"/>
    <mergeCell ref="C119:C123"/>
    <mergeCell ref="J1:N3"/>
  </mergeCells>
  <hyperlinks>
    <hyperlink ref="J1" location="'报价总目录'!D5" display="返回主目录"/>
  </hyperlink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70AD47"/>
  </sheetPr>
  <dimension ref="B1:O115"/>
  <sheetViews>
    <sheetView topLeftCell="H2" workbookViewId="0">
      <selection activeCell="L13" sqref="L13"/>
    </sheetView>
  </sheetViews>
  <sheetFormatPr defaultColWidth="9" defaultRowHeight="13.5"/>
  <cols>
    <col min="14" max="14" width="25.5" customWidth="1"/>
  </cols>
  <sheetData>
    <row r="1" ht="60" spans="2:15">
      <c r="B1" s="51" t="s">
        <v>1541</v>
      </c>
      <c r="C1" s="52"/>
      <c r="D1" s="53" t="s">
        <v>2200</v>
      </c>
      <c r="E1" s="53" t="s">
        <v>2201</v>
      </c>
      <c r="F1" s="54" t="s">
        <v>2202</v>
      </c>
      <c r="G1" s="169" t="s">
        <v>1545</v>
      </c>
      <c r="H1" s="169" t="s">
        <v>1546</v>
      </c>
      <c r="I1" s="105" t="s">
        <v>2203</v>
      </c>
      <c r="J1" s="105" t="s">
        <v>2204</v>
      </c>
      <c r="K1" s="53" t="s">
        <v>2201</v>
      </c>
      <c r="L1" s="53" t="s">
        <v>2200</v>
      </c>
      <c r="M1" s="105" t="s">
        <v>2205</v>
      </c>
      <c r="N1" s="209" t="s">
        <v>1550</v>
      </c>
      <c r="O1" s="107" t="s">
        <v>2206</v>
      </c>
    </row>
    <row r="2" ht="181.5" customHeight="1" spans="2:15">
      <c r="B2" s="57" t="s">
        <v>24</v>
      </c>
      <c r="C2" s="58" t="s">
        <v>25</v>
      </c>
      <c r="D2" s="59">
        <v>25</v>
      </c>
      <c r="E2" s="59">
        <v>120</v>
      </c>
      <c r="F2" s="60" t="s">
        <v>1551</v>
      </c>
      <c r="G2" s="202">
        <v>0</v>
      </c>
      <c r="H2" s="202">
        <v>0.15</v>
      </c>
      <c r="I2" s="111" t="s">
        <v>682</v>
      </c>
      <c r="J2" s="111" t="s">
        <v>2207</v>
      </c>
      <c r="K2" s="210">
        <v>129</v>
      </c>
      <c r="L2" s="210">
        <v>25</v>
      </c>
      <c r="M2" s="111" t="s">
        <v>2208</v>
      </c>
      <c r="N2" s="111" t="s">
        <v>2209</v>
      </c>
      <c r="O2" s="114" t="s">
        <v>2210</v>
      </c>
    </row>
    <row r="3" ht="16.5" spans="2:15">
      <c r="B3" s="57" t="s">
        <v>24</v>
      </c>
      <c r="C3" s="58" t="s">
        <v>25</v>
      </c>
      <c r="D3" s="59">
        <v>22</v>
      </c>
      <c r="E3" s="59">
        <v>120</v>
      </c>
      <c r="F3" s="60" t="s">
        <v>1556</v>
      </c>
      <c r="G3" s="202">
        <v>0.151</v>
      </c>
      <c r="H3" s="202">
        <v>0.3</v>
      </c>
      <c r="I3" s="111"/>
      <c r="J3" s="111"/>
      <c r="K3" s="210">
        <v>129</v>
      </c>
      <c r="L3" s="210">
        <v>22</v>
      </c>
      <c r="M3" s="111"/>
      <c r="N3" s="111"/>
      <c r="O3" s="114"/>
    </row>
    <row r="4" ht="33" spans="2:15">
      <c r="B4" s="57" t="s">
        <v>24</v>
      </c>
      <c r="C4" s="58" t="s">
        <v>25</v>
      </c>
      <c r="D4" s="59">
        <v>22</v>
      </c>
      <c r="E4" s="59">
        <v>110</v>
      </c>
      <c r="F4" s="60" t="s">
        <v>1557</v>
      </c>
      <c r="G4" s="202">
        <v>0.301</v>
      </c>
      <c r="H4" s="202">
        <v>0.453</v>
      </c>
      <c r="I4" s="111"/>
      <c r="J4" s="111"/>
      <c r="K4" s="210">
        <v>115</v>
      </c>
      <c r="L4" s="210">
        <v>22</v>
      </c>
      <c r="M4" s="111"/>
      <c r="N4" s="111"/>
      <c r="O4" s="114"/>
    </row>
    <row r="5" ht="16.5" spans="2:15">
      <c r="B5" s="57" t="s">
        <v>24</v>
      </c>
      <c r="C5" s="58" t="s">
        <v>25</v>
      </c>
      <c r="D5" s="59">
        <v>22</v>
      </c>
      <c r="E5" s="59">
        <v>110</v>
      </c>
      <c r="F5" s="60" t="s">
        <v>1558</v>
      </c>
      <c r="G5" s="202">
        <v>0.454</v>
      </c>
      <c r="H5" s="202">
        <v>0.7</v>
      </c>
      <c r="I5" s="111"/>
      <c r="J5" s="111"/>
      <c r="K5" s="210">
        <v>108</v>
      </c>
      <c r="L5" s="210">
        <v>22</v>
      </c>
      <c r="M5" s="111"/>
      <c r="N5" s="111"/>
      <c r="O5" s="114"/>
    </row>
    <row r="6" ht="33" spans="2:15">
      <c r="B6" s="57" t="s">
        <v>24</v>
      </c>
      <c r="C6" s="58" t="s">
        <v>25</v>
      </c>
      <c r="D6" s="59">
        <v>12</v>
      </c>
      <c r="E6" s="59">
        <v>110</v>
      </c>
      <c r="F6" s="60" t="s">
        <v>1559</v>
      </c>
      <c r="G6" s="202">
        <v>0.701</v>
      </c>
      <c r="H6" s="202">
        <v>1.814</v>
      </c>
      <c r="I6" s="111"/>
      <c r="J6" s="111"/>
      <c r="K6" s="210">
        <v>108</v>
      </c>
      <c r="L6" s="210">
        <v>12</v>
      </c>
      <c r="M6" s="111"/>
      <c r="N6" s="111"/>
      <c r="O6" s="114"/>
    </row>
    <row r="7" ht="16.5" spans="2:15">
      <c r="B7" s="57" t="s">
        <v>24</v>
      </c>
      <c r="C7" s="58" t="s">
        <v>25</v>
      </c>
      <c r="D7" s="59">
        <v>9</v>
      </c>
      <c r="E7" s="59">
        <v>122</v>
      </c>
      <c r="F7" s="60" t="s">
        <v>2211</v>
      </c>
      <c r="G7" s="202">
        <v>1.815</v>
      </c>
      <c r="H7" s="202">
        <v>10</v>
      </c>
      <c r="I7" s="111"/>
      <c r="J7" s="111"/>
      <c r="K7" s="210">
        <v>124</v>
      </c>
      <c r="L7" s="210">
        <v>9</v>
      </c>
      <c r="M7" s="111"/>
      <c r="N7" s="111"/>
      <c r="O7" s="114"/>
    </row>
    <row r="8" ht="16.5" customHeight="1" spans="2:15">
      <c r="B8" s="62" t="s">
        <v>38</v>
      </c>
      <c r="C8" s="58" t="s">
        <v>39</v>
      </c>
      <c r="D8" s="59">
        <v>21</v>
      </c>
      <c r="E8" s="59">
        <v>118</v>
      </c>
      <c r="F8" s="60" t="s">
        <v>1621</v>
      </c>
      <c r="G8" s="202">
        <v>0</v>
      </c>
      <c r="H8" s="202">
        <v>0.2</v>
      </c>
      <c r="I8" s="211" t="s">
        <v>677</v>
      </c>
      <c r="J8" s="212" t="s">
        <v>1564</v>
      </c>
      <c r="K8" s="210">
        <v>118</v>
      </c>
      <c r="L8" s="210">
        <v>21</v>
      </c>
      <c r="M8" s="213" t="s">
        <v>1651</v>
      </c>
      <c r="N8" s="213" t="s">
        <v>2212</v>
      </c>
      <c r="O8" s="113" t="s">
        <v>2210</v>
      </c>
    </row>
    <row r="9" ht="16.5" spans="2:15">
      <c r="B9" s="62" t="s">
        <v>38</v>
      </c>
      <c r="C9" s="58" t="s">
        <v>39</v>
      </c>
      <c r="D9" s="59">
        <v>18</v>
      </c>
      <c r="E9" s="59">
        <v>118</v>
      </c>
      <c r="F9" s="60" t="s">
        <v>2213</v>
      </c>
      <c r="G9" s="202">
        <v>0.201</v>
      </c>
      <c r="H9" s="202">
        <v>0.6</v>
      </c>
      <c r="I9" s="211"/>
      <c r="J9" s="212"/>
      <c r="K9" s="210">
        <v>118</v>
      </c>
      <c r="L9" s="210">
        <v>18</v>
      </c>
      <c r="M9" s="213"/>
      <c r="N9" s="213"/>
      <c r="O9" s="113"/>
    </row>
    <row r="10" ht="16.5" spans="2:15">
      <c r="B10" s="62" t="s">
        <v>38</v>
      </c>
      <c r="C10" s="58" t="s">
        <v>39</v>
      </c>
      <c r="D10" s="59">
        <v>18</v>
      </c>
      <c r="E10" s="59">
        <v>108</v>
      </c>
      <c r="F10" s="60" t="s">
        <v>2214</v>
      </c>
      <c r="G10" s="202">
        <v>0.601</v>
      </c>
      <c r="H10" s="202">
        <v>10</v>
      </c>
      <c r="I10" s="211"/>
      <c r="J10" s="212"/>
      <c r="K10" s="210">
        <v>108</v>
      </c>
      <c r="L10" s="210">
        <v>18</v>
      </c>
      <c r="M10" s="213"/>
      <c r="N10" s="213"/>
      <c r="O10" s="113"/>
    </row>
    <row r="11" ht="27.75" customHeight="1" spans="2:15">
      <c r="B11" s="203" t="s">
        <v>26</v>
      </c>
      <c r="C11" s="58" t="s">
        <v>27</v>
      </c>
      <c r="D11" s="59">
        <v>16</v>
      </c>
      <c r="E11" s="59">
        <v>60</v>
      </c>
      <c r="F11" s="60" t="s">
        <v>1562</v>
      </c>
      <c r="G11" s="202">
        <v>0</v>
      </c>
      <c r="H11" s="202">
        <v>0.3</v>
      </c>
      <c r="I11" s="188" t="s">
        <v>677</v>
      </c>
      <c r="J11" s="188" t="s">
        <v>2215</v>
      </c>
      <c r="K11" s="210">
        <v>54</v>
      </c>
      <c r="L11" s="210">
        <v>16</v>
      </c>
      <c r="M11" s="214" t="s">
        <v>2216</v>
      </c>
      <c r="N11" s="115" t="s">
        <v>2217</v>
      </c>
      <c r="O11" s="215" t="s">
        <v>2210</v>
      </c>
    </row>
    <row r="12" ht="16.5" spans="2:15">
      <c r="B12" s="203" t="s">
        <v>26</v>
      </c>
      <c r="C12" s="58" t="s">
        <v>27</v>
      </c>
      <c r="D12" s="59">
        <v>16</v>
      </c>
      <c r="E12" s="59">
        <v>66</v>
      </c>
      <c r="F12" s="60" t="s">
        <v>2218</v>
      </c>
      <c r="G12" s="202">
        <v>0.301</v>
      </c>
      <c r="H12" s="202">
        <v>5</v>
      </c>
      <c r="I12" s="188"/>
      <c r="J12" s="188"/>
      <c r="K12" s="210">
        <v>56</v>
      </c>
      <c r="L12" s="210">
        <v>16</v>
      </c>
      <c r="M12" s="214"/>
      <c r="N12" s="115"/>
      <c r="O12" s="215"/>
    </row>
    <row r="13" ht="27.75" customHeight="1" spans="2:15">
      <c r="B13" s="204" t="s">
        <v>28</v>
      </c>
      <c r="C13" s="58" t="s">
        <v>29</v>
      </c>
      <c r="D13" s="59">
        <v>21</v>
      </c>
      <c r="E13" s="59">
        <v>93</v>
      </c>
      <c r="F13" s="60" t="s">
        <v>1760</v>
      </c>
      <c r="G13" s="202">
        <v>0</v>
      </c>
      <c r="H13" s="202">
        <v>5</v>
      </c>
      <c r="I13" s="188" t="s">
        <v>2219</v>
      </c>
      <c r="J13" s="188" t="s">
        <v>2220</v>
      </c>
      <c r="K13" s="210">
        <v>90</v>
      </c>
      <c r="L13" s="210">
        <v>21</v>
      </c>
      <c r="M13" s="188" t="s">
        <v>1633</v>
      </c>
      <c r="N13" s="188" t="s">
        <v>2221</v>
      </c>
      <c r="O13" s="216" t="s">
        <v>2210</v>
      </c>
    </row>
    <row r="14" ht="16.5" spans="2:15">
      <c r="B14" s="204" t="s">
        <v>28</v>
      </c>
      <c r="C14" s="58" t="s">
        <v>29</v>
      </c>
      <c r="D14" s="59">
        <v>21</v>
      </c>
      <c r="E14" s="59">
        <v>80</v>
      </c>
      <c r="F14" s="60" t="s">
        <v>1624</v>
      </c>
      <c r="G14" s="202">
        <v>0.401</v>
      </c>
      <c r="H14" s="202">
        <v>3</v>
      </c>
      <c r="I14" s="188"/>
      <c r="J14" s="188"/>
      <c r="K14" s="210">
        <v>75</v>
      </c>
      <c r="L14" s="210">
        <v>21</v>
      </c>
      <c r="M14" s="188"/>
      <c r="N14" s="188"/>
      <c r="O14" s="216"/>
    </row>
    <row r="15" ht="16.5" customHeight="1" spans="2:15">
      <c r="B15" s="204" t="s">
        <v>72</v>
      </c>
      <c r="C15" s="58" t="s">
        <v>73</v>
      </c>
      <c r="D15" s="59">
        <v>22</v>
      </c>
      <c r="E15" s="59">
        <v>60</v>
      </c>
      <c r="F15" s="60" t="s">
        <v>1562</v>
      </c>
      <c r="G15" s="202">
        <v>0</v>
      </c>
      <c r="H15" s="202">
        <v>5</v>
      </c>
      <c r="I15" s="188" t="s">
        <v>677</v>
      </c>
      <c r="J15" s="188" t="s">
        <v>2215</v>
      </c>
      <c r="K15" s="210">
        <v>56</v>
      </c>
      <c r="L15" s="210">
        <v>22</v>
      </c>
      <c r="M15" s="217" t="s">
        <v>1633</v>
      </c>
      <c r="N15" s="218" t="s">
        <v>1638</v>
      </c>
      <c r="O15" s="215" t="s">
        <v>2210</v>
      </c>
    </row>
    <row r="16" ht="16.5" spans="2:15">
      <c r="B16" s="204" t="s">
        <v>72</v>
      </c>
      <c r="C16" s="58" t="s">
        <v>73</v>
      </c>
      <c r="D16" s="59">
        <v>22</v>
      </c>
      <c r="E16" s="59">
        <v>63</v>
      </c>
      <c r="F16" s="60" t="s">
        <v>2222</v>
      </c>
      <c r="G16" s="202">
        <v>0.301</v>
      </c>
      <c r="H16" s="202">
        <v>5</v>
      </c>
      <c r="I16" s="188"/>
      <c r="J16" s="188"/>
      <c r="K16" s="210">
        <v>59</v>
      </c>
      <c r="L16" s="210">
        <v>22</v>
      </c>
      <c r="M16" s="217"/>
      <c r="N16" s="218"/>
      <c r="O16" s="215"/>
    </row>
    <row r="17" ht="16.5" spans="2:15">
      <c r="B17" s="204" t="s">
        <v>72</v>
      </c>
      <c r="C17" s="58" t="s">
        <v>73</v>
      </c>
      <c r="D17" s="59">
        <v>22</v>
      </c>
      <c r="E17" s="59">
        <v>65</v>
      </c>
      <c r="F17" s="60" t="s">
        <v>2223</v>
      </c>
      <c r="G17" s="202">
        <v>3.001</v>
      </c>
      <c r="H17" s="202">
        <v>5</v>
      </c>
      <c r="I17" s="188"/>
      <c r="J17" s="188"/>
      <c r="K17" s="210">
        <v>61</v>
      </c>
      <c r="L17" s="210">
        <v>22</v>
      </c>
      <c r="M17" s="217"/>
      <c r="N17" s="218"/>
      <c r="O17" s="215"/>
    </row>
    <row r="18" ht="66" spans="2:15">
      <c r="B18" s="204" t="s">
        <v>32</v>
      </c>
      <c r="C18" s="58" t="s">
        <v>33</v>
      </c>
      <c r="D18" s="59">
        <v>26</v>
      </c>
      <c r="E18" s="59">
        <v>85</v>
      </c>
      <c r="F18" s="60" t="s">
        <v>1655</v>
      </c>
      <c r="G18" s="202">
        <v>0</v>
      </c>
      <c r="H18" s="202">
        <v>1</v>
      </c>
      <c r="I18" s="188" t="s">
        <v>677</v>
      </c>
      <c r="J18" s="188" t="s">
        <v>2224</v>
      </c>
      <c r="K18" s="210">
        <v>75</v>
      </c>
      <c r="L18" s="210">
        <v>25</v>
      </c>
      <c r="M18" s="188" t="s">
        <v>2225</v>
      </c>
      <c r="N18" s="218"/>
      <c r="O18" s="215" t="s">
        <v>2210</v>
      </c>
    </row>
    <row r="19" ht="82.5" spans="2:15">
      <c r="B19" s="204" t="s">
        <v>34</v>
      </c>
      <c r="C19" s="58" t="s">
        <v>35</v>
      </c>
      <c r="D19" s="59">
        <v>18</v>
      </c>
      <c r="E19" s="59">
        <v>71</v>
      </c>
      <c r="F19" s="60" t="s">
        <v>1655</v>
      </c>
      <c r="G19" s="202">
        <v>0</v>
      </c>
      <c r="H19" s="202">
        <v>1</v>
      </c>
      <c r="I19" s="188" t="s">
        <v>2226</v>
      </c>
      <c r="J19" s="219" t="s">
        <v>1861</v>
      </c>
      <c r="K19" s="210">
        <v>67</v>
      </c>
      <c r="L19" s="210">
        <v>18</v>
      </c>
      <c r="M19" s="214" t="s">
        <v>1578</v>
      </c>
      <c r="N19" s="115" t="s">
        <v>2227</v>
      </c>
      <c r="O19" s="220" t="s">
        <v>2210</v>
      </c>
    </row>
    <row r="20" ht="16.5" customHeight="1" spans="2:15">
      <c r="B20" s="204" t="s">
        <v>30</v>
      </c>
      <c r="C20" s="58" t="s">
        <v>31</v>
      </c>
      <c r="D20" s="59">
        <v>23</v>
      </c>
      <c r="E20" s="59">
        <v>90</v>
      </c>
      <c r="F20" s="60" t="s">
        <v>1562</v>
      </c>
      <c r="G20" s="202">
        <v>0</v>
      </c>
      <c r="H20" s="202">
        <v>5</v>
      </c>
      <c r="I20" s="188" t="s">
        <v>2226</v>
      </c>
      <c r="J20" s="188" t="s">
        <v>1861</v>
      </c>
      <c r="K20" s="210">
        <v>90</v>
      </c>
      <c r="L20" s="210">
        <v>23</v>
      </c>
      <c r="M20" s="217" t="s">
        <v>1633</v>
      </c>
      <c r="N20" s="218" t="s">
        <v>2228</v>
      </c>
      <c r="O20" s="215" t="s">
        <v>2210</v>
      </c>
    </row>
    <row r="21" ht="16.5" spans="2:15">
      <c r="B21" s="204" t="s">
        <v>30</v>
      </c>
      <c r="C21" s="58" t="s">
        <v>31</v>
      </c>
      <c r="D21" s="59">
        <v>23</v>
      </c>
      <c r="E21" s="59">
        <v>80</v>
      </c>
      <c r="F21" s="60" t="s">
        <v>1567</v>
      </c>
      <c r="G21" s="202">
        <v>0.301</v>
      </c>
      <c r="H21" s="202">
        <v>5</v>
      </c>
      <c r="I21" s="188"/>
      <c r="J21" s="188"/>
      <c r="K21" s="210">
        <v>80</v>
      </c>
      <c r="L21" s="210">
        <v>23</v>
      </c>
      <c r="M21" s="217"/>
      <c r="N21" s="218"/>
      <c r="O21" s="215"/>
    </row>
    <row r="22" ht="16.5" spans="2:15">
      <c r="B22" s="204" t="s">
        <v>30</v>
      </c>
      <c r="C22" s="58" t="s">
        <v>31</v>
      </c>
      <c r="D22" s="59">
        <v>23</v>
      </c>
      <c r="E22" s="59">
        <v>75</v>
      </c>
      <c r="F22" s="60" t="s">
        <v>1643</v>
      </c>
      <c r="G22" s="202">
        <v>1.001</v>
      </c>
      <c r="H22" s="202">
        <v>1</v>
      </c>
      <c r="I22" s="188"/>
      <c r="J22" s="188"/>
      <c r="K22" s="210">
        <v>75</v>
      </c>
      <c r="L22" s="210">
        <v>23</v>
      </c>
      <c r="M22" s="217"/>
      <c r="N22" s="218"/>
      <c r="O22" s="215"/>
    </row>
    <row r="23" ht="99" customHeight="1" spans="2:15">
      <c r="B23" s="204" t="s">
        <v>36</v>
      </c>
      <c r="C23" s="58" t="s">
        <v>37</v>
      </c>
      <c r="D23" s="59">
        <v>23</v>
      </c>
      <c r="E23" s="59">
        <v>90</v>
      </c>
      <c r="F23" s="60" t="s">
        <v>1562</v>
      </c>
      <c r="G23" s="202">
        <v>0</v>
      </c>
      <c r="H23" s="202">
        <v>5</v>
      </c>
      <c r="I23" s="188" t="s">
        <v>2229</v>
      </c>
      <c r="J23" s="188" t="s">
        <v>1861</v>
      </c>
      <c r="K23" s="210">
        <v>90</v>
      </c>
      <c r="L23" s="210">
        <v>23</v>
      </c>
      <c r="M23" s="188" t="s">
        <v>2230</v>
      </c>
      <c r="N23" s="212" t="s">
        <v>1630</v>
      </c>
      <c r="O23" s="215" t="s">
        <v>2210</v>
      </c>
    </row>
    <row r="24" ht="16.5" spans="2:15">
      <c r="B24" s="204" t="s">
        <v>36</v>
      </c>
      <c r="C24" s="58" t="s">
        <v>37</v>
      </c>
      <c r="D24" s="59">
        <v>21</v>
      </c>
      <c r="E24" s="59">
        <v>78</v>
      </c>
      <c r="F24" s="60" t="s">
        <v>1567</v>
      </c>
      <c r="G24" s="202">
        <v>0.301</v>
      </c>
      <c r="H24" s="202">
        <v>5</v>
      </c>
      <c r="I24" s="188"/>
      <c r="J24" s="188"/>
      <c r="K24" s="210">
        <v>78</v>
      </c>
      <c r="L24" s="210">
        <v>21</v>
      </c>
      <c r="M24" s="188"/>
      <c r="N24" s="212"/>
      <c r="O24" s="215"/>
    </row>
    <row r="25" ht="16.5" spans="2:15">
      <c r="B25" s="204" t="s">
        <v>36</v>
      </c>
      <c r="C25" s="58" t="s">
        <v>37</v>
      </c>
      <c r="D25" s="59">
        <v>21</v>
      </c>
      <c r="E25" s="59">
        <v>72</v>
      </c>
      <c r="F25" s="60" t="s">
        <v>1712</v>
      </c>
      <c r="G25" s="202">
        <v>1.001</v>
      </c>
      <c r="H25" s="202">
        <v>5</v>
      </c>
      <c r="I25" s="188"/>
      <c r="J25" s="188"/>
      <c r="K25" s="210">
        <v>72</v>
      </c>
      <c r="L25" s="210">
        <v>21</v>
      </c>
      <c r="M25" s="188"/>
      <c r="N25" s="212"/>
      <c r="O25" s="215"/>
    </row>
    <row r="26" ht="16.5" customHeight="1" spans="2:15">
      <c r="B26" s="204" t="s">
        <v>92</v>
      </c>
      <c r="C26" s="58" t="s">
        <v>93</v>
      </c>
      <c r="D26" s="59">
        <v>24</v>
      </c>
      <c r="E26" s="59">
        <v>82</v>
      </c>
      <c r="F26" s="60" t="s">
        <v>1621</v>
      </c>
      <c r="G26" s="202">
        <v>0</v>
      </c>
      <c r="H26" s="202">
        <v>5</v>
      </c>
      <c r="I26" s="188" t="s">
        <v>2229</v>
      </c>
      <c r="J26" s="188" t="s">
        <v>1861</v>
      </c>
      <c r="K26" s="210">
        <v>78</v>
      </c>
      <c r="L26" s="210">
        <v>24</v>
      </c>
      <c r="M26" s="188" t="s">
        <v>1633</v>
      </c>
      <c r="N26" s="188" t="s">
        <v>1645</v>
      </c>
      <c r="O26" s="216" t="s">
        <v>2210</v>
      </c>
    </row>
    <row r="27" ht="16.5" spans="2:15">
      <c r="B27" s="204" t="s">
        <v>92</v>
      </c>
      <c r="C27" s="58" t="s">
        <v>93</v>
      </c>
      <c r="D27" s="176">
        <v>21</v>
      </c>
      <c r="E27" s="176">
        <v>82</v>
      </c>
      <c r="F27" s="205" t="s">
        <v>1716</v>
      </c>
      <c r="G27" s="202">
        <v>0.201</v>
      </c>
      <c r="H27" s="202">
        <v>5</v>
      </c>
      <c r="I27" s="188"/>
      <c r="J27" s="188"/>
      <c r="K27" s="221">
        <v>78</v>
      </c>
      <c r="L27" s="221">
        <v>21</v>
      </c>
      <c r="M27" s="188"/>
      <c r="N27" s="188"/>
      <c r="O27" s="216"/>
    </row>
    <row r="28" ht="16.5" spans="2:15">
      <c r="B28" s="204" t="s">
        <v>92</v>
      </c>
      <c r="C28" s="58" t="s">
        <v>93</v>
      </c>
      <c r="D28" s="176">
        <v>21</v>
      </c>
      <c r="E28" s="176">
        <v>72</v>
      </c>
      <c r="F28" s="205" t="s">
        <v>2231</v>
      </c>
      <c r="G28" s="202">
        <v>0.501</v>
      </c>
      <c r="H28" s="202">
        <v>5</v>
      </c>
      <c r="I28" s="188"/>
      <c r="J28" s="188"/>
      <c r="K28" s="221">
        <v>68</v>
      </c>
      <c r="L28" s="221">
        <v>21</v>
      </c>
      <c r="M28" s="188"/>
      <c r="N28" s="188"/>
      <c r="O28" s="216"/>
    </row>
    <row r="29" ht="33" customHeight="1" spans="2:15">
      <c r="B29" s="204" t="s">
        <v>58</v>
      </c>
      <c r="C29" s="58" t="s">
        <v>59</v>
      </c>
      <c r="D29" s="176">
        <v>59</v>
      </c>
      <c r="E29" s="176">
        <v>80</v>
      </c>
      <c r="F29" s="205" t="s">
        <v>1577</v>
      </c>
      <c r="G29" s="202">
        <v>0</v>
      </c>
      <c r="H29" s="202">
        <v>5</v>
      </c>
      <c r="I29" s="188" t="s">
        <v>2229</v>
      </c>
      <c r="J29" s="188" t="s">
        <v>1861</v>
      </c>
      <c r="K29" s="221">
        <v>80</v>
      </c>
      <c r="L29" s="221">
        <v>59</v>
      </c>
      <c r="M29" s="222" t="s">
        <v>1633</v>
      </c>
      <c r="N29" s="213" t="s">
        <v>1638</v>
      </c>
      <c r="O29" s="215" t="s">
        <v>2210</v>
      </c>
    </row>
    <row r="30" ht="16.5" spans="2:15">
      <c r="B30" s="204" t="s">
        <v>58</v>
      </c>
      <c r="C30" s="58" t="s">
        <v>59</v>
      </c>
      <c r="D30" s="176">
        <v>58</v>
      </c>
      <c r="E30" s="176">
        <v>70</v>
      </c>
      <c r="F30" s="205" t="s">
        <v>1712</v>
      </c>
      <c r="G30" s="202">
        <v>1.001</v>
      </c>
      <c r="H30" s="202">
        <v>1</v>
      </c>
      <c r="I30" s="188"/>
      <c r="J30" s="188"/>
      <c r="K30" s="221">
        <v>70</v>
      </c>
      <c r="L30" s="221">
        <v>58</v>
      </c>
      <c r="M30" s="222"/>
      <c r="N30" s="213"/>
      <c r="O30" s="215"/>
    </row>
    <row r="31" ht="27" customHeight="1" spans="2:15">
      <c r="B31" s="204" t="s">
        <v>66</v>
      </c>
      <c r="C31" s="58" t="s">
        <v>67</v>
      </c>
      <c r="D31" s="59">
        <v>25</v>
      </c>
      <c r="E31" s="59">
        <v>68</v>
      </c>
      <c r="F31" s="60" t="s">
        <v>1562</v>
      </c>
      <c r="G31" s="202">
        <v>0</v>
      </c>
      <c r="H31" s="202">
        <v>5</v>
      </c>
      <c r="I31" s="188" t="s">
        <v>2229</v>
      </c>
      <c r="J31" s="188" t="s">
        <v>1861</v>
      </c>
      <c r="K31" s="210">
        <v>68</v>
      </c>
      <c r="L31" s="210">
        <v>25</v>
      </c>
      <c r="M31" s="115" t="s">
        <v>1641</v>
      </c>
      <c r="N31" s="223" t="s">
        <v>2232</v>
      </c>
      <c r="O31" s="215" t="s">
        <v>2210</v>
      </c>
    </row>
    <row r="32" ht="16.5" spans="2:15">
      <c r="B32" s="204" t="s">
        <v>66</v>
      </c>
      <c r="C32" s="58" t="s">
        <v>67</v>
      </c>
      <c r="D32" s="59">
        <v>21</v>
      </c>
      <c r="E32" s="59">
        <v>72</v>
      </c>
      <c r="F32" s="60" t="s">
        <v>2218</v>
      </c>
      <c r="G32" s="202">
        <v>0.301</v>
      </c>
      <c r="H32" s="202">
        <v>5</v>
      </c>
      <c r="I32" s="188"/>
      <c r="J32" s="188"/>
      <c r="K32" s="210">
        <v>72</v>
      </c>
      <c r="L32" s="210">
        <v>21</v>
      </c>
      <c r="M32" s="115"/>
      <c r="N32" s="223"/>
      <c r="O32" s="215"/>
    </row>
    <row r="33" ht="33" customHeight="1" spans="2:15">
      <c r="B33" s="204" t="s">
        <v>60</v>
      </c>
      <c r="C33" s="58" t="s">
        <v>61</v>
      </c>
      <c r="D33" s="176">
        <v>16</v>
      </c>
      <c r="E33" s="176">
        <v>78</v>
      </c>
      <c r="F33" s="205" t="s">
        <v>1621</v>
      </c>
      <c r="G33" s="202">
        <v>0</v>
      </c>
      <c r="H33" s="202">
        <v>5</v>
      </c>
      <c r="I33" s="188" t="s">
        <v>2229</v>
      </c>
      <c r="J33" s="188" t="s">
        <v>1861</v>
      </c>
      <c r="K33" s="221">
        <v>78</v>
      </c>
      <c r="L33" s="221">
        <v>16</v>
      </c>
      <c r="M33" s="188" t="s">
        <v>1633</v>
      </c>
      <c r="N33" s="212" t="s">
        <v>1634</v>
      </c>
      <c r="O33" s="215" t="s">
        <v>2210</v>
      </c>
    </row>
    <row r="34" ht="16.5" spans="2:15">
      <c r="B34" s="204" t="s">
        <v>60</v>
      </c>
      <c r="C34" s="58" t="s">
        <v>61</v>
      </c>
      <c r="D34" s="176">
        <v>16</v>
      </c>
      <c r="E34" s="176">
        <v>70</v>
      </c>
      <c r="F34" s="205" t="s">
        <v>2233</v>
      </c>
      <c r="G34" s="202">
        <v>0.201</v>
      </c>
      <c r="H34" s="202">
        <v>5</v>
      </c>
      <c r="I34" s="188"/>
      <c r="J34" s="188"/>
      <c r="K34" s="221">
        <v>70</v>
      </c>
      <c r="L34" s="221">
        <v>16</v>
      </c>
      <c r="M34" s="188"/>
      <c r="N34" s="212"/>
      <c r="O34" s="215"/>
    </row>
    <row r="35" ht="27" customHeight="1" spans="2:15">
      <c r="B35" s="204" t="s">
        <v>68</v>
      </c>
      <c r="C35" s="58" t="s">
        <v>69</v>
      </c>
      <c r="D35" s="176">
        <v>26</v>
      </c>
      <c r="E35" s="176">
        <v>76</v>
      </c>
      <c r="F35" s="205" t="s">
        <v>1562</v>
      </c>
      <c r="G35" s="202">
        <v>0</v>
      </c>
      <c r="H35" s="202">
        <v>5</v>
      </c>
      <c r="I35" s="188" t="s">
        <v>2229</v>
      </c>
      <c r="J35" s="188" t="s">
        <v>1861</v>
      </c>
      <c r="K35" s="221">
        <v>76</v>
      </c>
      <c r="L35" s="221">
        <v>26</v>
      </c>
      <c r="M35" s="188" t="s">
        <v>1641</v>
      </c>
      <c r="N35" s="212" t="s">
        <v>2232</v>
      </c>
      <c r="O35" s="215" t="s">
        <v>2210</v>
      </c>
    </row>
    <row r="36" ht="16.5" spans="2:15">
      <c r="B36" s="204" t="s">
        <v>68</v>
      </c>
      <c r="C36" s="58" t="s">
        <v>69</v>
      </c>
      <c r="D36" s="176">
        <v>26</v>
      </c>
      <c r="E36" s="176">
        <v>70</v>
      </c>
      <c r="F36" s="205" t="s">
        <v>2218</v>
      </c>
      <c r="G36" s="202">
        <v>0.301</v>
      </c>
      <c r="H36" s="202">
        <v>5</v>
      </c>
      <c r="I36" s="188"/>
      <c r="J36" s="188"/>
      <c r="K36" s="221">
        <v>70</v>
      </c>
      <c r="L36" s="221">
        <v>26</v>
      </c>
      <c r="M36" s="188"/>
      <c r="N36" s="212"/>
      <c r="O36" s="215"/>
    </row>
    <row r="37" ht="33" customHeight="1" spans="2:15">
      <c r="B37" s="204" t="s">
        <v>50</v>
      </c>
      <c r="C37" s="58" t="s">
        <v>51</v>
      </c>
      <c r="D37" s="176">
        <v>70</v>
      </c>
      <c r="E37" s="176">
        <v>80</v>
      </c>
      <c r="F37" s="205" t="s">
        <v>1632</v>
      </c>
      <c r="G37" s="202">
        <v>0</v>
      </c>
      <c r="H37" s="202">
        <v>5</v>
      </c>
      <c r="I37" s="188" t="s">
        <v>2229</v>
      </c>
      <c r="J37" s="188" t="s">
        <v>1861</v>
      </c>
      <c r="K37" s="221">
        <v>80</v>
      </c>
      <c r="L37" s="221">
        <v>70</v>
      </c>
      <c r="M37" s="188" t="s">
        <v>1633</v>
      </c>
      <c r="N37" s="212"/>
      <c r="O37" s="215" t="s">
        <v>2210</v>
      </c>
    </row>
    <row r="38" ht="16.5" spans="2:15">
      <c r="B38" s="204" t="s">
        <v>50</v>
      </c>
      <c r="C38" s="58" t="s">
        <v>51</v>
      </c>
      <c r="D38" s="176">
        <v>70</v>
      </c>
      <c r="E38" s="176">
        <v>74</v>
      </c>
      <c r="F38" s="205" t="s">
        <v>2231</v>
      </c>
      <c r="G38" s="202">
        <v>0.501</v>
      </c>
      <c r="H38" s="202">
        <v>5</v>
      </c>
      <c r="I38" s="188"/>
      <c r="J38" s="188"/>
      <c r="K38" s="221">
        <v>74</v>
      </c>
      <c r="L38" s="221">
        <v>70</v>
      </c>
      <c r="M38" s="188"/>
      <c r="N38" s="212"/>
      <c r="O38" s="215"/>
    </row>
    <row r="39" ht="33" customHeight="1" spans="2:15">
      <c r="B39" s="204" t="s">
        <v>52</v>
      </c>
      <c r="C39" s="58" t="s">
        <v>53</v>
      </c>
      <c r="D39" s="176">
        <v>94</v>
      </c>
      <c r="E39" s="176">
        <v>84</v>
      </c>
      <c r="F39" s="205" t="s">
        <v>1632</v>
      </c>
      <c r="G39" s="202">
        <v>0</v>
      </c>
      <c r="H39" s="202">
        <v>5</v>
      </c>
      <c r="I39" s="188" t="s">
        <v>2229</v>
      </c>
      <c r="J39" s="188" t="s">
        <v>1861</v>
      </c>
      <c r="K39" s="221">
        <v>84</v>
      </c>
      <c r="L39" s="221">
        <v>94</v>
      </c>
      <c r="M39" s="188" t="s">
        <v>1633</v>
      </c>
      <c r="N39" s="212" t="s">
        <v>1638</v>
      </c>
      <c r="O39" s="215" t="s">
        <v>2210</v>
      </c>
    </row>
    <row r="40" ht="16.5" spans="2:15">
      <c r="B40" s="204" t="s">
        <v>52</v>
      </c>
      <c r="C40" s="58" t="s">
        <v>53</v>
      </c>
      <c r="D40" s="176">
        <v>94</v>
      </c>
      <c r="E40" s="176">
        <v>74</v>
      </c>
      <c r="F40" s="205" t="s">
        <v>2231</v>
      </c>
      <c r="G40" s="202">
        <v>0.501</v>
      </c>
      <c r="H40" s="202">
        <v>5</v>
      </c>
      <c r="I40" s="188"/>
      <c r="J40" s="188"/>
      <c r="K40" s="221">
        <v>74</v>
      </c>
      <c r="L40" s="221">
        <v>94</v>
      </c>
      <c r="M40" s="188"/>
      <c r="N40" s="212"/>
      <c r="O40" s="215"/>
    </row>
    <row r="41" ht="49.5" spans="2:15">
      <c r="B41" s="204" t="s">
        <v>76</v>
      </c>
      <c r="C41" s="58" t="s">
        <v>77</v>
      </c>
      <c r="D41" s="176">
        <v>66</v>
      </c>
      <c r="E41" s="176">
        <v>76</v>
      </c>
      <c r="F41" s="205" t="s">
        <v>1655</v>
      </c>
      <c r="G41" s="202">
        <v>0</v>
      </c>
      <c r="H41" s="202">
        <v>1</v>
      </c>
      <c r="I41" s="188" t="s">
        <v>2229</v>
      </c>
      <c r="J41" s="188" t="s">
        <v>1861</v>
      </c>
      <c r="K41" s="221">
        <v>76</v>
      </c>
      <c r="L41" s="221">
        <v>66</v>
      </c>
      <c r="M41" s="217" t="s">
        <v>1633</v>
      </c>
      <c r="N41" s="224" t="s">
        <v>1638</v>
      </c>
      <c r="O41" s="215" t="s">
        <v>2210</v>
      </c>
    </row>
    <row r="42" ht="29.25" customHeight="1" spans="2:15">
      <c r="B42" s="204" t="s">
        <v>48</v>
      </c>
      <c r="C42" s="58" t="s">
        <v>49</v>
      </c>
      <c r="D42" s="176">
        <v>21</v>
      </c>
      <c r="E42" s="176">
        <v>92</v>
      </c>
      <c r="F42" s="205" t="s">
        <v>1632</v>
      </c>
      <c r="G42" s="202">
        <v>0</v>
      </c>
      <c r="H42" s="202">
        <v>2</v>
      </c>
      <c r="I42" s="188" t="s">
        <v>2229</v>
      </c>
      <c r="J42" s="212" t="s">
        <v>1861</v>
      </c>
      <c r="K42" s="221">
        <v>90</v>
      </c>
      <c r="L42" s="221">
        <v>21</v>
      </c>
      <c r="M42" s="118" t="s">
        <v>1641</v>
      </c>
      <c r="N42" s="225" t="s">
        <v>2232</v>
      </c>
      <c r="O42" s="113" t="s">
        <v>2210</v>
      </c>
    </row>
    <row r="43" ht="16.5" spans="2:15">
      <c r="B43" s="204" t="s">
        <v>48</v>
      </c>
      <c r="C43" s="58" t="s">
        <v>49</v>
      </c>
      <c r="D43" s="176">
        <v>21</v>
      </c>
      <c r="E43" s="176">
        <v>80</v>
      </c>
      <c r="F43" s="205" t="s">
        <v>1717</v>
      </c>
      <c r="G43" s="202">
        <v>0.501</v>
      </c>
      <c r="H43" s="202">
        <v>5</v>
      </c>
      <c r="I43" s="188"/>
      <c r="J43" s="212"/>
      <c r="K43" s="221">
        <v>75</v>
      </c>
      <c r="L43" s="221">
        <v>21</v>
      </c>
      <c r="M43" s="118"/>
      <c r="N43" s="225"/>
      <c r="O43" s="113"/>
    </row>
    <row r="44" ht="16.5" spans="2:15">
      <c r="B44" s="204" t="s">
        <v>48</v>
      </c>
      <c r="C44" s="58" t="s">
        <v>49</v>
      </c>
      <c r="D44" s="176">
        <v>21</v>
      </c>
      <c r="E44" s="176">
        <v>72</v>
      </c>
      <c r="F44" s="205" t="s">
        <v>1712</v>
      </c>
      <c r="G44" s="202">
        <v>1.001</v>
      </c>
      <c r="H44" s="202">
        <v>1</v>
      </c>
      <c r="I44" s="188"/>
      <c r="J44" s="212"/>
      <c r="K44" s="221">
        <v>65</v>
      </c>
      <c r="L44" s="221">
        <v>21</v>
      </c>
      <c r="M44" s="118"/>
      <c r="N44" s="225"/>
      <c r="O44" s="113"/>
    </row>
    <row r="45" ht="34.5" customHeight="1" spans="2:15">
      <c r="B45" s="204" t="s">
        <v>44</v>
      </c>
      <c r="C45" s="58" t="s">
        <v>45</v>
      </c>
      <c r="D45" s="176">
        <v>22</v>
      </c>
      <c r="E45" s="176">
        <v>94</v>
      </c>
      <c r="F45" s="205" t="s">
        <v>1621</v>
      </c>
      <c r="G45" s="202">
        <v>0</v>
      </c>
      <c r="H45" s="202">
        <v>2</v>
      </c>
      <c r="I45" s="188" t="s">
        <v>2229</v>
      </c>
      <c r="J45" s="188" t="s">
        <v>1861</v>
      </c>
      <c r="K45" s="221">
        <v>94</v>
      </c>
      <c r="L45" s="221">
        <v>22</v>
      </c>
      <c r="M45" s="118" t="s">
        <v>1641</v>
      </c>
      <c r="N45" s="225" t="s">
        <v>2232</v>
      </c>
      <c r="O45" s="215" t="s">
        <v>2210</v>
      </c>
    </row>
    <row r="46" ht="16.5" spans="2:15">
      <c r="B46" s="204" t="s">
        <v>44</v>
      </c>
      <c r="C46" s="58" t="s">
        <v>45</v>
      </c>
      <c r="D46" s="176">
        <v>22</v>
      </c>
      <c r="E46" s="176">
        <v>82</v>
      </c>
      <c r="F46" s="205" t="s">
        <v>1716</v>
      </c>
      <c r="G46" s="202">
        <v>0.201</v>
      </c>
      <c r="H46" s="202">
        <v>5</v>
      </c>
      <c r="I46" s="188"/>
      <c r="J46" s="188"/>
      <c r="K46" s="221">
        <v>82</v>
      </c>
      <c r="L46" s="221">
        <v>22</v>
      </c>
      <c r="M46" s="118"/>
      <c r="N46" s="225"/>
      <c r="O46" s="215"/>
    </row>
    <row r="47" ht="16.5" spans="2:15">
      <c r="B47" s="204" t="s">
        <v>44</v>
      </c>
      <c r="C47" s="58" t="s">
        <v>45</v>
      </c>
      <c r="D47" s="176">
        <v>18</v>
      </c>
      <c r="E47" s="176">
        <v>76</v>
      </c>
      <c r="F47" s="205" t="s">
        <v>2231</v>
      </c>
      <c r="G47" s="202">
        <v>0.501</v>
      </c>
      <c r="H47" s="202">
        <v>5</v>
      </c>
      <c r="I47" s="188"/>
      <c r="J47" s="188"/>
      <c r="K47" s="221">
        <v>76</v>
      </c>
      <c r="L47" s="221">
        <v>18</v>
      </c>
      <c r="M47" s="118"/>
      <c r="N47" s="225"/>
      <c r="O47" s="215"/>
    </row>
    <row r="48" ht="30.75" customHeight="1" spans="2:15">
      <c r="B48" s="204" t="s">
        <v>64</v>
      </c>
      <c r="C48" s="58" t="s">
        <v>65</v>
      </c>
      <c r="D48" s="176">
        <v>24</v>
      </c>
      <c r="E48" s="176">
        <v>103</v>
      </c>
      <c r="F48" s="205" t="s">
        <v>1562</v>
      </c>
      <c r="G48" s="202">
        <v>0</v>
      </c>
      <c r="H48" s="202">
        <v>0.3</v>
      </c>
      <c r="I48" s="188" t="s">
        <v>2229</v>
      </c>
      <c r="J48" s="188" t="s">
        <v>1861</v>
      </c>
      <c r="K48" s="221">
        <v>103</v>
      </c>
      <c r="L48" s="221">
        <v>24</v>
      </c>
      <c r="M48" s="115" t="s">
        <v>1641</v>
      </c>
      <c r="N48" s="223" t="s">
        <v>2232</v>
      </c>
      <c r="O48" s="215" t="s">
        <v>2210</v>
      </c>
    </row>
    <row r="49" ht="16.5" spans="2:15">
      <c r="B49" s="204" t="s">
        <v>64</v>
      </c>
      <c r="C49" s="58" t="s">
        <v>65</v>
      </c>
      <c r="D49" s="176">
        <v>21</v>
      </c>
      <c r="E49" s="176">
        <v>88</v>
      </c>
      <c r="F49" s="205" t="s">
        <v>1706</v>
      </c>
      <c r="G49" s="202">
        <v>0.301</v>
      </c>
      <c r="H49" s="202">
        <v>0.5</v>
      </c>
      <c r="I49" s="188"/>
      <c r="J49" s="188"/>
      <c r="K49" s="221">
        <v>88</v>
      </c>
      <c r="L49" s="221">
        <v>21</v>
      </c>
      <c r="M49" s="115"/>
      <c r="N49" s="223"/>
      <c r="O49" s="215"/>
    </row>
    <row r="50" ht="16.5" spans="2:15">
      <c r="B50" s="204" t="s">
        <v>64</v>
      </c>
      <c r="C50" s="58" t="s">
        <v>65</v>
      </c>
      <c r="D50" s="176">
        <v>21</v>
      </c>
      <c r="E50" s="176">
        <v>82</v>
      </c>
      <c r="F50" s="205" t="s">
        <v>2231</v>
      </c>
      <c r="G50" s="202">
        <v>0.501</v>
      </c>
      <c r="H50" s="202">
        <v>5</v>
      </c>
      <c r="I50" s="188"/>
      <c r="J50" s="188"/>
      <c r="K50" s="221">
        <v>82</v>
      </c>
      <c r="L50" s="221">
        <v>21</v>
      </c>
      <c r="M50" s="115"/>
      <c r="N50" s="223"/>
      <c r="O50" s="215"/>
    </row>
    <row r="51" ht="33" customHeight="1" spans="2:15">
      <c r="B51" s="204" t="s">
        <v>42</v>
      </c>
      <c r="C51" s="58" t="s">
        <v>43</v>
      </c>
      <c r="D51" s="176">
        <v>58</v>
      </c>
      <c r="E51" s="176">
        <v>88</v>
      </c>
      <c r="F51" s="205" t="s">
        <v>1632</v>
      </c>
      <c r="G51" s="202">
        <v>0</v>
      </c>
      <c r="H51" s="202">
        <v>0.5</v>
      </c>
      <c r="I51" s="188" t="s">
        <v>2229</v>
      </c>
      <c r="J51" s="188" t="s">
        <v>1861</v>
      </c>
      <c r="K51" s="221">
        <v>88</v>
      </c>
      <c r="L51" s="221">
        <v>58</v>
      </c>
      <c r="M51" s="188" t="s">
        <v>1633</v>
      </c>
      <c r="N51" s="212"/>
      <c r="O51" s="215" t="s">
        <v>2210</v>
      </c>
    </row>
    <row r="52" ht="16.5" spans="2:15">
      <c r="B52" s="204" t="s">
        <v>42</v>
      </c>
      <c r="C52" s="58" t="s">
        <v>43</v>
      </c>
      <c r="D52" s="176">
        <v>50</v>
      </c>
      <c r="E52" s="176">
        <v>86</v>
      </c>
      <c r="F52" s="205" t="s">
        <v>2231</v>
      </c>
      <c r="G52" s="202">
        <v>0.501</v>
      </c>
      <c r="H52" s="202">
        <v>5</v>
      </c>
      <c r="I52" s="188"/>
      <c r="J52" s="188"/>
      <c r="K52" s="221">
        <v>86</v>
      </c>
      <c r="L52" s="221">
        <v>50</v>
      </c>
      <c r="M52" s="188"/>
      <c r="N52" s="212"/>
      <c r="O52" s="215"/>
    </row>
    <row r="53" ht="33" customHeight="1" spans="2:15">
      <c r="B53" s="204" t="s">
        <v>70</v>
      </c>
      <c r="C53" s="58" t="s">
        <v>71</v>
      </c>
      <c r="D53" s="176">
        <v>16</v>
      </c>
      <c r="E53" s="176">
        <v>88</v>
      </c>
      <c r="F53" s="205" t="s">
        <v>1562</v>
      </c>
      <c r="G53" s="202">
        <v>0</v>
      </c>
      <c r="H53" s="202">
        <v>0.3</v>
      </c>
      <c r="I53" s="188" t="s">
        <v>2229</v>
      </c>
      <c r="J53" s="188" t="s">
        <v>1861</v>
      </c>
      <c r="K53" s="221">
        <v>86</v>
      </c>
      <c r="L53" s="221">
        <v>16</v>
      </c>
      <c r="M53" s="188" t="s">
        <v>1657</v>
      </c>
      <c r="N53" s="188" t="s">
        <v>1638</v>
      </c>
      <c r="O53" s="113" t="s">
        <v>2210</v>
      </c>
    </row>
    <row r="54" ht="16.5" spans="2:15">
      <c r="B54" s="204" t="s">
        <v>70</v>
      </c>
      <c r="C54" s="58" t="s">
        <v>71</v>
      </c>
      <c r="D54" s="176">
        <v>21</v>
      </c>
      <c r="E54" s="176">
        <v>75</v>
      </c>
      <c r="F54" s="205" t="s">
        <v>2218</v>
      </c>
      <c r="G54" s="202">
        <v>0.301</v>
      </c>
      <c r="H54" s="202">
        <v>5</v>
      </c>
      <c r="I54" s="188"/>
      <c r="J54" s="188"/>
      <c r="K54" s="221">
        <v>72</v>
      </c>
      <c r="L54" s="221">
        <v>21</v>
      </c>
      <c r="M54" s="188"/>
      <c r="N54" s="188"/>
      <c r="O54" s="113"/>
    </row>
    <row r="55" ht="49.5" spans="2:15">
      <c r="B55" s="204" t="s">
        <v>56</v>
      </c>
      <c r="C55" s="58" t="s">
        <v>57</v>
      </c>
      <c r="D55" s="176">
        <v>68</v>
      </c>
      <c r="E55" s="176">
        <v>76</v>
      </c>
      <c r="F55" s="205" t="s">
        <v>1655</v>
      </c>
      <c r="G55" s="202">
        <v>0</v>
      </c>
      <c r="H55" s="202">
        <v>5</v>
      </c>
      <c r="I55" s="188" t="s">
        <v>2229</v>
      </c>
      <c r="J55" s="188" t="s">
        <v>1861</v>
      </c>
      <c r="K55" s="221">
        <v>76</v>
      </c>
      <c r="L55" s="221">
        <v>68</v>
      </c>
      <c r="M55" s="214" t="s">
        <v>1633</v>
      </c>
      <c r="N55" s="218"/>
      <c r="O55" s="215" t="s">
        <v>2210</v>
      </c>
    </row>
    <row r="56" ht="33" customHeight="1" spans="2:15">
      <c r="B56" s="204" t="s">
        <v>74</v>
      </c>
      <c r="C56" s="58" t="s">
        <v>75</v>
      </c>
      <c r="D56" s="176">
        <v>26</v>
      </c>
      <c r="E56" s="176">
        <v>88</v>
      </c>
      <c r="F56" s="205" t="s">
        <v>1562</v>
      </c>
      <c r="G56" s="202">
        <v>0</v>
      </c>
      <c r="H56" s="202">
        <v>0.3</v>
      </c>
      <c r="I56" s="188" t="s">
        <v>2229</v>
      </c>
      <c r="J56" s="188" t="s">
        <v>1861</v>
      </c>
      <c r="K56" s="221">
        <v>85</v>
      </c>
      <c r="L56" s="221">
        <v>26</v>
      </c>
      <c r="M56" s="188" t="s">
        <v>1649</v>
      </c>
      <c r="N56" s="224"/>
      <c r="O56" s="215" t="s">
        <v>2210</v>
      </c>
    </row>
    <row r="57" ht="16.5" spans="2:15">
      <c r="B57" s="204" t="s">
        <v>74</v>
      </c>
      <c r="C57" s="58" t="s">
        <v>75</v>
      </c>
      <c r="D57" s="176">
        <v>24</v>
      </c>
      <c r="E57" s="176">
        <v>80</v>
      </c>
      <c r="F57" s="205" t="s">
        <v>2218</v>
      </c>
      <c r="G57" s="202">
        <v>0.301</v>
      </c>
      <c r="H57" s="202">
        <v>5</v>
      </c>
      <c r="I57" s="188"/>
      <c r="J57" s="188"/>
      <c r="K57" s="221">
        <v>76</v>
      </c>
      <c r="L57" s="221">
        <v>24</v>
      </c>
      <c r="M57" s="188"/>
      <c r="N57" s="224"/>
      <c r="O57" s="215"/>
    </row>
    <row r="58" ht="39.75" customHeight="1" spans="2:15">
      <c r="B58" s="206" t="s">
        <v>54</v>
      </c>
      <c r="C58" s="58" t="s">
        <v>55</v>
      </c>
      <c r="D58" s="207">
        <v>21</v>
      </c>
      <c r="E58" s="207">
        <v>67</v>
      </c>
      <c r="F58" s="208" t="s">
        <v>1655</v>
      </c>
      <c r="G58" s="202">
        <v>0</v>
      </c>
      <c r="H58" s="202">
        <v>5</v>
      </c>
      <c r="I58" s="212" t="s">
        <v>2229</v>
      </c>
      <c r="J58" s="212" t="s">
        <v>1861</v>
      </c>
      <c r="K58" s="226">
        <v>67</v>
      </c>
      <c r="L58" s="226">
        <v>21</v>
      </c>
      <c r="M58" s="115" t="s">
        <v>1641</v>
      </c>
      <c r="N58" s="115" t="s">
        <v>2232</v>
      </c>
      <c r="O58" s="215" t="s">
        <v>2210</v>
      </c>
    </row>
    <row r="59" ht="24" customHeight="1" spans="2:15">
      <c r="B59" s="57" t="s">
        <v>46</v>
      </c>
      <c r="C59" s="58" t="s">
        <v>47</v>
      </c>
      <c r="D59" s="59">
        <v>25</v>
      </c>
      <c r="E59" s="59">
        <v>75</v>
      </c>
      <c r="F59" s="60" t="s">
        <v>1655</v>
      </c>
      <c r="G59" s="202">
        <v>0</v>
      </c>
      <c r="H59" s="202">
        <v>5</v>
      </c>
      <c r="I59" s="111" t="s">
        <v>2229</v>
      </c>
      <c r="J59" s="111" t="s">
        <v>1861</v>
      </c>
      <c r="K59" s="210">
        <v>75</v>
      </c>
      <c r="L59" s="210">
        <v>25</v>
      </c>
      <c r="M59" s="115" t="s">
        <v>1641</v>
      </c>
      <c r="N59" s="115" t="s">
        <v>2232</v>
      </c>
      <c r="O59" s="215" t="s">
        <v>2210</v>
      </c>
    </row>
    <row r="60" ht="27" customHeight="1" spans="2:15">
      <c r="B60" s="62" t="s">
        <v>40</v>
      </c>
      <c r="C60" s="58" t="s">
        <v>41</v>
      </c>
      <c r="D60" s="59">
        <v>26</v>
      </c>
      <c r="E60" s="59">
        <v>84</v>
      </c>
      <c r="F60" s="60" t="s">
        <v>1760</v>
      </c>
      <c r="G60" s="202">
        <v>0</v>
      </c>
      <c r="H60" s="202">
        <v>0.4</v>
      </c>
      <c r="I60" s="110" t="s">
        <v>2229</v>
      </c>
      <c r="J60" s="110" t="s">
        <v>1861</v>
      </c>
      <c r="K60" s="210">
        <v>84</v>
      </c>
      <c r="L60" s="210">
        <v>26</v>
      </c>
      <c r="M60" s="118" t="s">
        <v>2230</v>
      </c>
      <c r="N60" s="118" t="s">
        <v>1630</v>
      </c>
      <c r="O60" s="227" t="s">
        <v>2210</v>
      </c>
    </row>
    <row r="61" ht="16.5" spans="2:15">
      <c r="B61" s="62" t="s">
        <v>40</v>
      </c>
      <c r="C61" s="58" t="s">
        <v>41</v>
      </c>
      <c r="D61" s="59">
        <v>26</v>
      </c>
      <c r="E61" s="59">
        <v>78</v>
      </c>
      <c r="F61" s="60" t="s">
        <v>1624</v>
      </c>
      <c r="G61" s="202">
        <v>0.401</v>
      </c>
      <c r="H61" s="202">
        <v>5</v>
      </c>
      <c r="I61" s="110"/>
      <c r="J61" s="110"/>
      <c r="K61" s="210">
        <v>78</v>
      </c>
      <c r="L61" s="210">
        <v>26</v>
      </c>
      <c r="M61" s="118"/>
      <c r="N61" s="118"/>
      <c r="O61" s="227"/>
    </row>
    <row r="62" ht="40.5" customHeight="1" spans="2:15">
      <c r="B62" s="62" t="s">
        <v>78</v>
      </c>
      <c r="C62" s="58" t="s">
        <v>79</v>
      </c>
      <c r="D62" s="59">
        <v>22</v>
      </c>
      <c r="E62" s="59">
        <v>86</v>
      </c>
      <c r="F62" s="60" t="s">
        <v>1577</v>
      </c>
      <c r="G62" s="202">
        <v>0</v>
      </c>
      <c r="H62" s="202">
        <v>1</v>
      </c>
      <c r="I62" s="110" t="s">
        <v>1552</v>
      </c>
      <c r="J62" s="110" t="s">
        <v>1553</v>
      </c>
      <c r="K62" s="210">
        <v>86</v>
      </c>
      <c r="L62" s="210">
        <v>22</v>
      </c>
      <c r="M62" s="118" t="s">
        <v>2234</v>
      </c>
      <c r="N62" s="118" t="s">
        <v>2235</v>
      </c>
      <c r="O62" s="114" t="s">
        <v>2236</v>
      </c>
    </row>
    <row r="63" ht="16.5" spans="2:15">
      <c r="B63" s="62" t="s">
        <v>78</v>
      </c>
      <c r="C63" s="58" t="s">
        <v>79</v>
      </c>
      <c r="D63" s="59">
        <v>22</v>
      </c>
      <c r="E63" s="59">
        <v>94</v>
      </c>
      <c r="F63" s="60" t="s">
        <v>1704</v>
      </c>
      <c r="G63" s="202">
        <v>1.001</v>
      </c>
      <c r="H63" s="202">
        <v>2</v>
      </c>
      <c r="I63" s="110"/>
      <c r="J63" s="110"/>
      <c r="K63" s="210">
        <v>94</v>
      </c>
      <c r="L63" s="210">
        <v>22</v>
      </c>
      <c r="M63" s="118"/>
      <c r="N63" s="118"/>
      <c r="O63" s="114"/>
    </row>
    <row r="64" ht="16.5" spans="2:15">
      <c r="B64" s="62" t="s">
        <v>78</v>
      </c>
      <c r="C64" s="58" t="s">
        <v>79</v>
      </c>
      <c r="D64" s="59">
        <v>21</v>
      </c>
      <c r="E64" s="59">
        <v>86</v>
      </c>
      <c r="F64" s="60" t="s">
        <v>1743</v>
      </c>
      <c r="G64" s="202">
        <v>2.001</v>
      </c>
      <c r="H64" s="202">
        <v>30</v>
      </c>
      <c r="I64" s="110"/>
      <c r="J64" s="110"/>
      <c r="K64" s="210">
        <v>86</v>
      </c>
      <c r="L64" s="210">
        <v>21</v>
      </c>
      <c r="M64" s="118"/>
      <c r="N64" s="118"/>
      <c r="O64" s="114"/>
    </row>
    <row r="65" ht="66" customHeight="1" spans="2:15">
      <c r="B65" s="68" t="s">
        <v>80</v>
      </c>
      <c r="C65" s="58" t="s">
        <v>81</v>
      </c>
      <c r="D65" s="59">
        <v>23</v>
      </c>
      <c r="E65" s="59">
        <v>75</v>
      </c>
      <c r="F65" s="60" t="s">
        <v>1569</v>
      </c>
      <c r="G65" s="202">
        <v>0</v>
      </c>
      <c r="H65" s="202">
        <v>0.1</v>
      </c>
      <c r="I65" s="108" t="s">
        <v>677</v>
      </c>
      <c r="J65" s="108" t="s">
        <v>1552</v>
      </c>
      <c r="K65" s="210">
        <v>75</v>
      </c>
      <c r="L65" s="210">
        <v>23</v>
      </c>
      <c r="M65" s="115" t="s">
        <v>2237</v>
      </c>
      <c r="N65" s="118" t="s">
        <v>2238</v>
      </c>
      <c r="O65" s="114" t="s">
        <v>2210</v>
      </c>
    </row>
    <row r="66" ht="16.5" spans="2:15">
      <c r="B66" s="68" t="s">
        <v>80</v>
      </c>
      <c r="C66" s="58" t="s">
        <v>81</v>
      </c>
      <c r="D66" s="59">
        <v>21</v>
      </c>
      <c r="E66" s="59">
        <v>75</v>
      </c>
      <c r="F66" s="60" t="s">
        <v>1573</v>
      </c>
      <c r="G66" s="202">
        <v>0.1</v>
      </c>
      <c r="H66" s="202">
        <v>0.3</v>
      </c>
      <c r="I66" s="108"/>
      <c r="J66" s="108"/>
      <c r="K66" s="210">
        <v>75</v>
      </c>
      <c r="L66" s="210">
        <v>21</v>
      </c>
      <c r="M66" s="115"/>
      <c r="N66" s="118"/>
      <c r="O66" s="114"/>
    </row>
    <row r="67" ht="16.5" spans="2:15">
      <c r="B67" s="68" t="s">
        <v>80</v>
      </c>
      <c r="C67" s="58" t="s">
        <v>81</v>
      </c>
      <c r="D67" s="59">
        <v>19</v>
      </c>
      <c r="E67" s="59">
        <v>70</v>
      </c>
      <c r="F67" s="60" t="s">
        <v>1576</v>
      </c>
      <c r="G67" s="202">
        <v>0.3</v>
      </c>
      <c r="H67" s="202">
        <v>5</v>
      </c>
      <c r="I67" s="108"/>
      <c r="J67" s="108"/>
      <c r="K67" s="210">
        <v>70</v>
      </c>
      <c r="L67" s="210">
        <v>19</v>
      </c>
      <c r="M67" s="115"/>
      <c r="N67" s="118"/>
      <c r="O67" s="114"/>
    </row>
    <row r="68" ht="49.5" customHeight="1" spans="2:15">
      <c r="B68" s="57" t="s">
        <v>62</v>
      </c>
      <c r="C68" s="58" t="s">
        <v>63</v>
      </c>
      <c r="D68" s="59">
        <v>20</v>
      </c>
      <c r="E68" s="59">
        <v>67</v>
      </c>
      <c r="F68" s="65" t="s">
        <v>1577</v>
      </c>
      <c r="G68" s="202">
        <v>0</v>
      </c>
      <c r="H68" s="202">
        <v>1</v>
      </c>
      <c r="I68" s="108" t="s">
        <v>2226</v>
      </c>
      <c r="J68" s="108" t="s">
        <v>1861</v>
      </c>
      <c r="K68" s="210">
        <v>65</v>
      </c>
      <c r="L68" s="210">
        <v>20</v>
      </c>
      <c r="M68" s="108" t="s">
        <v>1578</v>
      </c>
      <c r="N68" s="108"/>
      <c r="O68" s="114" t="s">
        <v>2210</v>
      </c>
    </row>
    <row r="69" ht="16.5" spans="2:15">
      <c r="B69" s="57" t="s">
        <v>62</v>
      </c>
      <c r="C69" s="58" t="s">
        <v>63</v>
      </c>
      <c r="D69" s="59">
        <v>20</v>
      </c>
      <c r="E69" s="59">
        <v>76</v>
      </c>
      <c r="F69" s="65" t="s">
        <v>1704</v>
      </c>
      <c r="G69" s="202">
        <v>1.001</v>
      </c>
      <c r="H69" s="202">
        <v>2</v>
      </c>
      <c r="I69" s="108"/>
      <c r="J69" s="108"/>
      <c r="K69" s="210">
        <v>74</v>
      </c>
      <c r="L69" s="210">
        <v>20</v>
      </c>
      <c r="M69" s="108"/>
      <c r="N69" s="108"/>
      <c r="O69" s="114"/>
    </row>
    <row r="70" ht="16.5" spans="2:15">
      <c r="B70" s="57" t="s">
        <v>62</v>
      </c>
      <c r="C70" s="58" t="s">
        <v>63</v>
      </c>
      <c r="D70" s="59">
        <v>20</v>
      </c>
      <c r="E70" s="59">
        <v>70</v>
      </c>
      <c r="F70" s="65" t="s">
        <v>1708</v>
      </c>
      <c r="G70" s="202">
        <v>2.001</v>
      </c>
      <c r="H70" s="202">
        <v>5</v>
      </c>
      <c r="I70" s="108"/>
      <c r="J70" s="108"/>
      <c r="K70" s="210">
        <v>68</v>
      </c>
      <c r="L70" s="210">
        <v>20</v>
      </c>
      <c r="M70" s="108"/>
      <c r="N70" s="108"/>
      <c r="O70" s="114"/>
    </row>
    <row r="71" ht="16.5" spans="2:15">
      <c r="B71" s="70" t="s">
        <v>2239</v>
      </c>
      <c r="C71" s="40"/>
      <c r="D71" s="71"/>
      <c r="E71" s="71"/>
      <c r="F71" s="71"/>
      <c r="G71" s="60" t="s">
        <v>2240</v>
      </c>
      <c r="H71" s="60" t="s">
        <v>2240</v>
      </c>
      <c r="I71" s="120"/>
      <c r="J71" s="120"/>
      <c r="K71" s="71"/>
      <c r="L71" s="71"/>
      <c r="M71" s="56"/>
      <c r="N71" s="56"/>
      <c r="O71" s="122"/>
    </row>
    <row r="72" ht="148.5" customHeight="1" spans="2:15">
      <c r="B72" s="228" t="s">
        <v>2241</v>
      </c>
      <c r="C72" s="228"/>
      <c r="D72" s="228"/>
      <c r="E72" s="228"/>
      <c r="F72" s="228"/>
      <c r="G72" s="60"/>
      <c r="H72" s="60" t="s">
        <v>2240</v>
      </c>
      <c r="I72" s="228"/>
      <c r="J72" s="228"/>
      <c r="K72" s="228"/>
      <c r="L72" s="228"/>
      <c r="M72" s="228"/>
      <c r="N72" s="228"/>
      <c r="O72" s="228"/>
    </row>
    <row r="73" ht="16.5" spans="2:15">
      <c r="B73" s="75" t="s">
        <v>1586</v>
      </c>
      <c r="C73" s="76"/>
      <c r="D73" s="77"/>
      <c r="E73" s="78"/>
      <c r="F73" s="78"/>
      <c r="G73" s="60" t="str">
        <f>LEFT(F73,5)</f>
        <v/>
      </c>
      <c r="H73" s="60" t="s">
        <v>2240</v>
      </c>
      <c r="I73" s="123"/>
      <c r="J73" s="123"/>
      <c r="K73" s="78"/>
      <c r="L73" s="77"/>
      <c r="M73" s="124"/>
      <c r="N73" s="124"/>
      <c r="O73" s="126"/>
    </row>
    <row r="74" ht="16.5" spans="2:15">
      <c r="B74" s="80" t="s">
        <v>2242</v>
      </c>
      <c r="C74" s="81"/>
      <c r="D74" s="82"/>
      <c r="E74" s="83"/>
      <c r="F74" s="83"/>
      <c r="G74" s="60" t="str">
        <f>LEFT(F74,5)</f>
        <v/>
      </c>
      <c r="H74" s="60" t="s">
        <v>2240</v>
      </c>
      <c r="I74" s="127"/>
      <c r="J74" s="127"/>
      <c r="K74" s="83"/>
      <c r="L74" s="82"/>
      <c r="M74" s="22"/>
      <c r="N74" s="22"/>
      <c r="O74" s="128"/>
    </row>
    <row r="75" ht="16.5" customHeight="1" spans="2:15">
      <c r="B75" s="229" t="s">
        <v>2243</v>
      </c>
      <c r="C75" s="230"/>
      <c r="D75" s="231" t="s">
        <v>2244</v>
      </c>
      <c r="E75" s="231"/>
      <c r="F75" s="231"/>
      <c r="G75" s="60"/>
      <c r="H75" s="60" t="s">
        <v>2240</v>
      </c>
      <c r="I75" s="231"/>
      <c r="J75" s="231"/>
      <c r="K75" s="235"/>
      <c r="L75" s="235" t="s">
        <v>2244</v>
      </c>
      <c r="M75" s="231"/>
      <c r="N75" s="231"/>
      <c r="O75" s="231"/>
    </row>
    <row r="76" ht="16.5" spans="2:15">
      <c r="B76" s="80" t="s">
        <v>2245</v>
      </c>
      <c r="C76" s="81"/>
      <c r="D76" s="82"/>
      <c r="E76" s="83"/>
      <c r="F76" s="83"/>
      <c r="G76" s="60" t="str">
        <f>LEFT(F76,5)</f>
        <v/>
      </c>
      <c r="H76" s="60" t="s">
        <v>2240</v>
      </c>
      <c r="I76" s="127"/>
      <c r="J76" s="127"/>
      <c r="K76" s="83"/>
      <c r="L76" s="82"/>
      <c r="M76" s="22"/>
      <c r="N76" s="22"/>
      <c r="O76" s="128"/>
    </row>
    <row r="77" ht="16.5" customHeight="1" spans="2:15">
      <c r="B77" s="85" t="s">
        <v>2246</v>
      </c>
      <c r="C77" s="85"/>
      <c r="D77" s="85"/>
      <c r="E77" s="85"/>
      <c r="F77" s="85"/>
      <c r="G77" s="60"/>
      <c r="H77" s="60" t="s">
        <v>2240</v>
      </c>
      <c r="I77" s="85"/>
      <c r="J77" s="85"/>
      <c r="K77" s="85"/>
      <c r="L77" s="85"/>
      <c r="M77" s="85"/>
      <c r="N77" s="85"/>
      <c r="O77" s="85"/>
    </row>
    <row r="78" ht="16.5" customHeight="1" spans="2:15">
      <c r="B78" s="85" t="s">
        <v>2247</v>
      </c>
      <c r="C78" s="85"/>
      <c r="D78" s="85"/>
      <c r="E78" s="85"/>
      <c r="F78" s="85"/>
      <c r="G78" s="60"/>
      <c r="H78" s="60" t="s">
        <v>2240</v>
      </c>
      <c r="I78" s="85"/>
      <c r="J78" s="85"/>
      <c r="K78" s="85"/>
      <c r="L78" s="85"/>
      <c r="M78" s="85"/>
      <c r="N78" s="85"/>
      <c r="O78" s="85"/>
    </row>
    <row r="79" ht="16.5" customHeight="1" spans="2:15">
      <c r="B79" s="85" t="s">
        <v>1667</v>
      </c>
      <c r="C79" s="85"/>
      <c r="D79" s="85"/>
      <c r="E79" s="85"/>
      <c r="F79" s="85"/>
      <c r="G79" s="60"/>
      <c r="H79" s="60" t="s">
        <v>2240</v>
      </c>
      <c r="I79" s="85"/>
      <c r="J79" s="85"/>
      <c r="K79" s="85"/>
      <c r="L79" s="85"/>
      <c r="M79" s="85"/>
      <c r="N79" s="85"/>
      <c r="O79" s="85"/>
    </row>
    <row r="80" ht="16.5" customHeight="1" spans="2:15">
      <c r="B80" s="85" t="s">
        <v>1668</v>
      </c>
      <c r="C80" s="85"/>
      <c r="D80" s="85"/>
      <c r="E80" s="85"/>
      <c r="F80" s="85"/>
      <c r="G80" s="60"/>
      <c r="H80" s="60" t="s">
        <v>2240</v>
      </c>
      <c r="I80" s="85"/>
      <c r="J80" s="85"/>
      <c r="K80" s="85"/>
      <c r="L80" s="85"/>
      <c r="M80" s="85"/>
      <c r="N80" s="85"/>
      <c r="O80" s="85"/>
    </row>
    <row r="81" ht="16.5" customHeight="1" spans="2:15">
      <c r="B81" s="85" t="s">
        <v>1669</v>
      </c>
      <c r="C81" s="85"/>
      <c r="D81" s="85"/>
      <c r="E81" s="85"/>
      <c r="F81" s="85"/>
      <c r="G81" s="60"/>
      <c r="H81" s="60" t="s">
        <v>2240</v>
      </c>
      <c r="I81" s="85"/>
      <c r="J81" s="85"/>
      <c r="K81" s="85"/>
      <c r="L81" s="85"/>
      <c r="M81" s="85"/>
      <c r="N81" s="85"/>
      <c r="O81" s="85"/>
    </row>
    <row r="82" ht="16.5" customHeight="1" spans="2:15">
      <c r="B82" s="90" t="s">
        <v>1672</v>
      </c>
      <c r="C82" s="90"/>
      <c r="D82" s="90"/>
      <c r="E82" s="90"/>
      <c r="F82" s="90"/>
      <c r="G82" s="60"/>
      <c r="H82" s="60" t="s">
        <v>2240</v>
      </c>
      <c r="I82" s="90"/>
      <c r="J82" s="90"/>
      <c r="K82" s="90"/>
      <c r="L82" s="90"/>
      <c r="M82" s="90"/>
      <c r="N82" s="90"/>
      <c r="O82" s="90"/>
    </row>
    <row r="83" ht="16.5" spans="2:15">
      <c r="B83" s="92" t="s">
        <v>2248</v>
      </c>
      <c r="C83" s="93"/>
      <c r="D83" s="93"/>
      <c r="E83" s="232"/>
      <c r="F83" s="93"/>
      <c r="G83" s="60" t="str">
        <f>LEFT(F83,5)</f>
        <v/>
      </c>
      <c r="H83" s="60" t="s">
        <v>2240</v>
      </c>
      <c r="I83" s="93"/>
      <c r="J83" s="93"/>
      <c r="K83" s="232"/>
      <c r="L83" s="93"/>
      <c r="M83" s="88"/>
      <c r="N83" s="56"/>
      <c r="O83" s="129"/>
    </row>
    <row r="84" ht="16.5" customHeight="1" spans="2:15">
      <c r="B84" s="95" t="s">
        <v>1590</v>
      </c>
      <c r="C84" s="95"/>
      <c r="D84" s="95"/>
      <c r="E84" s="95"/>
      <c r="F84" s="95"/>
      <c r="G84" s="60"/>
      <c r="H84" s="60" t="s">
        <v>2240</v>
      </c>
      <c r="I84" s="95"/>
      <c r="J84" s="95"/>
      <c r="K84" s="95"/>
      <c r="L84" s="95"/>
      <c r="M84" s="95"/>
      <c r="N84" s="95"/>
      <c r="O84" s="95"/>
    </row>
    <row r="85" ht="16.5" customHeight="1" spans="2:15">
      <c r="B85" s="97" t="s">
        <v>1591</v>
      </c>
      <c r="C85" s="97"/>
      <c r="D85" s="97"/>
      <c r="E85" s="97"/>
      <c r="F85" s="97"/>
      <c r="G85" s="60"/>
      <c r="H85" s="60" t="s">
        <v>2240</v>
      </c>
      <c r="I85" s="97"/>
      <c r="J85" s="97"/>
      <c r="K85" s="97"/>
      <c r="L85" s="97"/>
      <c r="M85" s="97"/>
      <c r="N85" s="97"/>
      <c r="O85" s="97"/>
    </row>
    <row r="86" ht="16.5" customHeight="1" spans="2:15">
      <c r="B86" s="99" t="s">
        <v>2249</v>
      </c>
      <c r="C86" s="99"/>
      <c r="D86" s="99"/>
      <c r="E86" s="99"/>
      <c r="F86" s="99"/>
      <c r="G86" s="60"/>
      <c r="H86" s="60" t="s">
        <v>2240</v>
      </c>
      <c r="I86" s="99"/>
      <c r="J86" s="99"/>
      <c r="K86" s="99"/>
      <c r="L86" s="99"/>
      <c r="M86" s="99"/>
      <c r="N86" s="99"/>
      <c r="O86" s="99"/>
    </row>
    <row r="87" ht="16.5" customHeight="1" spans="2:15">
      <c r="B87" s="95" t="s">
        <v>1593</v>
      </c>
      <c r="C87" s="95"/>
      <c r="D87" s="95"/>
      <c r="E87" s="95"/>
      <c r="F87" s="95"/>
      <c r="G87" s="60"/>
      <c r="H87" s="60" t="s">
        <v>2240</v>
      </c>
      <c r="I87" s="95"/>
      <c r="J87" s="95"/>
      <c r="K87" s="95"/>
      <c r="L87" s="95"/>
      <c r="M87" s="95"/>
      <c r="N87" s="95"/>
      <c r="O87" s="95"/>
    </row>
    <row r="88" ht="33" customHeight="1" spans="2:15">
      <c r="B88" s="95" t="s">
        <v>1594</v>
      </c>
      <c r="C88" s="95"/>
      <c r="D88" s="95"/>
      <c r="E88" s="95"/>
      <c r="F88" s="95"/>
      <c r="G88" s="60"/>
      <c r="H88" s="60" t="s">
        <v>2240</v>
      </c>
      <c r="I88" s="95"/>
      <c r="J88" s="95"/>
      <c r="K88" s="95"/>
      <c r="L88" s="95"/>
      <c r="M88" s="95"/>
      <c r="N88" s="95"/>
      <c r="O88" s="95"/>
    </row>
    <row r="89" ht="66" customHeight="1" spans="2:15">
      <c r="B89" s="95" t="s">
        <v>2250</v>
      </c>
      <c r="C89" s="95"/>
      <c r="D89" s="95"/>
      <c r="E89" s="95"/>
      <c r="F89" s="95"/>
      <c r="G89" s="60"/>
      <c r="H89" s="60" t="s">
        <v>2240</v>
      </c>
      <c r="I89" s="95"/>
      <c r="J89" s="95"/>
      <c r="K89" s="95"/>
      <c r="L89" s="95"/>
      <c r="M89" s="95"/>
      <c r="N89" s="95"/>
      <c r="O89" s="95"/>
    </row>
    <row r="90" ht="82.5" customHeight="1" spans="2:15">
      <c r="B90" s="95" t="s">
        <v>2251</v>
      </c>
      <c r="C90" s="95"/>
      <c r="D90" s="95"/>
      <c r="E90" s="95"/>
      <c r="F90" s="95"/>
      <c r="G90" s="60"/>
      <c r="H90" s="60" t="s">
        <v>2240</v>
      </c>
      <c r="I90" s="95"/>
      <c r="J90" s="95"/>
      <c r="K90" s="95"/>
      <c r="L90" s="95"/>
      <c r="M90" s="95"/>
      <c r="N90" s="95"/>
      <c r="O90" s="95"/>
    </row>
    <row r="91" ht="33" customHeight="1" spans="2:15">
      <c r="B91" s="73" t="s">
        <v>2252</v>
      </c>
      <c r="C91" s="73"/>
      <c r="D91" s="73"/>
      <c r="E91" s="73"/>
      <c r="F91" s="73"/>
      <c r="G91" s="60"/>
      <c r="H91" s="60" t="s">
        <v>2240</v>
      </c>
      <c r="I91" s="73"/>
      <c r="J91" s="73"/>
      <c r="K91" s="73"/>
      <c r="L91" s="73"/>
      <c r="M91" s="73"/>
      <c r="N91" s="73"/>
      <c r="O91" s="73"/>
    </row>
    <row r="92" ht="16.5" spans="2:15">
      <c r="B92" s="87" t="s">
        <v>2253</v>
      </c>
      <c r="C92" s="88"/>
      <c r="D92" s="88"/>
      <c r="E92" s="88"/>
      <c r="F92" s="88"/>
      <c r="G92" s="60" t="str">
        <f>LEFT(F92,5)</f>
        <v/>
      </c>
      <c r="H92" s="60" t="s">
        <v>2240</v>
      </c>
      <c r="I92" s="88"/>
      <c r="J92" s="88"/>
      <c r="K92" s="88"/>
      <c r="L92" s="88"/>
      <c r="M92" s="88"/>
      <c r="N92" s="56"/>
      <c r="O92" s="129"/>
    </row>
    <row r="93" ht="16.5" customHeight="1" spans="2:15">
      <c r="B93" s="95" t="s">
        <v>2254</v>
      </c>
      <c r="C93" s="95"/>
      <c r="D93" s="95"/>
      <c r="E93" s="95"/>
      <c r="F93" s="95"/>
      <c r="G93" s="60"/>
      <c r="H93" s="60" t="s">
        <v>2240</v>
      </c>
      <c r="I93" s="95"/>
      <c r="J93" s="95"/>
      <c r="K93" s="95"/>
      <c r="L93" s="95"/>
      <c r="M93" s="95"/>
      <c r="N93" s="95"/>
      <c r="O93" s="95"/>
    </row>
    <row r="94" ht="16.5" customHeight="1" spans="2:15">
      <c r="B94" s="90" t="s">
        <v>2255</v>
      </c>
      <c r="C94" s="90"/>
      <c r="D94" s="90"/>
      <c r="E94" s="90"/>
      <c r="F94" s="90"/>
      <c r="G94" s="60"/>
      <c r="H94" s="60" t="s">
        <v>2240</v>
      </c>
      <c r="I94" s="90"/>
      <c r="J94" s="90"/>
      <c r="K94" s="90"/>
      <c r="L94" s="90"/>
      <c r="M94" s="90"/>
      <c r="N94" s="90"/>
      <c r="O94" s="90"/>
    </row>
    <row r="95" ht="16.5" customHeight="1" spans="2:15">
      <c r="B95" s="133" t="s">
        <v>2256</v>
      </c>
      <c r="C95" s="133"/>
      <c r="D95" s="133"/>
      <c r="E95" s="133"/>
      <c r="F95" s="133"/>
      <c r="G95" s="60"/>
      <c r="H95" s="60" t="s">
        <v>2240</v>
      </c>
      <c r="I95" s="133"/>
      <c r="J95" s="133"/>
      <c r="K95" s="133"/>
      <c r="L95" s="133"/>
      <c r="M95" s="133"/>
      <c r="N95" s="133"/>
      <c r="O95" s="133"/>
    </row>
    <row r="96" ht="33" customHeight="1" spans="2:15">
      <c r="B96" s="95" t="s">
        <v>1598</v>
      </c>
      <c r="C96" s="95"/>
      <c r="D96" s="95"/>
      <c r="E96" s="95"/>
      <c r="F96" s="95"/>
      <c r="G96" s="60"/>
      <c r="H96" s="60" t="s">
        <v>2240</v>
      </c>
      <c r="I96" s="95"/>
      <c r="J96" s="95"/>
      <c r="K96" s="95"/>
      <c r="L96" s="95"/>
      <c r="M96" s="95"/>
      <c r="N96" s="95"/>
      <c r="O96" s="95"/>
    </row>
    <row r="97" ht="16.5" customHeight="1" spans="2:15">
      <c r="B97" s="95" t="s">
        <v>2257</v>
      </c>
      <c r="C97" s="95"/>
      <c r="D97" s="95"/>
      <c r="E97" s="95"/>
      <c r="F97" s="95"/>
      <c r="G97" s="60"/>
      <c r="H97" s="60" t="s">
        <v>2240</v>
      </c>
      <c r="I97" s="95"/>
      <c r="J97" s="95"/>
      <c r="K97" s="95"/>
      <c r="L97" s="95"/>
      <c r="M97" s="95"/>
      <c r="N97" s="95"/>
      <c r="O97" s="95"/>
    </row>
    <row r="98" ht="16.5" customHeight="1" spans="2:15">
      <c r="B98" s="95" t="s">
        <v>1600</v>
      </c>
      <c r="C98" s="95"/>
      <c r="D98" s="95"/>
      <c r="E98" s="95"/>
      <c r="F98" s="95"/>
      <c r="G98" s="60"/>
      <c r="H98" s="60" t="s">
        <v>2240</v>
      </c>
      <c r="I98" s="95"/>
      <c r="J98" s="95"/>
      <c r="K98" s="95"/>
      <c r="L98" s="95"/>
      <c r="M98" s="95"/>
      <c r="N98" s="95"/>
      <c r="O98" s="95"/>
    </row>
    <row r="99" ht="16.5" customHeight="1" spans="2:15">
      <c r="B99" s="95" t="s">
        <v>2258</v>
      </c>
      <c r="C99" s="95"/>
      <c r="D99" s="95"/>
      <c r="E99" s="95"/>
      <c r="F99" s="95"/>
      <c r="G99" s="60"/>
      <c r="H99" s="60" t="s">
        <v>2240</v>
      </c>
      <c r="I99" s="95"/>
      <c r="J99" s="95"/>
      <c r="K99" s="95"/>
      <c r="L99" s="95"/>
      <c r="M99" s="95"/>
      <c r="N99" s="95"/>
      <c r="O99" s="95"/>
    </row>
    <row r="100" ht="16.5" customHeight="1" spans="2:15">
      <c r="B100" s="95" t="s">
        <v>1602</v>
      </c>
      <c r="C100" s="95"/>
      <c r="D100" s="95"/>
      <c r="E100" s="95"/>
      <c r="F100" s="95"/>
      <c r="G100" s="60"/>
      <c r="H100" s="60" t="s">
        <v>2240</v>
      </c>
      <c r="I100" s="95"/>
      <c r="J100" s="95"/>
      <c r="K100" s="95"/>
      <c r="L100" s="95"/>
      <c r="M100" s="95"/>
      <c r="N100" s="95"/>
      <c r="O100" s="95"/>
    </row>
    <row r="101" ht="16.5" customHeight="1" spans="2:15">
      <c r="B101" s="97" t="s">
        <v>1603</v>
      </c>
      <c r="C101" s="97"/>
      <c r="D101" s="97"/>
      <c r="E101" s="97"/>
      <c r="F101" s="97"/>
      <c r="G101" s="60"/>
      <c r="H101" s="60" t="s">
        <v>2240</v>
      </c>
      <c r="I101" s="97"/>
      <c r="J101" s="97"/>
      <c r="K101" s="97"/>
      <c r="L101" s="97"/>
      <c r="M101" s="97"/>
      <c r="N101" s="97"/>
      <c r="O101" s="97"/>
    </row>
    <row r="102" ht="16.5" customHeight="1" spans="2:15">
      <c r="B102" s="133" t="s">
        <v>2259</v>
      </c>
      <c r="C102" s="133"/>
      <c r="D102" s="133"/>
      <c r="E102" s="133"/>
      <c r="F102" s="133"/>
      <c r="G102" s="60"/>
      <c r="H102" s="60" t="s">
        <v>2240</v>
      </c>
      <c r="I102" s="133"/>
      <c r="J102" s="133"/>
      <c r="K102" s="133"/>
      <c r="L102" s="133"/>
      <c r="M102" s="133"/>
      <c r="N102" s="133"/>
      <c r="O102" s="133"/>
    </row>
    <row r="103" ht="49.5" customHeight="1" spans="2:15">
      <c r="B103" s="95" t="s">
        <v>1605</v>
      </c>
      <c r="C103" s="95"/>
      <c r="D103" s="95"/>
      <c r="E103" s="95"/>
      <c r="F103" s="95"/>
      <c r="G103" s="60"/>
      <c r="H103" s="60" t="s">
        <v>2240</v>
      </c>
      <c r="I103" s="95"/>
      <c r="J103" s="95"/>
      <c r="K103" s="95"/>
      <c r="L103" s="95"/>
      <c r="M103" s="95"/>
      <c r="N103" s="95"/>
      <c r="O103" s="95"/>
    </row>
    <row r="104" ht="49.5" customHeight="1" spans="2:15">
      <c r="B104" s="95" t="s">
        <v>2260</v>
      </c>
      <c r="C104" s="95"/>
      <c r="D104" s="95"/>
      <c r="E104" s="95"/>
      <c r="F104" s="95"/>
      <c r="G104" s="60"/>
      <c r="H104" s="60" t="s">
        <v>2240</v>
      </c>
      <c r="I104" s="95"/>
      <c r="J104" s="95"/>
      <c r="K104" s="95"/>
      <c r="L104" s="95"/>
      <c r="M104" s="95"/>
      <c r="N104" s="95"/>
      <c r="O104" s="95"/>
    </row>
    <row r="105" ht="49.5" customHeight="1" spans="2:15">
      <c r="B105" s="95" t="s">
        <v>2261</v>
      </c>
      <c r="C105" s="95"/>
      <c r="D105" s="95"/>
      <c r="E105" s="95"/>
      <c r="F105" s="95"/>
      <c r="G105" s="60"/>
      <c r="H105" s="60" t="s">
        <v>2240</v>
      </c>
      <c r="I105" s="95"/>
      <c r="J105" s="95"/>
      <c r="K105" s="95"/>
      <c r="L105" s="95"/>
      <c r="M105" s="95"/>
      <c r="N105" s="95"/>
      <c r="O105" s="95"/>
    </row>
    <row r="106" ht="16.5" customHeight="1" spans="2:15">
      <c r="B106" s="95" t="s">
        <v>1608</v>
      </c>
      <c r="C106" s="95"/>
      <c r="D106" s="95"/>
      <c r="E106" s="95"/>
      <c r="F106" s="95"/>
      <c r="G106" s="60"/>
      <c r="H106" s="60" t="s">
        <v>2240</v>
      </c>
      <c r="I106" s="95"/>
      <c r="J106" s="95"/>
      <c r="K106" s="95"/>
      <c r="L106" s="95"/>
      <c r="M106" s="95"/>
      <c r="N106" s="95"/>
      <c r="O106" s="95"/>
    </row>
    <row r="107" ht="16.5" customHeight="1" spans="2:15">
      <c r="B107" s="95" t="s">
        <v>1609</v>
      </c>
      <c r="C107" s="95"/>
      <c r="D107" s="95"/>
      <c r="E107" s="95"/>
      <c r="F107" s="95"/>
      <c r="G107" s="60"/>
      <c r="H107" s="60" t="s">
        <v>2240</v>
      </c>
      <c r="I107" s="95"/>
      <c r="J107" s="95"/>
      <c r="K107" s="95"/>
      <c r="L107" s="95"/>
      <c r="M107" s="95"/>
      <c r="N107" s="95"/>
      <c r="O107" s="95"/>
    </row>
    <row r="108" ht="16.5" customHeight="1" spans="2:15">
      <c r="B108" s="95" t="s">
        <v>1610</v>
      </c>
      <c r="C108" s="95"/>
      <c r="D108" s="95"/>
      <c r="E108" s="95"/>
      <c r="F108" s="95"/>
      <c r="G108" s="60"/>
      <c r="H108" s="60" t="s">
        <v>2240</v>
      </c>
      <c r="I108" s="95"/>
      <c r="J108" s="95"/>
      <c r="K108" s="95"/>
      <c r="L108" s="95"/>
      <c r="M108" s="95"/>
      <c r="N108" s="95"/>
      <c r="O108" s="95"/>
    </row>
    <row r="109" ht="16.5" customHeight="1" spans="2:15">
      <c r="B109" s="99" t="s">
        <v>2262</v>
      </c>
      <c r="C109" s="99"/>
      <c r="D109" s="99"/>
      <c r="E109" s="99"/>
      <c r="F109" s="99"/>
      <c r="G109" s="60"/>
      <c r="H109" s="60" t="s">
        <v>2240</v>
      </c>
      <c r="I109" s="99"/>
      <c r="J109" s="99"/>
      <c r="K109" s="99"/>
      <c r="L109" s="99"/>
      <c r="M109" s="99"/>
      <c r="N109" s="99"/>
      <c r="O109" s="99"/>
    </row>
    <row r="110" ht="16.5" customHeight="1" spans="2:15">
      <c r="B110" s="95" t="s">
        <v>2263</v>
      </c>
      <c r="C110" s="95"/>
      <c r="D110" s="95"/>
      <c r="E110" s="95"/>
      <c r="F110" s="95"/>
      <c r="G110" s="60"/>
      <c r="H110" s="60" t="s">
        <v>2240</v>
      </c>
      <c r="I110" s="95"/>
      <c r="J110" s="95"/>
      <c r="K110" s="95"/>
      <c r="L110" s="95"/>
      <c r="M110" s="95"/>
      <c r="N110" s="95"/>
      <c r="O110" s="95"/>
    </row>
    <row r="111" ht="16.5" customHeight="1" spans="2:15">
      <c r="B111" s="95" t="s">
        <v>2264</v>
      </c>
      <c r="C111" s="95"/>
      <c r="D111" s="95"/>
      <c r="E111" s="95"/>
      <c r="F111" s="95"/>
      <c r="G111" s="60"/>
      <c r="H111" s="60" t="s">
        <v>2240</v>
      </c>
      <c r="I111" s="95"/>
      <c r="J111" s="95"/>
      <c r="K111" s="95"/>
      <c r="L111" s="95"/>
      <c r="M111" s="95"/>
      <c r="N111" s="95"/>
      <c r="O111" s="95"/>
    </row>
    <row r="112" ht="33" customHeight="1" spans="2:15">
      <c r="B112" s="233" t="s">
        <v>2265</v>
      </c>
      <c r="C112" s="233"/>
      <c r="D112" s="233"/>
      <c r="E112" s="233"/>
      <c r="F112" s="233"/>
      <c r="G112" s="60"/>
      <c r="H112" s="60" t="s">
        <v>2240</v>
      </c>
      <c r="I112" s="233"/>
      <c r="J112" s="233"/>
      <c r="K112" s="233"/>
      <c r="L112" s="233"/>
      <c r="M112" s="233"/>
      <c r="N112" s="233"/>
      <c r="O112" s="236"/>
    </row>
    <row r="113" ht="17.25" customHeight="1" spans="2:15">
      <c r="B113" s="130" t="s">
        <v>2266</v>
      </c>
      <c r="C113" s="130"/>
      <c r="D113" s="130"/>
      <c r="E113" s="130"/>
      <c r="F113" s="130"/>
      <c r="G113" s="60"/>
      <c r="H113" s="60" t="s">
        <v>2240</v>
      </c>
      <c r="I113" s="130"/>
      <c r="J113" s="130"/>
      <c r="K113" s="130"/>
      <c r="L113" s="130"/>
      <c r="M113" s="130"/>
      <c r="N113" s="130"/>
      <c r="O113" s="237"/>
    </row>
    <row r="114" ht="33" customHeight="1" spans="2:15">
      <c r="B114" s="130" t="s">
        <v>1617</v>
      </c>
      <c r="C114" s="130"/>
      <c r="D114" s="130"/>
      <c r="E114" s="130"/>
      <c r="F114" s="130"/>
      <c r="G114" s="60"/>
      <c r="H114" s="60" t="s">
        <v>2240</v>
      </c>
      <c r="I114" s="130"/>
      <c r="J114" s="130"/>
      <c r="K114" s="130"/>
      <c r="L114" s="130"/>
      <c r="M114" s="130"/>
      <c r="N114" s="130"/>
      <c r="O114" s="237"/>
    </row>
    <row r="115" ht="17.25" customHeight="1" spans="2:15">
      <c r="B115" s="234" t="s">
        <v>2267</v>
      </c>
      <c r="C115" s="234"/>
      <c r="D115" s="234"/>
      <c r="E115" s="234"/>
      <c r="F115" s="234"/>
      <c r="G115" s="60"/>
      <c r="H115" s="60" t="s">
        <v>2240</v>
      </c>
      <c r="I115" s="234"/>
      <c r="J115" s="234"/>
      <c r="K115" s="234"/>
      <c r="L115" s="234"/>
      <c r="M115" s="234"/>
      <c r="N115" s="234"/>
      <c r="O115" s="238"/>
    </row>
  </sheetData>
  <sheetProtection formatCells="0" formatColumns="0" formatRows="0" insertRows="0" insertColumns="0" insertHyperlinks="0" deleteColumns="0" deleteRows="0" sort="0" autoFilter="0" pivotTables="0"/>
  <autoFilter xmlns:etc="http://www.wps.cn/officeDocument/2017/etCustomData" ref="B1:O115" etc:filterBottomFollowUsedRange="0">
    <extLst/>
  </autoFilter>
  <hyperlinks>
    <hyperlink ref="D75" location="特货电货承接范围!A1" display="特货电货承接范围!"/>
    <hyperlink ref="L75" location="特货电货承接范围!A1" display="特货电货承接范围!"/>
  </hyperlink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N51"/>
  <sheetViews>
    <sheetView topLeftCell="H2" workbookViewId="0">
      <selection activeCell="L13" sqref="L13"/>
    </sheetView>
  </sheetViews>
  <sheetFormatPr defaultColWidth="9" defaultRowHeight="13.5"/>
  <sheetData>
    <row r="1" ht="60" spans="2:14">
      <c r="B1" s="51" t="s">
        <v>1541</v>
      </c>
      <c r="C1" s="52"/>
      <c r="D1" s="53" t="s">
        <v>2200</v>
      </c>
      <c r="E1" s="53" t="s">
        <v>2201</v>
      </c>
      <c r="F1" s="53" t="s">
        <v>2202</v>
      </c>
      <c r="G1" s="169" t="s">
        <v>1545</v>
      </c>
      <c r="H1" s="169" t="s">
        <v>1546</v>
      </c>
      <c r="I1" s="105" t="s">
        <v>2203</v>
      </c>
      <c r="J1" s="105" t="s">
        <v>2204</v>
      </c>
      <c r="K1" s="53" t="s">
        <v>2201</v>
      </c>
      <c r="L1" s="53" t="s">
        <v>2200</v>
      </c>
      <c r="M1" s="105" t="s">
        <v>2205</v>
      </c>
      <c r="N1" s="184" t="s">
        <v>1550</v>
      </c>
    </row>
    <row r="2" ht="115.5" customHeight="1" spans="2:14">
      <c r="B2" s="170" t="s">
        <v>24</v>
      </c>
      <c r="C2" s="171" t="s">
        <v>25</v>
      </c>
      <c r="D2" s="172">
        <v>28</v>
      </c>
      <c r="E2" s="172">
        <v>94</v>
      </c>
      <c r="F2" s="173" t="s">
        <v>1569</v>
      </c>
      <c r="G2" s="174">
        <v>0</v>
      </c>
      <c r="H2" s="174">
        <v>0.1</v>
      </c>
      <c r="I2" s="111" t="s">
        <v>1769</v>
      </c>
      <c r="J2" s="185" t="s">
        <v>1853</v>
      </c>
      <c r="K2" s="172">
        <v>94</v>
      </c>
      <c r="L2" s="172">
        <v>28</v>
      </c>
      <c r="M2" s="186" t="s">
        <v>2268</v>
      </c>
      <c r="N2" s="187" t="s">
        <v>2269</v>
      </c>
    </row>
    <row r="3" ht="16.5" spans="2:14">
      <c r="B3" s="170" t="s">
        <v>24</v>
      </c>
      <c r="C3" s="171" t="s">
        <v>25</v>
      </c>
      <c r="D3" s="172">
        <v>26</v>
      </c>
      <c r="E3" s="172">
        <v>94</v>
      </c>
      <c r="F3" s="173" t="s">
        <v>1700</v>
      </c>
      <c r="G3" s="174">
        <v>0.101</v>
      </c>
      <c r="H3" s="173" t="s">
        <v>2270</v>
      </c>
      <c r="I3" s="111"/>
      <c r="J3" s="185"/>
      <c r="K3" s="172">
        <v>94</v>
      </c>
      <c r="L3" s="172">
        <v>26</v>
      </c>
      <c r="M3" s="186"/>
      <c r="N3" s="187"/>
    </row>
    <row r="4" ht="16.5" spans="2:14">
      <c r="B4" s="170" t="s">
        <v>24</v>
      </c>
      <c r="C4" s="171" t="s">
        <v>25</v>
      </c>
      <c r="D4" s="172">
        <v>27</v>
      </c>
      <c r="E4" s="172">
        <v>94</v>
      </c>
      <c r="F4" s="173" t="s">
        <v>2271</v>
      </c>
      <c r="G4" s="174">
        <v>0.201</v>
      </c>
      <c r="H4" s="173" t="s">
        <v>2272</v>
      </c>
      <c r="I4" s="111"/>
      <c r="J4" s="185"/>
      <c r="K4" s="172">
        <v>94</v>
      </c>
      <c r="L4" s="172">
        <v>27</v>
      </c>
      <c r="M4" s="186"/>
      <c r="N4" s="187"/>
    </row>
    <row r="5" ht="33" spans="2:14">
      <c r="B5" s="170" t="s">
        <v>24</v>
      </c>
      <c r="C5" s="171" t="s">
        <v>25</v>
      </c>
      <c r="D5" s="172">
        <v>30</v>
      </c>
      <c r="E5" s="172">
        <v>94</v>
      </c>
      <c r="F5" s="173" t="s">
        <v>1557</v>
      </c>
      <c r="G5" s="174">
        <v>0.301</v>
      </c>
      <c r="H5" s="174">
        <v>0.453</v>
      </c>
      <c r="I5" s="111"/>
      <c r="J5" s="185"/>
      <c r="K5" s="172">
        <v>94</v>
      </c>
      <c r="L5" s="172">
        <v>30</v>
      </c>
      <c r="M5" s="186"/>
      <c r="N5" s="187"/>
    </row>
    <row r="6" ht="16.5" spans="2:14">
      <c r="B6" s="170" t="s">
        <v>24</v>
      </c>
      <c r="C6" s="171" t="s">
        <v>25</v>
      </c>
      <c r="D6" s="172">
        <v>45</v>
      </c>
      <c r="E6" s="172">
        <v>81</v>
      </c>
      <c r="F6" s="173" t="s">
        <v>2273</v>
      </c>
      <c r="G6" s="174">
        <v>0.454</v>
      </c>
      <c r="H6" s="173" t="s">
        <v>2274</v>
      </c>
      <c r="I6" s="111"/>
      <c r="J6" s="185"/>
      <c r="K6" s="172">
        <v>81</v>
      </c>
      <c r="L6" s="172">
        <v>45</v>
      </c>
      <c r="M6" s="186"/>
      <c r="N6" s="187"/>
    </row>
    <row r="7" ht="16.5" spans="2:14">
      <c r="B7" s="170" t="s">
        <v>24</v>
      </c>
      <c r="C7" s="171" t="s">
        <v>25</v>
      </c>
      <c r="D7" s="172">
        <v>45</v>
      </c>
      <c r="E7" s="172">
        <v>81</v>
      </c>
      <c r="F7" s="173" t="s">
        <v>2275</v>
      </c>
      <c r="G7" s="174">
        <v>0.801</v>
      </c>
      <c r="H7" s="174">
        <v>10</v>
      </c>
      <c r="I7" s="111"/>
      <c r="J7" s="185"/>
      <c r="K7" s="172">
        <v>81</v>
      </c>
      <c r="L7" s="172">
        <v>45</v>
      </c>
      <c r="M7" s="186"/>
      <c r="N7" s="187"/>
    </row>
    <row r="8" ht="409.5" customHeight="1" spans="2:14">
      <c r="B8" s="175" t="s">
        <v>26</v>
      </c>
      <c r="C8" s="171" t="s">
        <v>27</v>
      </c>
      <c r="D8" s="176">
        <v>16</v>
      </c>
      <c r="E8" s="176">
        <v>50</v>
      </c>
      <c r="F8" s="177" t="s">
        <v>1621</v>
      </c>
      <c r="G8" s="174">
        <v>0</v>
      </c>
      <c r="H8" s="174">
        <v>0.2</v>
      </c>
      <c r="I8" s="188" t="s">
        <v>2276</v>
      </c>
      <c r="J8" s="188" t="s">
        <v>2277</v>
      </c>
      <c r="K8" s="176">
        <v>50</v>
      </c>
      <c r="L8" s="176">
        <v>16</v>
      </c>
      <c r="M8" s="189" t="s">
        <v>2278</v>
      </c>
      <c r="N8" s="190" t="s">
        <v>2279</v>
      </c>
    </row>
    <row r="9" ht="16.5" spans="2:14">
      <c r="B9" s="175" t="s">
        <v>26</v>
      </c>
      <c r="C9" s="171" t="s">
        <v>27</v>
      </c>
      <c r="D9" s="176">
        <v>16</v>
      </c>
      <c r="E9" s="176">
        <v>57</v>
      </c>
      <c r="F9" s="177" t="s">
        <v>1628</v>
      </c>
      <c r="G9" s="174">
        <v>0.201</v>
      </c>
      <c r="H9" s="173" t="s">
        <v>2280</v>
      </c>
      <c r="I9" s="188"/>
      <c r="J9" s="188"/>
      <c r="K9" s="176">
        <v>57</v>
      </c>
      <c r="L9" s="176">
        <v>16</v>
      </c>
      <c r="M9" s="189"/>
      <c r="N9" s="190"/>
    </row>
    <row r="10" ht="33" customHeight="1" spans="2:14">
      <c r="B10" s="62" t="s">
        <v>28</v>
      </c>
      <c r="C10" s="171" t="s">
        <v>29</v>
      </c>
      <c r="D10" s="176">
        <v>25</v>
      </c>
      <c r="E10" s="176">
        <v>52</v>
      </c>
      <c r="F10" s="177" t="s">
        <v>1744</v>
      </c>
      <c r="G10" s="173" t="s">
        <v>1621</v>
      </c>
      <c r="H10" s="174">
        <v>0.25</v>
      </c>
      <c r="I10" s="191" t="s">
        <v>2277</v>
      </c>
      <c r="J10" s="192" t="s">
        <v>1769</v>
      </c>
      <c r="K10" s="176">
        <v>52</v>
      </c>
      <c r="L10" s="176">
        <v>25</v>
      </c>
      <c r="M10" s="193" t="s">
        <v>2281</v>
      </c>
      <c r="N10" s="194" t="s">
        <v>1582</v>
      </c>
    </row>
    <row r="11" ht="33" spans="2:14">
      <c r="B11" s="62" t="s">
        <v>28</v>
      </c>
      <c r="C11" s="171" t="s">
        <v>29</v>
      </c>
      <c r="D11" s="176">
        <v>25</v>
      </c>
      <c r="E11" s="176">
        <v>57</v>
      </c>
      <c r="F11" s="177" t="s">
        <v>2282</v>
      </c>
      <c r="G11" s="174">
        <v>0.251</v>
      </c>
      <c r="H11" s="174">
        <v>0.75</v>
      </c>
      <c r="I11" s="191"/>
      <c r="J11" s="192"/>
      <c r="K11" s="176">
        <v>57</v>
      </c>
      <c r="L11" s="176">
        <v>25</v>
      </c>
      <c r="M11" s="193"/>
      <c r="N11" s="194"/>
    </row>
    <row r="12" ht="16.5" spans="2:14">
      <c r="B12" s="62" t="s">
        <v>28</v>
      </c>
      <c r="C12" s="171" t="s">
        <v>29</v>
      </c>
      <c r="D12" s="176">
        <v>25</v>
      </c>
      <c r="E12" s="176">
        <v>57</v>
      </c>
      <c r="F12" s="177" t="s">
        <v>2283</v>
      </c>
      <c r="G12" s="174">
        <v>0.751</v>
      </c>
      <c r="H12" s="173" t="s">
        <v>2284</v>
      </c>
      <c r="I12" s="191"/>
      <c r="J12" s="192"/>
      <c r="K12" s="176">
        <v>57</v>
      </c>
      <c r="L12" s="176">
        <v>25</v>
      </c>
      <c r="M12" s="193"/>
      <c r="N12" s="194"/>
    </row>
    <row r="13" ht="33" customHeight="1" spans="2:14">
      <c r="B13" s="178" t="s">
        <v>72</v>
      </c>
      <c r="C13" s="171" t="s">
        <v>73</v>
      </c>
      <c r="D13" s="179">
        <v>23</v>
      </c>
      <c r="E13" s="176">
        <v>70</v>
      </c>
      <c r="F13" s="177" t="s">
        <v>1621</v>
      </c>
      <c r="G13" s="173" t="s">
        <v>1621</v>
      </c>
      <c r="H13" s="174">
        <v>0.2</v>
      </c>
      <c r="I13" s="195" t="s">
        <v>2277</v>
      </c>
      <c r="J13" s="196" t="s">
        <v>2285</v>
      </c>
      <c r="K13" s="176">
        <v>70</v>
      </c>
      <c r="L13" s="179">
        <v>23</v>
      </c>
      <c r="M13" s="195" t="s">
        <v>2281</v>
      </c>
      <c r="N13" s="197" t="s">
        <v>1638</v>
      </c>
    </row>
    <row r="14" ht="16.5" spans="2:14">
      <c r="B14" s="178" t="s">
        <v>72</v>
      </c>
      <c r="C14" s="171" t="s">
        <v>73</v>
      </c>
      <c r="D14" s="179">
        <v>23</v>
      </c>
      <c r="E14" s="176">
        <v>66</v>
      </c>
      <c r="F14" s="177" t="s">
        <v>1716</v>
      </c>
      <c r="G14" s="174">
        <v>0.201</v>
      </c>
      <c r="H14" s="173" t="s">
        <v>2286</v>
      </c>
      <c r="I14" s="195"/>
      <c r="J14" s="196"/>
      <c r="K14" s="176">
        <v>66</v>
      </c>
      <c r="L14" s="179">
        <v>23</v>
      </c>
      <c r="M14" s="195"/>
      <c r="N14" s="197"/>
    </row>
    <row r="15" ht="16.5" spans="2:14">
      <c r="B15" s="178" t="s">
        <v>72</v>
      </c>
      <c r="C15" s="171" t="s">
        <v>73</v>
      </c>
      <c r="D15" s="179">
        <v>23</v>
      </c>
      <c r="E15" s="176">
        <v>62</v>
      </c>
      <c r="F15" s="177" t="s">
        <v>2231</v>
      </c>
      <c r="G15" s="174">
        <v>0.501</v>
      </c>
      <c r="H15" s="173" t="s">
        <v>2287</v>
      </c>
      <c r="I15" s="195"/>
      <c r="J15" s="196"/>
      <c r="K15" s="176">
        <v>62</v>
      </c>
      <c r="L15" s="179">
        <v>23</v>
      </c>
      <c r="M15" s="195"/>
      <c r="N15" s="197"/>
    </row>
    <row r="16" ht="16.5" spans="2:14">
      <c r="B16" s="70" t="s">
        <v>2239</v>
      </c>
      <c r="C16" s="40"/>
      <c r="D16" s="71"/>
      <c r="E16" s="71"/>
      <c r="F16" s="71"/>
      <c r="G16" s="71"/>
      <c r="H16" s="71"/>
      <c r="I16" s="120"/>
      <c r="J16" s="120"/>
      <c r="K16" s="71"/>
      <c r="L16" s="71"/>
      <c r="M16" s="56"/>
      <c r="N16" s="198"/>
    </row>
    <row r="17" ht="132" customHeight="1" spans="2:14">
      <c r="B17" s="73" t="s">
        <v>2288</v>
      </c>
      <c r="C17" s="73"/>
      <c r="D17" s="73"/>
      <c r="E17" s="73"/>
      <c r="F17" s="73"/>
      <c r="G17" s="73"/>
      <c r="H17" s="73"/>
      <c r="I17" s="73"/>
      <c r="J17" s="73"/>
      <c r="K17" s="73"/>
      <c r="L17" s="73"/>
      <c r="M17" s="73"/>
      <c r="N17" s="73"/>
    </row>
    <row r="18" ht="16.5" spans="2:14">
      <c r="B18" s="75" t="s">
        <v>1586</v>
      </c>
      <c r="C18" s="76"/>
      <c r="D18" s="180"/>
      <c r="E18" s="181"/>
      <c r="F18" s="181"/>
      <c r="G18" s="181"/>
      <c r="H18" s="181"/>
      <c r="I18" s="199"/>
      <c r="J18" s="199"/>
      <c r="K18" s="181"/>
      <c r="L18" s="180"/>
      <c r="M18" s="200"/>
      <c r="N18" s="201"/>
    </row>
    <row r="19" ht="16.5" spans="2:14">
      <c r="B19" s="80" t="s">
        <v>1587</v>
      </c>
      <c r="C19" s="81"/>
      <c r="D19" s="182"/>
      <c r="E19" s="71"/>
      <c r="F19" s="71"/>
      <c r="G19" s="71"/>
      <c r="H19" s="71"/>
      <c r="I19" s="120"/>
      <c r="J19" s="120"/>
      <c r="K19" s="71"/>
      <c r="L19" s="182"/>
      <c r="M19" s="56"/>
      <c r="N19" s="122"/>
    </row>
    <row r="20" ht="16.5" customHeight="1" spans="2:14">
      <c r="B20" s="85" t="s">
        <v>2246</v>
      </c>
      <c r="C20" s="85"/>
      <c r="D20" s="85"/>
      <c r="E20" s="85"/>
      <c r="F20" s="85"/>
      <c r="G20" s="85"/>
      <c r="H20" s="85"/>
      <c r="I20" s="85"/>
      <c r="J20" s="85"/>
      <c r="K20" s="85"/>
      <c r="L20" s="85"/>
      <c r="M20" s="85"/>
      <c r="N20" s="85"/>
    </row>
    <row r="21" ht="16.5" customHeight="1" spans="2:14">
      <c r="B21" s="85" t="s">
        <v>2247</v>
      </c>
      <c r="C21" s="85"/>
      <c r="D21" s="85"/>
      <c r="E21" s="85"/>
      <c r="F21" s="85"/>
      <c r="G21" s="85"/>
      <c r="H21" s="85"/>
      <c r="I21" s="85"/>
      <c r="J21" s="85"/>
      <c r="K21" s="85"/>
      <c r="L21" s="85"/>
      <c r="M21" s="85"/>
      <c r="N21" s="85"/>
    </row>
    <row r="22" ht="16.5" customHeight="1" spans="2:14">
      <c r="B22" s="85" t="s">
        <v>1667</v>
      </c>
      <c r="C22" s="85"/>
      <c r="D22" s="85"/>
      <c r="E22" s="85"/>
      <c r="F22" s="85"/>
      <c r="G22" s="85"/>
      <c r="H22" s="85"/>
      <c r="I22" s="85"/>
      <c r="J22" s="85"/>
      <c r="K22" s="85"/>
      <c r="L22" s="85"/>
      <c r="M22" s="85"/>
      <c r="N22" s="85"/>
    </row>
    <row r="23" ht="16.5" customHeight="1" spans="2:14">
      <c r="B23" s="85" t="s">
        <v>1668</v>
      </c>
      <c r="C23" s="85"/>
      <c r="D23" s="85"/>
      <c r="E23" s="85"/>
      <c r="F23" s="85"/>
      <c r="G23" s="85"/>
      <c r="H23" s="85"/>
      <c r="I23" s="85"/>
      <c r="J23" s="85"/>
      <c r="K23" s="85"/>
      <c r="L23" s="85"/>
      <c r="M23" s="85"/>
      <c r="N23" s="85"/>
    </row>
    <row r="24" ht="16.5" spans="2:14">
      <c r="B24" s="87" t="s">
        <v>1669</v>
      </c>
      <c r="C24" s="88"/>
      <c r="D24" s="88"/>
      <c r="E24" s="88"/>
      <c r="F24" s="88"/>
      <c r="G24" s="88"/>
      <c r="H24" s="88"/>
      <c r="I24" s="88"/>
      <c r="J24" s="88"/>
      <c r="K24" s="88"/>
      <c r="L24" s="88"/>
      <c r="M24" s="88"/>
      <c r="N24" s="129"/>
    </row>
    <row r="25" ht="16.5" customHeight="1" spans="2:14">
      <c r="B25" s="90" t="s">
        <v>1672</v>
      </c>
      <c r="C25" s="90"/>
      <c r="D25" s="90"/>
      <c r="E25" s="90"/>
      <c r="F25" s="90"/>
      <c r="G25" s="90"/>
      <c r="H25" s="90"/>
      <c r="I25" s="90"/>
      <c r="J25" s="90"/>
      <c r="K25" s="90"/>
      <c r="L25" s="90"/>
      <c r="M25" s="90"/>
      <c r="N25" s="90"/>
    </row>
    <row r="26" ht="16.5" customHeight="1" spans="2:14">
      <c r="B26" s="183" t="s">
        <v>1589</v>
      </c>
      <c r="C26" s="183"/>
      <c r="D26" s="183"/>
      <c r="E26" s="183"/>
      <c r="F26" s="183"/>
      <c r="G26" s="183"/>
      <c r="H26" s="183"/>
      <c r="I26" s="183"/>
      <c r="J26" s="183"/>
      <c r="K26" s="183"/>
      <c r="L26" s="183"/>
      <c r="M26" s="183"/>
      <c r="N26" s="122"/>
    </row>
    <row r="27" ht="16.5" customHeight="1" spans="2:14">
      <c r="B27" s="95" t="s">
        <v>1590</v>
      </c>
      <c r="C27" s="95"/>
      <c r="D27" s="95"/>
      <c r="E27" s="95"/>
      <c r="F27" s="95"/>
      <c r="G27" s="95"/>
      <c r="H27" s="95"/>
      <c r="I27" s="95"/>
      <c r="J27" s="95"/>
      <c r="K27" s="95"/>
      <c r="L27" s="95"/>
      <c r="M27" s="95"/>
      <c r="N27" s="95"/>
    </row>
    <row r="28" ht="16.5" customHeight="1" spans="2:14">
      <c r="B28" s="97" t="s">
        <v>1591</v>
      </c>
      <c r="C28" s="97"/>
      <c r="D28" s="97"/>
      <c r="E28" s="97"/>
      <c r="F28" s="97"/>
      <c r="G28" s="97"/>
      <c r="H28" s="97"/>
      <c r="I28" s="97"/>
      <c r="J28" s="97"/>
      <c r="K28" s="97"/>
      <c r="L28" s="97"/>
      <c r="M28" s="97"/>
      <c r="N28" s="97"/>
    </row>
    <row r="29" ht="16.5" customHeight="1" spans="2:14">
      <c r="B29" s="99" t="s">
        <v>1592</v>
      </c>
      <c r="C29" s="99"/>
      <c r="D29" s="99"/>
      <c r="E29" s="99"/>
      <c r="F29" s="99"/>
      <c r="G29" s="99"/>
      <c r="H29" s="99"/>
      <c r="I29" s="99"/>
      <c r="J29" s="99"/>
      <c r="K29" s="99"/>
      <c r="L29" s="99"/>
      <c r="M29" s="99"/>
      <c r="N29" s="99"/>
    </row>
    <row r="30" ht="16.5" customHeight="1" spans="2:14">
      <c r="B30" s="95" t="s">
        <v>1593</v>
      </c>
      <c r="C30" s="95"/>
      <c r="D30" s="95"/>
      <c r="E30" s="95"/>
      <c r="F30" s="95"/>
      <c r="G30" s="95"/>
      <c r="H30" s="95"/>
      <c r="I30" s="95"/>
      <c r="J30" s="95"/>
      <c r="K30" s="95"/>
      <c r="L30" s="95"/>
      <c r="M30" s="95"/>
      <c r="N30" s="95"/>
    </row>
    <row r="31" ht="82.5" customHeight="1" spans="2:14">
      <c r="B31" s="95" t="s">
        <v>1673</v>
      </c>
      <c r="C31" s="95"/>
      <c r="D31" s="95"/>
      <c r="E31" s="95"/>
      <c r="F31" s="95"/>
      <c r="G31" s="95"/>
      <c r="H31" s="95"/>
      <c r="I31" s="95"/>
      <c r="J31" s="95"/>
      <c r="K31" s="95"/>
      <c r="L31" s="95"/>
      <c r="M31" s="95"/>
      <c r="N31" s="95"/>
    </row>
    <row r="32" ht="49.5" customHeight="1" spans="2:14">
      <c r="B32" s="95" t="s">
        <v>2289</v>
      </c>
      <c r="C32" s="95"/>
      <c r="D32" s="95"/>
      <c r="E32" s="95"/>
      <c r="F32" s="95"/>
      <c r="G32" s="95"/>
      <c r="H32" s="95"/>
      <c r="I32" s="95"/>
      <c r="J32" s="95"/>
      <c r="K32" s="95"/>
      <c r="L32" s="95"/>
      <c r="M32" s="95"/>
      <c r="N32" s="95"/>
    </row>
    <row r="33" ht="33" customHeight="1" spans="2:14">
      <c r="B33" s="95" t="s">
        <v>2290</v>
      </c>
      <c r="C33" s="95"/>
      <c r="D33" s="95"/>
      <c r="E33" s="95"/>
      <c r="F33" s="95"/>
      <c r="G33" s="95"/>
      <c r="H33" s="95"/>
      <c r="I33" s="95"/>
      <c r="J33" s="95"/>
      <c r="K33" s="95"/>
      <c r="L33" s="95"/>
      <c r="M33" s="95"/>
      <c r="N33" s="95"/>
    </row>
    <row r="34" ht="16.5" customHeight="1" spans="2:14">
      <c r="B34" s="99" t="s">
        <v>1597</v>
      </c>
      <c r="C34" s="99"/>
      <c r="D34" s="99"/>
      <c r="E34" s="99"/>
      <c r="F34" s="99"/>
      <c r="G34" s="99"/>
      <c r="H34" s="99"/>
      <c r="I34" s="99"/>
      <c r="J34" s="99"/>
      <c r="K34" s="99"/>
      <c r="L34" s="99"/>
      <c r="M34" s="99"/>
      <c r="N34" s="99"/>
    </row>
    <row r="35" ht="33" customHeight="1" spans="2:14">
      <c r="B35" s="95" t="s">
        <v>1598</v>
      </c>
      <c r="C35" s="95"/>
      <c r="D35" s="95"/>
      <c r="E35" s="95"/>
      <c r="F35" s="95"/>
      <c r="G35" s="95"/>
      <c r="H35" s="95"/>
      <c r="I35" s="95"/>
      <c r="J35" s="95"/>
      <c r="K35" s="95"/>
      <c r="L35" s="95"/>
      <c r="M35" s="95"/>
      <c r="N35" s="95"/>
    </row>
    <row r="36" ht="16.5" customHeight="1" spans="2:14">
      <c r="B36" s="95" t="s">
        <v>2257</v>
      </c>
      <c r="C36" s="95"/>
      <c r="D36" s="95"/>
      <c r="E36" s="95"/>
      <c r="F36" s="95"/>
      <c r="G36" s="95"/>
      <c r="H36" s="95"/>
      <c r="I36" s="95"/>
      <c r="J36" s="95"/>
      <c r="K36" s="95"/>
      <c r="L36" s="95"/>
      <c r="M36" s="95"/>
      <c r="N36" s="95"/>
    </row>
    <row r="37" ht="16.5" customHeight="1" spans="2:14">
      <c r="B37" s="95" t="s">
        <v>1600</v>
      </c>
      <c r="C37" s="95"/>
      <c r="D37" s="95"/>
      <c r="E37" s="95"/>
      <c r="F37" s="95"/>
      <c r="G37" s="95"/>
      <c r="H37" s="95"/>
      <c r="I37" s="95"/>
      <c r="J37" s="95"/>
      <c r="K37" s="95"/>
      <c r="L37" s="95"/>
      <c r="M37" s="95"/>
      <c r="N37" s="95"/>
    </row>
    <row r="38" ht="16.5" customHeight="1" spans="2:14">
      <c r="B38" s="95" t="s">
        <v>1601</v>
      </c>
      <c r="C38" s="95"/>
      <c r="D38" s="95"/>
      <c r="E38" s="95"/>
      <c r="F38" s="95"/>
      <c r="G38" s="95"/>
      <c r="H38" s="95"/>
      <c r="I38" s="95"/>
      <c r="J38" s="95"/>
      <c r="K38" s="95"/>
      <c r="L38" s="95"/>
      <c r="M38" s="95"/>
      <c r="N38" s="95"/>
    </row>
    <row r="39" ht="16.5" customHeight="1" spans="2:14">
      <c r="B39" s="95" t="s">
        <v>1602</v>
      </c>
      <c r="C39" s="95"/>
      <c r="D39" s="95"/>
      <c r="E39" s="95"/>
      <c r="F39" s="95"/>
      <c r="G39" s="95"/>
      <c r="H39" s="95"/>
      <c r="I39" s="95"/>
      <c r="J39" s="95"/>
      <c r="K39" s="95"/>
      <c r="L39" s="95"/>
      <c r="M39" s="95"/>
      <c r="N39" s="95"/>
    </row>
    <row r="40" ht="16.5" customHeight="1" spans="2:14">
      <c r="B40" s="97" t="s">
        <v>1603</v>
      </c>
      <c r="C40" s="97"/>
      <c r="D40" s="97"/>
      <c r="E40" s="97"/>
      <c r="F40" s="97"/>
      <c r="G40" s="97"/>
      <c r="H40" s="97"/>
      <c r="I40" s="97"/>
      <c r="J40" s="97"/>
      <c r="K40" s="97"/>
      <c r="L40" s="97"/>
      <c r="M40" s="97"/>
      <c r="N40" s="97"/>
    </row>
    <row r="41" ht="16.5" customHeight="1" spans="2:14">
      <c r="B41" s="99" t="s">
        <v>1604</v>
      </c>
      <c r="C41" s="99"/>
      <c r="D41" s="99"/>
      <c r="E41" s="99"/>
      <c r="F41" s="99"/>
      <c r="G41" s="99"/>
      <c r="H41" s="99"/>
      <c r="I41" s="99"/>
      <c r="J41" s="99"/>
      <c r="K41" s="99"/>
      <c r="L41" s="99"/>
      <c r="M41" s="99"/>
      <c r="N41" s="99"/>
    </row>
    <row r="42" ht="49.5" customHeight="1" spans="2:14">
      <c r="B42" s="95" t="s">
        <v>1605</v>
      </c>
      <c r="C42" s="95"/>
      <c r="D42" s="95"/>
      <c r="E42" s="95"/>
      <c r="F42" s="95"/>
      <c r="G42" s="95"/>
      <c r="H42" s="95"/>
      <c r="I42" s="95"/>
      <c r="J42" s="95"/>
      <c r="K42" s="95"/>
      <c r="L42" s="95"/>
      <c r="M42" s="95"/>
      <c r="N42" s="95"/>
    </row>
    <row r="43" ht="49.5" customHeight="1" spans="2:14">
      <c r="B43" s="95" t="s">
        <v>2291</v>
      </c>
      <c r="C43" s="95"/>
      <c r="D43" s="95"/>
      <c r="E43" s="95"/>
      <c r="F43" s="95"/>
      <c r="G43" s="95"/>
      <c r="H43" s="95"/>
      <c r="I43" s="95"/>
      <c r="J43" s="95"/>
      <c r="K43" s="95"/>
      <c r="L43" s="95"/>
      <c r="M43" s="95"/>
      <c r="N43" s="95"/>
    </row>
    <row r="44" ht="49.5" customHeight="1" spans="2:14">
      <c r="B44" s="95" t="s">
        <v>2292</v>
      </c>
      <c r="C44" s="95"/>
      <c r="D44" s="95"/>
      <c r="E44" s="95"/>
      <c r="F44" s="95"/>
      <c r="G44" s="95"/>
      <c r="H44" s="95"/>
      <c r="I44" s="95"/>
      <c r="J44" s="95"/>
      <c r="K44" s="95"/>
      <c r="L44" s="95"/>
      <c r="M44" s="95"/>
      <c r="N44" s="95"/>
    </row>
    <row r="45" ht="16.5" customHeight="1" spans="2:14">
      <c r="B45" s="95" t="s">
        <v>1608</v>
      </c>
      <c r="C45" s="95"/>
      <c r="D45" s="95"/>
      <c r="E45" s="95"/>
      <c r="F45" s="95"/>
      <c r="G45" s="95"/>
      <c r="H45" s="95"/>
      <c r="I45" s="95"/>
      <c r="J45" s="95"/>
      <c r="K45" s="95"/>
      <c r="L45" s="95"/>
      <c r="M45" s="95"/>
      <c r="N45" s="95"/>
    </row>
    <row r="46" ht="16.5" customHeight="1" spans="2:14">
      <c r="B46" s="95" t="s">
        <v>1609</v>
      </c>
      <c r="C46" s="95"/>
      <c r="D46" s="95"/>
      <c r="E46" s="95"/>
      <c r="F46" s="95"/>
      <c r="G46" s="95"/>
      <c r="H46" s="95"/>
      <c r="I46" s="95"/>
      <c r="J46" s="95"/>
      <c r="K46" s="95"/>
      <c r="L46" s="95"/>
      <c r="M46" s="95"/>
      <c r="N46" s="95"/>
    </row>
    <row r="47" ht="16.5" customHeight="1" spans="2:14">
      <c r="B47" s="97" t="s">
        <v>1610</v>
      </c>
      <c r="C47" s="97"/>
      <c r="D47" s="97"/>
      <c r="E47" s="97"/>
      <c r="F47" s="97"/>
      <c r="G47" s="97"/>
      <c r="H47" s="97"/>
      <c r="I47" s="97"/>
      <c r="J47" s="97"/>
      <c r="K47" s="97"/>
      <c r="L47" s="97"/>
      <c r="M47" s="97"/>
      <c r="N47" s="97"/>
    </row>
    <row r="48" ht="16.5" customHeight="1" spans="2:14">
      <c r="B48" s="99" t="s">
        <v>2293</v>
      </c>
      <c r="C48" s="99"/>
      <c r="D48" s="99"/>
      <c r="E48" s="99"/>
      <c r="F48" s="99"/>
      <c r="G48" s="99"/>
      <c r="H48" s="99"/>
      <c r="I48" s="99"/>
      <c r="J48" s="99"/>
      <c r="K48" s="99"/>
      <c r="L48" s="99"/>
      <c r="M48" s="99"/>
      <c r="N48" s="99"/>
    </row>
    <row r="49" ht="33" customHeight="1" spans="2:14">
      <c r="B49" s="95" t="s">
        <v>1616</v>
      </c>
      <c r="C49" s="95"/>
      <c r="D49" s="95"/>
      <c r="E49" s="95"/>
      <c r="F49" s="95"/>
      <c r="G49" s="95"/>
      <c r="H49" s="95"/>
      <c r="I49" s="95"/>
      <c r="J49" s="95"/>
      <c r="K49" s="95"/>
      <c r="L49" s="95"/>
      <c r="M49" s="95"/>
      <c r="N49" s="95"/>
    </row>
    <row r="50" ht="33" customHeight="1" spans="2:14">
      <c r="B50" s="95" t="s">
        <v>1617</v>
      </c>
      <c r="C50" s="95"/>
      <c r="D50" s="95"/>
      <c r="E50" s="95"/>
      <c r="F50" s="95"/>
      <c r="G50" s="95"/>
      <c r="H50" s="95"/>
      <c r="I50" s="95"/>
      <c r="J50" s="95"/>
      <c r="K50" s="95"/>
      <c r="L50" s="95"/>
      <c r="M50" s="95"/>
      <c r="N50" s="95"/>
    </row>
    <row r="51" ht="16.5" customHeight="1" spans="2:14">
      <c r="B51" s="97" t="s">
        <v>1618</v>
      </c>
      <c r="C51" s="97"/>
      <c r="D51" s="97"/>
      <c r="E51" s="97"/>
      <c r="F51" s="97"/>
      <c r="G51" s="97"/>
      <c r="H51" s="97"/>
      <c r="I51" s="97"/>
      <c r="J51" s="97"/>
      <c r="K51" s="97"/>
      <c r="L51" s="97"/>
      <c r="M51" s="97"/>
      <c r="N51" s="97"/>
    </row>
  </sheetData>
  <sheetProtection formatCells="0" formatColumns="0" formatRows="0" insertRows="0" insertColumns="0" insertHyperlinks="0" deleteColumns="0" deleteRows="0" sort="0" autoFilter="0" pivotTables="0"/>
  <autoFilter xmlns:etc="http://www.wps.cn/officeDocument/2017/etCustomData" ref="B1:N51" etc:filterBottomFollowUsedRange="0">
    <extLst/>
  </autoFilter>
  <mergeCells count="48">
    <mergeCell ref="B17:N17"/>
    <mergeCell ref="B20:N20"/>
    <mergeCell ref="B21:N21"/>
    <mergeCell ref="B22:N22"/>
    <mergeCell ref="B23:N23"/>
    <mergeCell ref="B25:N25"/>
    <mergeCell ref="B26:M26"/>
    <mergeCell ref="B27:N27"/>
    <mergeCell ref="B28:N28"/>
    <mergeCell ref="B29:N29"/>
    <mergeCell ref="B30:N30"/>
    <mergeCell ref="B31:N31"/>
    <mergeCell ref="B32:N32"/>
    <mergeCell ref="B33:N33"/>
    <mergeCell ref="B34:N34"/>
    <mergeCell ref="B35:N35"/>
    <mergeCell ref="B36:N36"/>
    <mergeCell ref="B37:N37"/>
    <mergeCell ref="B38:N38"/>
    <mergeCell ref="B39:N39"/>
    <mergeCell ref="B40:N40"/>
    <mergeCell ref="B41:N41"/>
    <mergeCell ref="B42:N42"/>
    <mergeCell ref="B43:N43"/>
    <mergeCell ref="B44:N44"/>
    <mergeCell ref="B45:N45"/>
    <mergeCell ref="B46:N46"/>
    <mergeCell ref="B47:N47"/>
    <mergeCell ref="B48:N48"/>
    <mergeCell ref="B49:N49"/>
    <mergeCell ref="B50:N50"/>
    <mergeCell ref="B51:N51"/>
    <mergeCell ref="I2:I7"/>
    <mergeCell ref="I8:I9"/>
    <mergeCell ref="I10:I12"/>
    <mergeCell ref="I13:I15"/>
    <mergeCell ref="J2:J7"/>
    <mergeCell ref="J8:J9"/>
    <mergeCell ref="J10:J12"/>
    <mergeCell ref="J13:J15"/>
    <mergeCell ref="M2:M7"/>
    <mergeCell ref="M8:M9"/>
    <mergeCell ref="M10:M12"/>
    <mergeCell ref="M13:M15"/>
    <mergeCell ref="N2:N7"/>
    <mergeCell ref="N8:N9"/>
    <mergeCell ref="N10:N12"/>
    <mergeCell ref="N13:N15"/>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103"/>
  <sheetViews>
    <sheetView workbookViewId="0">
      <selection activeCell="L13" sqref="L13"/>
    </sheetView>
  </sheetViews>
  <sheetFormatPr defaultColWidth="9" defaultRowHeight="13.5"/>
  <sheetData>
    <row r="1" ht="49.5" customHeight="1" spans="2:15">
      <c r="B1" s="24"/>
      <c r="C1" s="24"/>
      <c r="D1" s="24"/>
      <c r="E1" s="24"/>
      <c r="F1" s="6" t="s">
        <v>2294</v>
      </c>
      <c r="G1" s="6"/>
      <c r="H1" s="6"/>
      <c r="I1" s="6"/>
      <c r="J1" s="6"/>
      <c r="K1" s="6"/>
      <c r="L1" s="6"/>
      <c r="M1" s="6"/>
      <c r="N1" s="12" t="s">
        <v>2295</v>
      </c>
      <c r="O1" s="29" t="s">
        <v>660</v>
      </c>
    </row>
    <row r="2" ht="30" spans="2:15">
      <c r="B2" s="156" t="s">
        <v>661</v>
      </c>
      <c r="C2" s="157"/>
      <c r="D2" s="157"/>
      <c r="E2" s="157"/>
      <c r="F2" s="158" t="s">
        <v>662</v>
      </c>
      <c r="G2" s="158"/>
      <c r="H2" s="158"/>
      <c r="I2" s="158"/>
      <c r="J2" s="158"/>
      <c r="K2" s="160" t="s">
        <v>2296</v>
      </c>
      <c r="L2" s="161" t="s">
        <v>2297</v>
      </c>
      <c r="M2" s="162" t="s">
        <v>665</v>
      </c>
      <c r="N2" s="163" t="s">
        <v>666</v>
      </c>
      <c r="O2" s="164"/>
    </row>
    <row r="3" ht="181.5" customHeight="1" spans="2:15">
      <c r="B3" s="10" t="s">
        <v>24</v>
      </c>
      <c r="C3" s="10" t="s">
        <v>25</v>
      </c>
      <c r="D3" s="10"/>
      <c r="E3" s="10"/>
      <c r="F3" s="10" t="s">
        <v>2298</v>
      </c>
      <c r="G3" s="154">
        <v>0.05</v>
      </c>
      <c r="H3" s="154">
        <v>0.1</v>
      </c>
      <c r="I3" s="154"/>
      <c r="J3" s="154"/>
      <c r="K3" s="35">
        <v>142</v>
      </c>
      <c r="L3" s="35">
        <v>41</v>
      </c>
      <c r="M3" s="165" t="s">
        <v>2299</v>
      </c>
      <c r="N3" s="166" t="s">
        <v>2300</v>
      </c>
      <c r="O3" s="32"/>
    </row>
    <row r="4" ht="16.5" spans="2:15">
      <c r="B4" s="10" t="s">
        <v>24</v>
      </c>
      <c r="C4" s="10" t="s">
        <v>25</v>
      </c>
      <c r="D4" s="10"/>
      <c r="E4" s="10"/>
      <c r="F4" s="10" t="s">
        <v>2301</v>
      </c>
      <c r="G4" s="154">
        <v>0.1</v>
      </c>
      <c r="H4" s="154">
        <v>0.2</v>
      </c>
      <c r="I4" s="154"/>
      <c r="J4" s="154"/>
      <c r="K4" s="35">
        <v>142</v>
      </c>
      <c r="L4" s="35">
        <v>41</v>
      </c>
      <c r="M4" s="165"/>
      <c r="N4" s="166"/>
      <c r="O4" s="32"/>
    </row>
    <row r="5" ht="16.5" spans="2:15">
      <c r="B5" s="10" t="s">
        <v>24</v>
      </c>
      <c r="C5" s="10" t="s">
        <v>25</v>
      </c>
      <c r="D5" s="10"/>
      <c r="E5" s="10"/>
      <c r="F5" s="10" t="s">
        <v>2302</v>
      </c>
      <c r="G5" s="154">
        <v>0.2</v>
      </c>
      <c r="H5" s="154">
        <v>0.3</v>
      </c>
      <c r="I5" s="154"/>
      <c r="J5" s="154"/>
      <c r="K5" s="35">
        <v>142</v>
      </c>
      <c r="L5" s="35">
        <v>41</v>
      </c>
      <c r="M5" s="165"/>
      <c r="N5" s="166"/>
      <c r="O5" s="32"/>
    </row>
    <row r="6" ht="16.5" spans="2:15">
      <c r="B6" s="10" t="s">
        <v>24</v>
      </c>
      <c r="C6" s="10" t="s">
        <v>25</v>
      </c>
      <c r="D6" s="10"/>
      <c r="E6" s="10"/>
      <c r="F6" s="10" t="s">
        <v>2303</v>
      </c>
      <c r="G6" s="154">
        <v>0.3</v>
      </c>
      <c r="H6" s="154">
        <v>0.453</v>
      </c>
      <c r="I6" s="154"/>
      <c r="J6" s="154"/>
      <c r="K6" s="35">
        <v>142</v>
      </c>
      <c r="L6" s="35">
        <v>41</v>
      </c>
      <c r="M6" s="165"/>
      <c r="N6" s="166"/>
      <c r="O6" s="32"/>
    </row>
    <row r="7" ht="16.5" spans="2:15">
      <c r="B7" s="10" t="s">
        <v>24</v>
      </c>
      <c r="C7" s="10" t="s">
        <v>25</v>
      </c>
      <c r="D7" s="10"/>
      <c r="E7" s="10"/>
      <c r="F7" s="10" t="s">
        <v>2304</v>
      </c>
      <c r="G7" s="154">
        <v>0.453</v>
      </c>
      <c r="H7" s="154">
        <v>0.7</v>
      </c>
      <c r="I7" s="154"/>
      <c r="J7" s="154"/>
      <c r="K7" s="35">
        <v>162</v>
      </c>
      <c r="L7" s="35">
        <v>49</v>
      </c>
      <c r="M7" s="165"/>
      <c r="N7" s="166"/>
      <c r="O7" s="32"/>
    </row>
    <row r="8" ht="16.5" spans="2:15">
      <c r="B8" s="10" t="s">
        <v>24</v>
      </c>
      <c r="C8" s="10" t="s">
        <v>25</v>
      </c>
      <c r="D8" s="10"/>
      <c r="E8" s="10"/>
      <c r="F8" s="10" t="s">
        <v>2305</v>
      </c>
      <c r="G8" s="154">
        <v>0.7</v>
      </c>
      <c r="H8" s="154">
        <v>1</v>
      </c>
      <c r="I8" s="154"/>
      <c r="J8" s="154"/>
      <c r="K8" s="35">
        <v>152</v>
      </c>
      <c r="L8" s="35">
        <v>49</v>
      </c>
      <c r="M8" s="165"/>
      <c r="N8" s="166"/>
      <c r="O8" s="32"/>
    </row>
    <row r="9" ht="16.5" spans="2:15">
      <c r="B9" s="10" t="s">
        <v>24</v>
      </c>
      <c r="C9" s="10" t="s">
        <v>25</v>
      </c>
      <c r="D9" s="10"/>
      <c r="E9" s="10"/>
      <c r="F9" s="10" t="s">
        <v>678</v>
      </c>
      <c r="G9" s="154">
        <v>1</v>
      </c>
      <c r="H9" s="154">
        <v>2</v>
      </c>
      <c r="I9" s="154"/>
      <c r="J9" s="154"/>
      <c r="K9" s="35">
        <v>142</v>
      </c>
      <c r="L9" s="35">
        <v>44</v>
      </c>
      <c r="M9" s="165"/>
      <c r="N9" s="166"/>
      <c r="O9" s="32"/>
    </row>
    <row r="10" ht="16.5" spans="2:15">
      <c r="B10" s="10" t="s">
        <v>24</v>
      </c>
      <c r="C10" s="10" t="s">
        <v>25</v>
      </c>
      <c r="D10" s="10"/>
      <c r="E10" s="10"/>
      <c r="F10" s="10" t="s">
        <v>680</v>
      </c>
      <c r="G10" s="154">
        <v>2</v>
      </c>
      <c r="H10" s="154">
        <v>10</v>
      </c>
      <c r="I10" s="154"/>
      <c r="J10" s="154"/>
      <c r="K10" s="35">
        <v>142</v>
      </c>
      <c r="L10" s="35">
        <v>44</v>
      </c>
      <c r="M10" s="165"/>
      <c r="N10" s="166"/>
      <c r="O10" s="32"/>
    </row>
    <row r="11" ht="49.5" customHeight="1" spans="2:15">
      <c r="B11" s="10" t="s">
        <v>78</v>
      </c>
      <c r="C11" s="10" t="s">
        <v>79</v>
      </c>
      <c r="D11" s="10"/>
      <c r="E11" s="10"/>
      <c r="F11" s="10" t="s">
        <v>667</v>
      </c>
      <c r="G11" s="154">
        <v>0.05</v>
      </c>
      <c r="H11" s="154">
        <v>0.3</v>
      </c>
      <c r="I11" s="154"/>
      <c r="J11" s="154"/>
      <c r="K11" s="10">
        <v>128</v>
      </c>
      <c r="L11" s="10">
        <v>40</v>
      </c>
      <c r="M11" s="23" t="s">
        <v>668</v>
      </c>
      <c r="N11" s="21" t="s">
        <v>669</v>
      </c>
      <c r="O11" s="32"/>
    </row>
    <row r="12" ht="16.5" spans="2:15">
      <c r="B12" s="10" t="s">
        <v>78</v>
      </c>
      <c r="C12" s="10" t="s">
        <v>79</v>
      </c>
      <c r="D12" s="10"/>
      <c r="E12" s="10"/>
      <c r="F12" s="10" t="s">
        <v>670</v>
      </c>
      <c r="G12" s="154">
        <v>0.3</v>
      </c>
      <c r="H12" s="154">
        <v>0.75</v>
      </c>
      <c r="I12" s="154"/>
      <c r="J12" s="154"/>
      <c r="K12" s="10">
        <v>134</v>
      </c>
      <c r="L12" s="10">
        <v>47</v>
      </c>
      <c r="M12" s="23"/>
      <c r="N12" s="21"/>
      <c r="O12" s="32"/>
    </row>
    <row r="13" ht="16.5" spans="2:15">
      <c r="B13" s="10" t="s">
        <v>78</v>
      </c>
      <c r="C13" s="10" t="s">
        <v>79</v>
      </c>
      <c r="D13" s="10"/>
      <c r="E13" s="10"/>
      <c r="F13" s="10" t="s">
        <v>671</v>
      </c>
      <c r="G13" s="154">
        <v>0.75</v>
      </c>
      <c r="H13" s="154">
        <v>1</v>
      </c>
      <c r="I13" s="154"/>
      <c r="J13" s="154"/>
      <c r="K13" s="10">
        <v>134</v>
      </c>
      <c r="L13" s="10">
        <v>51</v>
      </c>
      <c r="M13" s="23"/>
      <c r="N13" s="21"/>
      <c r="O13" s="32"/>
    </row>
    <row r="14" ht="16.5" spans="2:15">
      <c r="B14" s="10" t="s">
        <v>78</v>
      </c>
      <c r="C14" s="10" t="s">
        <v>79</v>
      </c>
      <c r="D14" s="10"/>
      <c r="E14" s="10"/>
      <c r="F14" s="10" t="s">
        <v>672</v>
      </c>
      <c r="G14" s="154">
        <v>1</v>
      </c>
      <c r="H14" s="154">
        <v>1.5</v>
      </c>
      <c r="I14" s="154"/>
      <c r="J14" s="154"/>
      <c r="K14" s="10">
        <v>133</v>
      </c>
      <c r="L14" s="10">
        <v>53</v>
      </c>
      <c r="M14" s="23"/>
      <c r="N14" s="21"/>
      <c r="O14" s="32"/>
    </row>
    <row r="15" ht="16.5" spans="2:15">
      <c r="B15" s="10" t="s">
        <v>78</v>
      </c>
      <c r="C15" s="10" t="s">
        <v>79</v>
      </c>
      <c r="D15" s="10"/>
      <c r="E15" s="10"/>
      <c r="F15" s="10" t="s">
        <v>673</v>
      </c>
      <c r="G15" s="154">
        <v>1.5</v>
      </c>
      <c r="H15" s="154">
        <v>2</v>
      </c>
      <c r="I15" s="154"/>
      <c r="J15" s="154"/>
      <c r="K15" s="10">
        <v>133</v>
      </c>
      <c r="L15" s="10">
        <v>53</v>
      </c>
      <c r="M15" s="23"/>
      <c r="N15" s="21"/>
      <c r="O15" s="32"/>
    </row>
    <row r="16" ht="16.5" spans="2:15">
      <c r="B16" s="10" t="s">
        <v>78</v>
      </c>
      <c r="C16" s="10" t="s">
        <v>79</v>
      </c>
      <c r="D16" s="10"/>
      <c r="E16" s="10"/>
      <c r="F16" s="10" t="s">
        <v>680</v>
      </c>
      <c r="G16" s="154">
        <v>2</v>
      </c>
      <c r="H16" s="154">
        <v>10</v>
      </c>
      <c r="I16" s="154"/>
      <c r="J16" s="154"/>
      <c r="K16" s="10">
        <v>133</v>
      </c>
      <c r="L16" s="10">
        <v>53</v>
      </c>
      <c r="M16" s="23"/>
      <c r="N16" s="21"/>
      <c r="O16" s="32"/>
    </row>
    <row r="17" ht="99" customHeight="1" spans="2:15">
      <c r="B17" s="159" t="s">
        <v>94</v>
      </c>
      <c r="C17" s="10" t="s">
        <v>95</v>
      </c>
      <c r="D17" s="10"/>
      <c r="E17" s="10"/>
      <c r="F17" s="159" t="s">
        <v>2306</v>
      </c>
      <c r="G17" s="154">
        <v>0.05</v>
      </c>
      <c r="H17" s="154">
        <v>0.5</v>
      </c>
      <c r="I17" s="154"/>
      <c r="J17" s="154"/>
      <c r="K17" s="159">
        <v>138</v>
      </c>
      <c r="L17" s="159">
        <v>31</v>
      </c>
      <c r="M17" s="167" t="s">
        <v>2307</v>
      </c>
      <c r="N17" s="168" t="s">
        <v>1741</v>
      </c>
      <c r="O17" s="32"/>
    </row>
    <row r="18" ht="16.5" spans="2:15">
      <c r="B18" s="159" t="s">
        <v>94</v>
      </c>
      <c r="C18" s="10" t="s">
        <v>95</v>
      </c>
      <c r="D18" s="10"/>
      <c r="E18" s="10"/>
      <c r="F18" s="159" t="s">
        <v>2308</v>
      </c>
      <c r="G18" s="154">
        <v>0.5</v>
      </c>
      <c r="H18" s="154">
        <v>1</v>
      </c>
      <c r="I18" s="154"/>
      <c r="J18" s="154"/>
      <c r="K18" s="159">
        <v>138</v>
      </c>
      <c r="L18" s="159">
        <v>31</v>
      </c>
      <c r="M18" s="167"/>
      <c r="N18" s="168"/>
      <c r="O18" s="32"/>
    </row>
    <row r="19" ht="16.5" spans="2:15">
      <c r="B19" s="159" t="s">
        <v>94</v>
      </c>
      <c r="C19" s="10" t="s">
        <v>95</v>
      </c>
      <c r="D19" s="10"/>
      <c r="E19" s="10"/>
      <c r="F19" s="159" t="s">
        <v>2309</v>
      </c>
      <c r="G19" s="154">
        <v>1</v>
      </c>
      <c r="H19" s="154">
        <v>5</v>
      </c>
      <c r="I19" s="154"/>
      <c r="J19" s="154"/>
      <c r="K19" s="159">
        <v>138</v>
      </c>
      <c r="L19" s="159">
        <v>31</v>
      </c>
      <c r="M19" s="167"/>
      <c r="N19" s="168"/>
      <c r="O19" s="32"/>
    </row>
    <row r="20" ht="82.5" customHeight="1" spans="2:15">
      <c r="B20" s="10" t="s">
        <v>26</v>
      </c>
      <c r="C20" s="10" t="s">
        <v>27</v>
      </c>
      <c r="D20" s="10"/>
      <c r="E20" s="10"/>
      <c r="F20" s="10" t="s">
        <v>675</v>
      </c>
      <c r="G20" s="154">
        <v>0.01</v>
      </c>
      <c r="H20" s="154">
        <v>1</v>
      </c>
      <c r="I20" s="154"/>
      <c r="J20" s="154"/>
      <c r="K20" s="10">
        <v>133</v>
      </c>
      <c r="L20" s="10">
        <v>26</v>
      </c>
      <c r="M20" s="23" t="s">
        <v>676</v>
      </c>
      <c r="N20" s="21" t="s">
        <v>677</v>
      </c>
      <c r="O20" s="32"/>
    </row>
    <row r="21" ht="16.5" spans="2:15">
      <c r="B21" s="10" t="s">
        <v>26</v>
      </c>
      <c r="C21" s="10" t="s">
        <v>27</v>
      </c>
      <c r="D21" s="10"/>
      <c r="E21" s="10"/>
      <c r="F21" s="10" t="s">
        <v>678</v>
      </c>
      <c r="G21" s="154">
        <v>1</v>
      </c>
      <c r="H21" s="154">
        <v>2</v>
      </c>
      <c r="I21" s="154"/>
      <c r="J21" s="154"/>
      <c r="K21" s="10">
        <v>133</v>
      </c>
      <c r="L21" s="10">
        <v>26</v>
      </c>
      <c r="M21" s="23"/>
      <c r="N21" s="21"/>
      <c r="O21" s="33" t="s">
        <v>2310</v>
      </c>
    </row>
    <row r="22" ht="16.5" spans="2:15">
      <c r="B22" s="10" t="s">
        <v>26</v>
      </c>
      <c r="C22" s="10" t="s">
        <v>27</v>
      </c>
      <c r="D22" s="10"/>
      <c r="E22" s="10"/>
      <c r="F22" s="10" t="s">
        <v>680</v>
      </c>
      <c r="G22" s="154">
        <v>2</v>
      </c>
      <c r="H22" s="154">
        <v>10</v>
      </c>
      <c r="I22" s="154"/>
      <c r="J22" s="154"/>
      <c r="K22" s="10">
        <v>133</v>
      </c>
      <c r="L22" s="10">
        <v>26</v>
      </c>
      <c r="M22" s="23"/>
      <c r="N22" s="21"/>
      <c r="O22" s="32"/>
    </row>
    <row r="23" ht="280.5" customHeight="1" spans="2:15">
      <c r="B23" s="10" t="s">
        <v>72</v>
      </c>
      <c r="C23" s="10" t="s">
        <v>73</v>
      </c>
      <c r="D23" s="10"/>
      <c r="E23" s="10"/>
      <c r="F23" s="10" t="s">
        <v>2311</v>
      </c>
      <c r="G23" s="154">
        <v>0.01</v>
      </c>
      <c r="H23" s="154">
        <v>1</v>
      </c>
      <c r="I23" s="154"/>
      <c r="J23" s="154"/>
      <c r="K23" s="10">
        <v>123</v>
      </c>
      <c r="L23" s="10">
        <v>28</v>
      </c>
      <c r="M23" s="23" t="s">
        <v>681</v>
      </c>
      <c r="N23" s="21" t="s">
        <v>682</v>
      </c>
      <c r="O23" s="32"/>
    </row>
    <row r="24" ht="16.5" spans="2:15">
      <c r="B24" s="10" t="s">
        <v>72</v>
      </c>
      <c r="C24" s="10" t="s">
        <v>73</v>
      </c>
      <c r="D24" s="10"/>
      <c r="E24" s="10"/>
      <c r="F24" s="10" t="s">
        <v>678</v>
      </c>
      <c r="G24" s="154">
        <v>1</v>
      </c>
      <c r="H24" s="154">
        <v>2</v>
      </c>
      <c r="I24" s="154"/>
      <c r="J24" s="154"/>
      <c r="K24" s="10">
        <v>123</v>
      </c>
      <c r="L24" s="10">
        <v>28</v>
      </c>
      <c r="M24" s="23"/>
      <c r="N24" s="21"/>
      <c r="O24" s="32"/>
    </row>
    <row r="25" ht="16.5" spans="2:15">
      <c r="B25" s="10" t="s">
        <v>72</v>
      </c>
      <c r="C25" s="10" t="s">
        <v>73</v>
      </c>
      <c r="D25" s="10"/>
      <c r="E25" s="10"/>
      <c r="F25" s="10" t="s">
        <v>680</v>
      </c>
      <c r="G25" s="154">
        <v>2</v>
      </c>
      <c r="H25" s="154">
        <v>10</v>
      </c>
      <c r="I25" s="154"/>
      <c r="J25" s="154"/>
      <c r="K25" s="10">
        <v>123</v>
      </c>
      <c r="L25" s="10">
        <v>28</v>
      </c>
      <c r="M25" s="23"/>
      <c r="N25" s="21"/>
      <c r="O25" s="32"/>
    </row>
    <row r="26" ht="99" customHeight="1" spans="2:15">
      <c r="B26" s="10" t="s">
        <v>28</v>
      </c>
      <c r="C26" s="10" t="s">
        <v>29</v>
      </c>
      <c r="D26" s="10"/>
      <c r="E26" s="10"/>
      <c r="F26" s="10" t="s">
        <v>675</v>
      </c>
      <c r="G26" s="154">
        <v>0.01</v>
      </c>
      <c r="H26" s="154">
        <v>1</v>
      </c>
      <c r="I26" s="154"/>
      <c r="J26" s="154"/>
      <c r="K26" s="10">
        <v>154</v>
      </c>
      <c r="L26" s="10">
        <v>36</v>
      </c>
      <c r="M26" s="23" t="s">
        <v>683</v>
      </c>
      <c r="N26" s="21" t="s">
        <v>682</v>
      </c>
      <c r="O26" s="32"/>
    </row>
    <row r="27" ht="16.5" spans="2:15">
      <c r="B27" s="10" t="s">
        <v>28</v>
      </c>
      <c r="C27" s="10" t="s">
        <v>29</v>
      </c>
      <c r="D27" s="10"/>
      <c r="E27" s="10"/>
      <c r="F27" s="10" t="s">
        <v>678</v>
      </c>
      <c r="G27" s="154">
        <v>1</v>
      </c>
      <c r="H27" s="154">
        <v>2</v>
      </c>
      <c r="I27" s="154"/>
      <c r="J27" s="154"/>
      <c r="K27" s="10">
        <v>154</v>
      </c>
      <c r="L27" s="10">
        <v>36</v>
      </c>
      <c r="M27" s="23"/>
      <c r="N27" s="21"/>
      <c r="O27" s="32"/>
    </row>
    <row r="28" ht="16.5" spans="2:15">
      <c r="B28" s="10" t="s">
        <v>28</v>
      </c>
      <c r="C28" s="10" t="s">
        <v>29</v>
      </c>
      <c r="D28" s="10"/>
      <c r="E28" s="10"/>
      <c r="F28" s="10" t="s">
        <v>680</v>
      </c>
      <c r="G28" s="154">
        <v>2</v>
      </c>
      <c r="H28" s="154">
        <v>10</v>
      </c>
      <c r="I28" s="154"/>
      <c r="J28" s="154"/>
      <c r="K28" s="10">
        <v>154</v>
      </c>
      <c r="L28" s="10">
        <v>36</v>
      </c>
      <c r="M28" s="23"/>
      <c r="N28" s="21"/>
      <c r="O28" s="32"/>
    </row>
    <row r="29" ht="99" customHeight="1" spans="2:15">
      <c r="B29" s="10" t="s">
        <v>32</v>
      </c>
      <c r="C29" s="10" t="s">
        <v>33</v>
      </c>
      <c r="D29" s="10"/>
      <c r="E29" s="10"/>
      <c r="F29" s="10" t="s">
        <v>675</v>
      </c>
      <c r="G29" s="154">
        <v>0.01</v>
      </c>
      <c r="H29" s="154">
        <v>1</v>
      </c>
      <c r="I29" s="154"/>
      <c r="J29" s="154"/>
      <c r="K29" s="10">
        <v>141</v>
      </c>
      <c r="L29" s="10">
        <v>37</v>
      </c>
      <c r="M29" s="23" t="s">
        <v>683</v>
      </c>
      <c r="N29" s="21" t="s">
        <v>682</v>
      </c>
      <c r="O29" s="32"/>
    </row>
    <row r="30" ht="16.5" spans="2:15">
      <c r="B30" s="10" t="s">
        <v>32</v>
      </c>
      <c r="C30" s="10" t="s">
        <v>33</v>
      </c>
      <c r="D30" s="10"/>
      <c r="E30" s="10"/>
      <c r="F30" s="10" t="s">
        <v>678</v>
      </c>
      <c r="G30" s="154">
        <v>1</v>
      </c>
      <c r="H30" s="154">
        <v>2</v>
      </c>
      <c r="I30" s="154"/>
      <c r="J30" s="154"/>
      <c r="K30" s="10">
        <v>141</v>
      </c>
      <c r="L30" s="10">
        <v>37</v>
      </c>
      <c r="M30" s="23"/>
      <c r="N30" s="21"/>
      <c r="O30" s="32"/>
    </row>
    <row r="31" ht="16.5" spans="2:15">
      <c r="B31" s="10" t="s">
        <v>32</v>
      </c>
      <c r="C31" s="10" t="s">
        <v>33</v>
      </c>
      <c r="D31" s="10"/>
      <c r="E31" s="10"/>
      <c r="F31" s="10" t="s">
        <v>680</v>
      </c>
      <c r="G31" s="154">
        <v>2</v>
      </c>
      <c r="H31" s="154">
        <v>10</v>
      </c>
      <c r="I31" s="154"/>
      <c r="J31" s="154"/>
      <c r="K31" s="10">
        <v>141</v>
      </c>
      <c r="L31" s="10">
        <v>37</v>
      </c>
      <c r="M31" s="23"/>
      <c r="N31" s="21"/>
      <c r="O31" s="32"/>
    </row>
    <row r="32" ht="99" customHeight="1" spans="2:15">
      <c r="B32" s="10" t="s">
        <v>34</v>
      </c>
      <c r="C32" s="10" t="s">
        <v>35</v>
      </c>
      <c r="D32" s="10"/>
      <c r="E32" s="10"/>
      <c r="F32" s="10" t="s">
        <v>675</v>
      </c>
      <c r="G32" s="154">
        <v>0.01</v>
      </c>
      <c r="H32" s="154">
        <v>1</v>
      </c>
      <c r="I32" s="154"/>
      <c r="J32" s="154"/>
      <c r="K32" s="10">
        <v>136</v>
      </c>
      <c r="L32" s="10">
        <v>30</v>
      </c>
      <c r="M32" s="23" t="s">
        <v>683</v>
      </c>
      <c r="N32" s="21" t="s">
        <v>682</v>
      </c>
      <c r="O32" s="32"/>
    </row>
    <row r="33" ht="16.5" spans="2:15">
      <c r="B33" s="10" t="s">
        <v>34</v>
      </c>
      <c r="C33" s="10" t="s">
        <v>35</v>
      </c>
      <c r="D33" s="10"/>
      <c r="E33" s="10"/>
      <c r="F33" s="10" t="s">
        <v>678</v>
      </c>
      <c r="G33" s="154">
        <v>1</v>
      </c>
      <c r="H33" s="154">
        <v>2</v>
      </c>
      <c r="I33" s="154"/>
      <c r="J33" s="154"/>
      <c r="K33" s="10">
        <v>136</v>
      </c>
      <c r="L33" s="10">
        <v>30</v>
      </c>
      <c r="M33" s="23"/>
      <c r="N33" s="21"/>
      <c r="O33" s="32"/>
    </row>
    <row r="34" ht="16.5" spans="2:15">
      <c r="B34" s="10" t="s">
        <v>34</v>
      </c>
      <c r="C34" s="10" t="s">
        <v>35</v>
      </c>
      <c r="D34" s="10"/>
      <c r="E34" s="10"/>
      <c r="F34" s="10" t="s">
        <v>680</v>
      </c>
      <c r="G34" s="154">
        <v>2</v>
      </c>
      <c r="H34" s="154">
        <v>10</v>
      </c>
      <c r="I34" s="154"/>
      <c r="J34" s="154"/>
      <c r="K34" s="10">
        <v>136</v>
      </c>
      <c r="L34" s="10">
        <v>30</v>
      </c>
      <c r="M34" s="23"/>
      <c r="N34" s="21"/>
      <c r="O34" s="32"/>
    </row>
    <row r="35" ht="99" customHeight="1" spans="2:15">
      <c r="B35" s="10" t="s">
        <v>62</v>
      </c>
      <c r="C35" s="10" t="s">
        <v>63</v>
      </c>
      <c r="D35" s="10"/>
      <c r="E35" s="10"/>
      <c r="F35" s="10" t="s">
        <v>675</v>
      </c>
      <c r="G35" s="154">
        <v>0.01</v>
      </c>
      <c r="H35" s="154">
        <v>1</v>
      </c>
      <c r="I35" s="154"/>
      <c r="J35" s="154"/>
      <c r="K35" s="10">
        <v>137</v>
      </c>
      <c r="L35" s="10">
        <v>30</v>
      </c>
      <c r="M35" s="23" t="s">
        <v>683</v>
      </c>
      <c r="N35" s="21" t="s">
        <v>682</v>
      </c>
      <c r="O35" s="32"/>
    </row>
    <row r="36" ht="16.5" spans="2:15">
      <c r="B36" s="10" t="s">
        <v>62</v>
      </c>
      <c r="C36" s="10" t="s">
        <v>63</v>
      </c>
      <c r="D36" s="10"/>
      <c r="E36" s="10"/>
      <c r="F36" s="10" t="s">
        <v>678</v>
      </c>
      <c r="G36" s="154">
        <v>1</v>
      </c>
      <c r="H36" s="154">
        <v>2</v>
      </c>
      <c r="I36" s="154"/>
      <c r="J36" s="154"/>
      <c r="K36" s="10">
        <v>137</v>
      </c>
      <c r="L36" s="10">
        <v>30</v>
      </c>
      <c r="M36" s="23"/>
      <c r="N36" s="21"/>
      <c r="O36" s="32"/>
    </row>
    <row r="37" ht="16.5" spans="2:15">
      <c r="B37" s="10" t="s">
        <v>62</v>
      </c>
      <c r="C37" s="10" t="s">
        <v>63</v>
      </c>
      <c r="D37" s="10"/>
      <c r="E37" s="10"/>
      <c r="F37" s="10" t="s">
        <v>680</v>
      </c>
      <c r="G37" s="154">
        <v>2</v>
      </c>
      <c r="H37" s="154">
        <v>10</v>
      </c>
      <c r="I37" s="154"/>
      <c r="J37" s="154"/>
      <c r="K37" s="10">
        <v>137</v>
      </c>
      <c r="L37" s="10">
        <v>30</v>
      </c>
      <c r="M37" s="23"/>
      <c r="N37" s="21"/>
      <c r="O37" s="32"/>
    </row>
    <row r="38" ht="99" customHeight="1" spans="2:15">
      <c r="B38" s="10" t="s">
        <v>92</v>
      </c>
      <c r="C38" s="10" t="s">
        <v>93</v>
      </c>
      <c r="D38" s="10"/>
      <c r="E38" s="10"/>
      <c r="F38" s="10" t="s">
        <v>675</v>
      </c>
      <c r="G38" s="154">
        <v>0.01</v>
      </c>
      <c r="H38" s="154">
        <v>1</v>
      </c>
      <c r="I38" s="154"/>
      <c r="J38" s="154"/>
      <c r="K38" s="10">
        <v>140</v>
      </c>
      <c r="L38" s="10">
        <v>47</v>
      </c>
      <c r="M38" s="23" t="s">
        <v>683</v>
      </c>
      <c r="N38" s="21" t="s">
        <v>682</v>
      </c>
      <c r="O38" s="32"/>
    </row>
    <row r="39" ht="16.5" spans="2:15">
      <c r="B39" s="10" t="s">
        <v>92</v>
      </c>
      <c r="C39" s="10" t="s">
        <v>93</v>
      </c>
      <c r="D39" s="10"/>
      <c r="E39" s="10"/>
      <c r="F39" s="10" t="s">
        <v>678</v>
      </c>
      <c r="G39" s="154">
        <v>1</v>
      </c>
      <c r="H39" s="154">
        <v>2</v>
      </c>
      <c r="I39" s="154"/>
      <c r="J39" s="154"/>
      <c r="K39" s="10">
        <v>140</v>
      </c>
      <c r="L39" s="10">
        <v>47</v>
      </c>
      <c r="M39" s="23"/>
      <c r="N39" s="21"/>
      <c r="O39" s="32"/>
    </row>
    <row r="40" ht="16.5" spans="2:15">
      <c r="B40" s="10" t="s">
        <v>92</v>
      </c>
      <c r="C40" s="10" t="s">
        <v>93</v>
      </c>
      <c r="D40" s="10"/>
      <c r="E40" s="10"/>
      <c r="F40" s="10" t="s">
        <v>680</v>
      </c>
      <c r="G40" s="154">
        <v>2</v>
      </c>
      <c r="H40" s="154">
        <v>10</v>
      </c>
      <c r="I40" s="154"/>
      <c r="J40" s="154"/>
      <c r="K40" s="10">
        <v>140</v>
      </c>
      <c r="L40" s="10">
        <v>47</v>
      </c>
      <c r="M40" s="23"/>
      <c r="N40" s="21"/>
      <c r="O40" s="32"/>
    </row>
    <row r="41" ht="99" customHeight="1" spans="2:15">
      <c r="B41" s="10" t="s">
        <v>36</v>
      </c>
      <c r="C41" s="10" t="s">
        <v>37</v>
      </c>
      <c r="D41" s="10"/>
      <c r="E41" s="10"/>
      <c r="F41" s="10" t="s">
        <v>675</v>
      </c>
      <c r="G41" s="154">
        <v>0.01</v>
      </c>
      <c r="H41" s="154">
        <v>1</v>
      </c>
      <c r="I41" s="154"/>
      <c r="J41" s="154"/>
      <c r="K41" s="10">
        <v>133</v>
      </c>
      <c r="L41" s="10">
        <v>34</v>
      </c>
      <c r="M41" s="23" t="s">
        <v>683</v>
      </c>
      <c r="N41" s="21" t="s">
        <v>682</v>
      </c>
      <c r="O41" s="32"/>
    </row>
    <row r="42" ht="16.5" spans="2:15">
      <c r="B42" s="10" t="s">
        <v>36</v>
      </c>
      <c r="C42" s="10" t="s">
        <v>37</v>
      </c>
      <c r="D42" s="10"/>
      <c r="E42" s="10"/>
      <c r="F42" s="10" t="s">
        <v>678</v>
      </c>
      <c r="G42" s="154">
        <v>1</v>
      </c>
      <c r="H42" s="154">
        <v>2</v>
      </c>
      <c r="I42" s="154"/>
      <c r="J42" s="154"/>
      <c r="K42" s="10">
        <v>133</v>
      </c>
      <c r="L42" s="10">
        <v>34</v>
      </c>
      <c r="M42" s="23"/>
      <c r="N42" s="21"/>
      <c r="O42" s="32"/>
    </row>
    <row r="43" ht="16.5" spans="2:15">
      <c r="B43" s="10" t="s">
        <v>36</v>
      </c>
      <c r="C43" s="10" t="s">
        <v>37</v>
      </c>
      <c r="D43" s="10"/>
      <c r="E43" s="10"/>
      <c r="F43" s="10" t="s">
        <v>680</v>
      </c>
      <c r="G43" s="154">
        <v>2</v>
      </c>
      <c r="H43" s="154">
        <v>10</v>
      </c>
      <c r="I43" s="154"/>
      <c r="J43" s="154"/>
      <c r="K43" s="10">
        <v>133</v>
      </c>
      <c r="L43" s="10">
        <v>34</v>
      </c>
      <c r="M43" s="23"/>
      <c r="N43" s="21"/>
      <c r="O43" s="32"/>
    </row>
    <row r="44" ht="99" customHeight="1" spans="2:15">
      <c r="B44" s="10" t="s">
        <v>40</v>
      </c>
      <c r="C44" s="10" t="s">
        <v>41</v>
      </c>
      <c r="D44" s="10"/>
      <c r="E44" s="10"/>
      <c r="F44" s="10" t="s">
        <v>675</v>
      </c>
      <c r="G44" s="154">
        <v>0.01</v>
      </c>
      <c r="H44" s="154">
        <v>1</v>
      </c>
      <c r="I44" s="154"/>
      <c r="J44" s="154"/>
      <c r="K44" s="10">
        <v>114</v>
      </c>
      <c r="L44" s="10">
        <v>33</v>
      </c>
      <c r="M44" s="23" t="s">
        <v>683</v>
      </c>
      <c r="N44" s="21" t="s">
        <v>682</v>
      </c>
      <c r="O44" s="32"/>
    </row>
    <row r="45" ht="16.5" spans="2:15">
      <c r="B45" s="10" t="s">
        <v>40</v>
      </c>
      <c r="C45" s="10" t="s">
        <v>41</v>
      </c>
      <c r="D45" s="10"/>
      <c r="E45" s="10"/>
      <c r="F45" s="10" t="s">
        <v>678</v>
      </c>
      <c r="G45" s="154">
        <v>1</v>
      </c>
      <c r="H45" s="154">
        <v>2</v>
      </c>
      <c r="I45" s="154"/>
      <c r="J45" s="154"/>
      <c r="K45" s="10">
        <v>114</v>
      </c>
      <c r="L45" s="10">
        <v>33</v>
      </c>
      <c r="M45" s="23"/>
      <c r="N45" s="21"/>
      <c r="O45" s="32"/>
    </row>
    <row r="46" ht="16.5" spans="2:15">
      <c r="B46" s="10" t="s">
        <v>40</v>
      </c>
      <c r="C46" s="10" t="s">
        <v>41</v>
      </c>
      <c r="D46" s="10"/>
      <c r="E46" s="10"/>
      <c r="F46" s="10" t="s">
        <v>680</v>
      </c>
      <c r="G46" s="154">
        <v>2</v>
      </c>
      <c r="H46" s="154">
        <v>10</v>
      </c>
      <c r="I46" s="154"/>
      <c r="J46" s="154"/>
      <c r="K46" s="10">
        <v>114</v>
      </c>
      <c r="L46" s="10">
        <v>33</v>
      </c>
      <c r="M46" s="23"/>
      <c r="N46" s="21"/>
      <c r="O46" s="32"/>
    </row>
    <row r="47" ht="99" customHeight="1" spans="2:15">
      <c r="B47" s="10" t="s">
        <v>70</v>
      </c>
      <c r="C47" s="10" t="s">
        <v>71</v>
      </c>
      <c r="D47" s="10"/>
      <c r="E47" s="10"/>
      <c r="F47" s="10" t="s">
        <v>675</v>
      </c>
      <c r="G47" s="154">
        <v>0.01</v>
      </c>
      <c r="H47" s="154">
        <v>1</v>
      </c>
      <c r="I47" s="154"/>
      <c r="J47" s="154"/>
      <c r="K47" s="10">
        <v>124</v>
      </c>
      <c r="L47" s="10">
        <v>48</v>
      </c>
      <c r="M47" s="23" t="s">
        <v>683</v>
      </c>
      <c r="N47" s="21" t="s">
        <v>682</v>
      </c>
      <c r="O47" s="32"/>
    </row>
    <row r="48" ht="16.5" spans="2:15">
      <c r="B48" s="10" t="s">
        <v>70</v>
      </c>
      <c r="C48" s="10" t="s">
        <v>71</v>
      </c>
      <c r="D48" s="10"/>
      <c r="E48" s="10"/>
      <c r="F48" s="10" t="s">
        <v>678</v>
      </c>
      <c r="G48" s="154">
        <v>1</v>
      </c>
      <c r="H48" s="154">
        <v>2</v>
      </c>
      <c r="I48" s="154"/>
      <c r="J48" s="154"/>
      <c r="K48" s="10">
        <v>124</v>
      </c>
      <c r="L48" s="10">
        <v>48</v>
      </c>
      <c r="M48" s="23"/>
      <c r="N48" s="21"/>
      <c r="O48" s="32"/>
    </row>
    <row r="49" ht="16.5" spans="2:15">
      <c r="B49" s="10" t="s">
        <v>70</v>
      </c>
      <c r="C49" s="10" t="s">
        <v>71</v>
      </c>
      <c r="D49" s="10"/>
      <c r="E49" s="10"/>
      <c r="F49" s="10" t="s">
        <v>680</v>
      </c>
      <c r="G49" s="154">
        <v>2</v>
      </c>
      <c r="H49" s="154">
        <v>10</v>
      </c>
      <c r="I49" s="154"/>
      <c r="J49" s="154"/>
      <c r="K49" s="10">
        <v>124</v>
      </c>
      <c r="L49" s="10">
        <v>48</v>
      </c>
      <c r="M49" s="23"/>
      <c r="N49" s="21"/>
      <c r="O49" s="32"/>
    </row>
    <row r="50" ht="99" customHeight="1" spans="2:15">
      <c r="B50" s="10" t="s">
        <v>30</v>
      </c>
      <c r="C50" s="10" t="s">
        <v>31</v>
      </c>
      <c r="D50" s="10"/>
      <c r="E50" s="10"/>
      <c r="F50" s="10" t="s">
        <v>675</v>
      </c>
      <c r="G50" s="154">
        <v>0.01</v>
      </c>
      <c r="H50" s="154">
        <v>1</v>
      </c>
      <c r="I50" s="154"/>
      <c r="J50" s="154"/>
      <c r="K50" s="10">
        <v>120</v>
      </c>
      <c r="L50" s="10">
        <v>41</v>
      </c>
      <c r="M50" s="23" t="s">
        <v>683</v>
      </c>
      <c r="N50" s="21" t="s">
        <v>682</v>
      </c>
      <c r="O50" s="32"/>
    </row>
    <row r="51" ht="16.5" spans="2:15">
      <c r="B51" s="10" t="s">
        <v>30</v>
      </c>
      <c r="C51" s="10" t="s">
        <v>31</v>
      </c>
      <c r="D51" s="10"/>
      <c r="E51" s="10"/>
      <c r="F51" s="10" t="s">
        <v>678</v>
      </c>
      <c r="G51" s="154">
        <v>1</v>
      </c>
      <c r="H51" s="154">
        <v>2</v>
      </c>
      <c r="I51" s="154"/>
      <c r="J51" s="154"/>
      <c r="K51" s="10">
        <v>120</v>
      </c>
      <c r="L51" s="10">
        <v>26</v>
      </c>
      <c r="M51" s="23"/>
      <c r="N51" s="21"/>
      <c r="O51" s="32"/>
    </row>
    <row r="52" ht="16.5" spans="2:15">
      <c r="B52" s="10" t="s">
        <v>30</v>
      </c>
      <c r="C52" s="10" t="s">
        <v>31</v>
      </c>
      <c r="D52" s="10"/>
      <c r="E52" s="10"/>
      <c r="F52" s="10" t="s">
        <v>680</v>
      </c>
      <c r="G52" s="154">
        <v>2</v>
      </c>
      <c r="H52" s="154">
        <v>10</v>
      </c>
      <c r="I52" s="154"/>
      <c r="J52" s="154"/>
      <c r="K52" s="10">
        <v>120</v>
      </c>
      <c r="L52" s="10">
        <v>26</v>
      </c>
      <c r="M52" s="23"/>
      <c r="N52" s="21"/>
      <c r="O52" s="32"/>
    </row>
    <row r="53" ht="99" customHeight="1" spans="2:15">
      <c r="B53" s="10" t="s">
        <v>48</v>
      </c>
      <c r="C53" s="10" t="s">
        <v>49</v>
      </c>
      <c r="D53" s="10"/>
      <c r="E53" s="10"/>
      <c r="F53" s="10" t="s">
        <v>675</v>
      </c>
      <c r="G53" s="154">
        <v>0.01</v>
      </c>
      <c r="H53" s="154">
        <v>1</v>
      </c>
      <c r="I53" s="154"/>
      <c r="J53" s="154"/>
      <c r="K53" s="10">
        <v>133</v>
      </c>
      <c r="L53" s="10">
        <v>47</v>
      </c>
      <c r="M53" s="23" t="s">
        <v>683</v>
      </c>
      <c r="N53" s="21" t="s">
        <v>682</v>
      </c>
      <c r="O53" s="32"/>
    </row>
    <row r="54" ht="16.5" spans="2:15">
      <c r="B54" s="10" t="s">
        <v>48</v>
      </c>
      <c r="C54" s="10" t="s">
        <v>49</v>
      </c>
      <c r="D54" s="10"/>
      <c r="E54" s="10"/>
      <c r="F54" s="10" t="s">
        <v>678</v>
      </c>
      <c r="G54" s="154">
        <v>1</v>
      </c>
      <c r="H54" s="154">
        <v>2</v>
      </c>
      <c r="I54" s="154"/>
      <c r="J54" s="154"/>
      <c r="K54" s="10">
        <v>133</v>
      </c>
      <c r="L54" s="10">
        <v>47</v>
      </c>
      <c r="M54" s="23"/>
      <c r="N54" s="21"/>
      <c r="O54" s="32"/>
    </row>
    <row r="55" ht="16.5" spans="2:15">
      <c r="B55" s="10" t="s">
        <v>48</v>
      </c>
      <c r="C55" s="10" t="s">
        <v>49</v>
      </c>
      <c r="D55" s="10"/>
      <c r="E55" s="10"/>
      <c r="F55" s="10" t="s">
        <v>680</v>
      </c>
      <c r="G55" s="154">
        <v>2</v>
      </c>
      <c r="H55" s="154">
        <v>10</v>
      </c>
      <c r="I55" s="154"/>
      <c r="J55" s="154"/>
      <c r="K55" s="10">
        <v>133</v>
      </c>
      <c r="L55" s="10">
        <v>47</v>
      </c>
      <c r="M55" s="23"/>
      <c r="N55" s="21"/>
      <c r="O55" s="32"/>
    </row>
    <row r="56" ht="99" customHeight="1" spans="2:15">
      <c r="B56" s="10" t="s">
        <v>60</v>
      </c>
      <c r="C56" s="10" t="s">
        <v>61</v>
      </c>
      <c r="D56" s="10"/>
      <c r="E56" s="10"/>
      <c r="F56" s="10" t="s">
        <v>675</v>
      </c>
      <c r="G56" s="154">
        <v>0.01</v>
      </c>
      <c r="H56" s="154">
        <v>1</v>
      </c>
      <c r="I56" s="154"/>
      <c r="J56" s="154"/>
      <c r="K56" s="10">
        <v>130</v>
      </c>
      <c r="L56" s="10">
        <v>48</v>
      </c>
      <c r="M56" s="23" t="s">
        <v>683</v>
      </c>
      <c r="N56" s="21" t="s">
        <v>682</v>
      </c>
      <c r="O56" s="32"/>
    </row>
    <row r="57" ht="16.5" spans="2:15">
      <c r="B57" s="10" t="s">
        <v>60</v>
      </c>
      <c r="C57" s="10" t="s">
        <v>61</v>
      </c>
      <c r="D57" s="10"/>
      <c r="E57" s="10"/>
      <c r="F57" s="10" t="s">
        <v>678</v>
      </c>
      <c r="G57" s="154">
        <v>1</v>
      </c>
      <c r="H57" s="154">
        <v>2</v>
      </c>
      <c r="I57" s="154"/>
      <c r="J57" s="154"/>
      <c r="K57" s="10">
        <v>130</v>
      </c>
      <c r="L57" s="10">
        <v>34</v>
      </c>
      <c r="M57" s="23"/>
      <c r="N57" s="21"/>
      <c r="O57" s="32"/>
    </row>
    <row r="58" ht="16.5" spans="2:15">
      <c r="B58" s="10" t="s">
        <v>60</v>
      </c>
      <c r="C58" s="10" t="s">
        <v>61</v>
      </c>
      <c r="D58" s="10"/>
      <c r="E58" s="10"/>
      <c r="F58" s="10" t="s">
        <v>680</v>
      </c>
      <c r="G58" s="154">
        <v>2</v>
      </c>
      <c r="H58" s="154">
        <v>10</v>
      </c>
      <c r="I58" s="154"/>
      <c r="J58" s="154"/>
      <c r="K58" s="10">
        <v>130</v>
      </c>
      <c r="L58" s="10">
        <v>34</v>
      </c>
      <c r="M58" s="23"/>
      <c r="N58" s="21"/>
      <c r="O58" s="32"/>
    </row>
    <row r="59" ht="99" customHeight="1" spans="2:15">
      <c r="B59" s="10" t="s">
        <v>66</v>
      </c>
      <c r="C59" s="10" t="s">
        <v>67</v>
      </c>
      <c r="D59" s="10"/>
      <c r="E59" s="10"/>
      <c r="F59" s="10" t="s">
        <v>675</v>
      </c>
      <c r="G59" s="154">
        <v>0.01</v>
      </c>
      <c r="H59" s="154">
        <v>1</v>
      </c>
      <c r="I59" s="154"/>
      <c r="J59" s="154"/>
      <c r="K59" s="10">
        <v>122</v>
      </c>
      <c r="L59" s="10">
        <v>35</v>
      </c>
      <c r="M59" s="23" t="s">
        <v>683</v>
      </c>
      <c r="N59" s="21" t="s">
        <v>684</v>
      </c>
      <c r="O59" s="32"/>
    </row>
    <row r="60" ht="16.5" spans="2:15">
      <c r="B60" s="10" t="s">
        <v>66</v>
      </c>
      <c r="C60" s="10" t="s">
        <v>67</v>
      </c>
      <c r="D60" s="10"/>
      <c r="E60" s="10"/>
      <c r="F60" s="10" t="s">
        <v>678</v>
      </c>
      <c r="G60" s="154">
        <v>1</v>
      </c>
      <c r="H60" s="154">
        <v>2</v>
      </c>
      <c r="I60" s="154"/>
      <c r="J60" s="154"/>
      <c r="K60" s="10">
        <v>122</v>
      </c>
      <c r="L60" s="10">
        <v>35</v>
      </c>
      <c r="M60" s="23"/>
      <c r="N60" s="21"/>
      <c r="O60" s="32"/>
    </row>
    <row r="61" ht="16.5" spans="2:15">
      <c r="B61" s="10" t="s">
        <v>66</v>
      </c>
      <c r="C61" s="10" t="s">
        <v>67</v>
      </c>
      <c r="D61" s="10"/>
      <c r="E61" s="10"/>
      <c r="F61" s="10" t="s">
        <v>680</v>
      </c>
      <c r="G61" s="154">
        <v>2</v>
      </c>
      <c r="H61" s="154">
        <v>10</v>
      </c>
      <c r="I61" s="154"/>
      <c r="J61" s="154"/>
      <c r="K61" s="10">
        <v>122</v>
      </c>
      <c r="L61" s="10">
        <v>35</v>
      </c>
      <c r="M61" s="23"/>
      <c r="N61" s="21"/>
      <c r="O61" s="32"/>
    </row>
    <row r="62" ht="99" customHeight="1" spans="2:15">
      <c r="B62" s="10" t="s">
        <v>68</v>
      </c>
      <c r="C62" s="10" t="s">
        <v>69</v>
      </c>
      <c r="D62" s="10"/>
      <c r="E62" s="10"/>
      <c r="F62" s="10" t="s">
        <v>675</v>
      </c>
      <c r="G62" s="154">
        <v>0.01</v>
      </c>
      <c r="H62" s="154">
        <v>1</v>
      </c>
      <c r="I62" s="154"/>
      <c r="J62" s="154"/>
      <c r="K62" s="10">
        <v>153</v>
      </c>
      <c r="L62" s="10">
        <v>78</v>
      </c>
      <c r="M62" s="23" t="s">
        <v>683</v>
      </c>
      <c r="N62" s="21" t="s">
        <v>682</v>
      </c>
      <c r="O62" s="32"/>
    </row>
    <row r="63" ht="16.5" spans="2:15">
      <c r="B63" s="10" t="s">
        <v>68</v>
      </c>
      <c r="C63" s="10" t="s">
        <v>69</v>
      </c>
      <c r="D63" s="10"/>
      <c r="E63" s="10"/>
      <c r="F63" s="10" t="s">
        <v>678</v>
      </c>
      <c r="G63" s="154">
        <v>1</v>
      </c>
      <c r="H63" s="154">
        <v>2</v>
      </c>
      <c r="I63" s="154"/>
      <c r="J63" s="154"/>
      <c r="K63" s="10">
        <v>153</v>
      </c>
      <c r="L63" s="10">
        <v>48</v>
      </c>
      <c r="M63" s="23"/>
      <c r="N63" s="21"/>
      <c r="O63" s="32"/>
    </row>
    <row r="64" ht="16.5" spans="2:15">
      <c r="B64" s="10" t="s">
        <v>68</v>
      </c>
      <c r="C64" s="10" t="s">
        <v>69</v>
      </c>
      <c r="D64" s="10"/>
      <c r="E64" s="10"/>
      <c r="F64" s="10" t="s">
        <v>680</v>
      </c>
      <c r="G64" s="154">
        <v>2</v>
      </c>
      <c r="H64" s="154">
        <v>10</v>
      </c>
      <c r="I64" s="154"/>
      <c r="J64" s="154"/>
      <c r="K64" s="10">
        <v>153</v>
      </c>
      <c r="L64" s="10">
        <v>45</v>
      </c>
      <c r="M64" s="23"/>
      <c r="N64" s="21"/>
      <c r="O64" s="32"/>
    </row>
    <row r="65" ht="99" customHeight="1" spans="2:15">
      <c r="B65" s="10" t="s">
        <v>42</v>
      </c>
      <c r="C65" s="10" t="s">
        <v>43</v>
      </c>
      <c r="D65" s="10"/>
      <c r="E65" s="10"/>
      <c r="F65" s="10" t="s">
        <v>675</v>
      </c>
      <c r="G65" s="154">
        <v>0.01</v>
      </c>
      <c r="H65" s="154">
        <v>1</v>
      </c>
      <c r="I65" s="154"/>
      <c r="J65" s="154"/>
      <c r="K65" s="10">
        <v>125</v>
      </c>
      <c r="L65" s="10">
        <v>39</v>
      </c>
      <c r="M65" s="23" t="s">
        <v>683</v>
      </c>
      <c r="N65" s="21" t="s">
        <v>684</v>
      </c>
      <c r="O65" s="32"/>
    </row>
    <row r="66" ht="16.5" spans="2:15">
      <c r="B66" s="10" t="s">
        <v>42</v>
      </c>
      <c r="C66" s="10" t="s">
        <v>43</v>
      </c>
      <c r="D66" s="10"/>
      <c r="E66" s="10"/>
      <c r="F66" s="10" t="s">
        <v>678</v>
      </c>
      <c r="G66" s="154">
        <v>1</v>
      </c>
      <c r="H66" s="154">
        <v>2</v>
      </c>
      <c r="I66" s="154"/>
      <c r="J66" s="154"/>
      <c r="K66" s="10">
        <v>125</v>
      </c>
      <c r="L66" s="10">
        <v>39</v>
      </c>
      <c r="M66" s="23"/>
      <c r="N66" s="21"/>
      <c r="O66" s="32"/>
    </row>
    <row r="67" ht="16.5" spans="2:15">
      <c r="B67" s="10" t="s">
        <v>42</v>
      </c>
      <c r="C67" s="10" t="s">
        <v>43</v>
      </c>
      <c r="D67" s="10"/>
      <c r="E67" s="10"/>
      <c r="F67" s="10" t="s">
        <v>680</v>
      </c>
      <c r="G67" s="154">
        <v>2</v>
      </c>
      <c r="H67" s="154">
        <v>10</v>
      </c>
      <c r="I67" s="154"/>
      <c r="J67" s="154"/>
      <c r="K67" s="10">
        <v>125</v>
      </c>
      <c r="L67" s="10">
        <v>39</v>
      </c>
      <c r="M67" s="23"/>
      <c r="N67" s="21"/>
      <c r="O67" s="32"/>
    </row>
    <row r="68" ht="99" customHeight="1" spans="2:15">
      <c r="B68" s="10" t="s">
        <v>54</v>
      </c>
      <c r="C68" s="10" t="s">
        <v>55</v>
      </c>
      <c r="D68" s="10"/>
      <c r="E68" s="10"/>
      <c r="F68" s="10" t="s">
        <v>675</v>
      </c>
      <c r="G68" s="154">
        <v>0.01</v>
      </c>
      <c r="H68" s="154">
        <v>1</v>
      </c>
      <c r="I68" s="154"/>
      <c r="J68" s="154"/>
      <c r="K68" s="10">
        <v>119</v>
      </c>
      <c r="L68" s="10">
        <v>29</v>
      </c>
      <c r="M68" s="23" t="s">
        <v>683</v>
      </c>
      <c r="N68" s="21" t="s">
        <v>682</v>
      </c>
      <c r="O68" s="32"/>
    </row>
    <row r="69" ht="16.5" spans="2:15">
      <c r="B69" s="10" t="s">
        <v>54</v>
      </c>
      <c r="C69" s="10" t="s">
        <v>55</v>
      </c>
      <c r="D69" s="10"/>
      <c r="E69" s="10"/>
      <c r="F69" s="10" t="s">
        <v>678</v>
      </c>
      <c r="G69" s="154">
        <v>1</v>
      </c>
      <c r="H69" s="154">
        <v>2</v>
      </c>
      <c r="I69" s="154"/>
      <c r="J69" s="154"/>
      <c r="K69" s="10">
        <v>119</v>
      </c>
      <c r="L69" s="10">
        <v>29</v>
      </c>
      <c r="M69" s="23"/>
      <c r="N69" s="21"/>
      <c r="O69" s="32"/>
    </row>
    <row r="70" ht="16.5" spans="2:15">
      <c r="B70" s="10" t="s">
        <v>54</v>
      </c>
      <c r="C70" s="10" t="s">
        <v>55</v>
      </c>
      <c r="D70" s="10"/>
      <c r="E70" s="10"/>
      <c r="F70" s="10" t="s">
        <v>680</v>
      </c>
      <c r="G70" s="154">
        <v>2</v>
      </c>
      <c r="H70" s="154">
        <v>10</v>
      </c>
      <c r="I70" s="154"/>
      <c r="J70" s="154"/>
      <c r="K70" s="10">
        <v>119</v>
      </c>
      <c r="L70" s="10">
        <v>29</v>
      </c>
      <c r="M70" s="23"/>
      <c r="N70" s="21"/>
      <c r="O70" s="32"/>
    </row>
    <row r="71" ht="99" customHeight="1" spans="2:15">
      <c r="B71" s="10" t="s">
        <v>58</v>
      </c>
      <c r="C71" s="10" t="s">
        <v>59</v>
      </c>
      <c r="D71" s="10"/>
      <c r="E71" s="10"/>
      <c r="F71" s="10" t="s">
        <v>675</v>
      </c>
      <c r="G71" s="154">
        <v>0.01</v>
      </c>
      <c r="H71" s="154">
        <v>1</v>
      </c>
      <c r="I71" s="154"/>
      <c r="J71" s="154"/>
      <c r="K71" s="10">
        <v>143</v>
      </c>
      <c r="L71" s="10">
        <v>67</v>
      </c>
      <c r="M71" s="23" t="s">
        <v>683</v>
      </c>
      <c r="N71" s="21" t="s">
        <v>684</v>
      </c>
      <c r="O71" s="32"/>
    </row>
    <row r="72" ht="16.5" spans="2:15">
      <c r="B72" s="10" t="s">
        <v>58</v>
      </c>
      <c r="C72" s="10" t="s">
        <v>59</v>
      </c>
      <c r="D72" s="10"/>
      <c r="E72" s="10"/>
      <c r="F72" s="10" t="s">
        <v>678</v>
      </c>
      <c r="G72" s="154">
        <v>1</v>
      </c>
      <c r="H72" s="154">
        <v>2</v>
      </c>
      <c r="I72" s="154"/>
      <c r="J72" s="154"/>
      <c r="K72" s="10">
        <v>143</v>
      </c>
      <c r="L72" s="10">
        <v>51</v>
      </c>
      <c r="M72" s="23"/>
      <c r="N72" s="21"/>
      <c r="O72" s="32"/>
    </row>
    <row r="73" ht="16.5" spans="2:15">
      <c r="B73" s="10" t="s">
        <v>58</v>
      </c>
      <c r="C73" s="10" t="s">
        <v>59</v>
      </c>
      <c r="D73" s="10"/>
      <c r="E73" s="10"/>
      <c r="F73" s="10" t="s">
        <v>680</v>
      </c>
      <c r="G73" s="154">
        <v>2</v>
      </c>
      <c r="H73" s="154">
        <v>10</v>
      </c>
      <c r="I73" s="154"/>
      <c r="J73" s="154"/>
      <c r="K73" s="10">
        <v>143</v>
      </c>
      <c r="L73" s="10">
        <v>31</v>
      </c>
      <c r="M73" s="23"/>
      <c r="N73" s="21"/>
      <c r="O73" s="32"/>
    </row>
    <row r="74" ht="99" customHeight="1" spans="2:15">
      <c r="B74" s="10" t="s">
        <v>74</v>
      </c>
      <c r="C74" s="10" t="s">
        <v>75</v>
      </c>
      <c r="D74" s="10"/>
      <c r="E74" s="10"/>
      <c r="F74" s="10" t="s">
        <v>675</v>
      </c>
      <c r="G74" s="154">
        <v>0.01</v>
      </c>
      <c r="H74" s="154">
        <v>1</v>
      </c>
      <c r="I74" s="154"/>
      <c r="J74" s="154"/>
      <c r="K74" s="10">
        <v>124</v>
      </c>
      <c r="L74" s="10">
        <v>40</v>
      </c>
      <c r="M74" s="23" t="s">
        <v>683</v>
      </c>
      <c r="N74" s="21" t="s">
        <v>682</v>
      </c>
      <c r="O74" s="32"/>
    </row>
    <row r="75" ht="16.5" spans="2:15">
      <c r="B75" s="10" t="s">
        <v>74</v>
      </c>
      <c r="C75" s="10" t="s">
        <v>75</v>
      </c>
      <c r="D75" s="10"/>
      <c r="E75" s="10"/>
      <c r="F75" s="10" t="s">
        <v>678</v>
      </c>
      <c r="G75" s="154">
        <v>1</v>
      </c>
      <c r="H75" s="154">
        <v>2</v>
      </c>
      <c r="I75" s="154"/>
      <c r="J75" s="154"/>
      <c r="K75" s="10">
        <v>124</v>
      </c>
      <c r="L75" s="10">
        <v>30</v>
      </c>
      <c r="M75" s="23"/>
      <c r="N75" s="21"/>
      <c r="O75" s="32"/>
    </row>
    <row r="76" ht="16.5" spans="2:15">
      <c r="B76" s="10" t="s">
        <v>74</v>
      </c>
      <c r="C76" s="10" t="s">
        <v>75</v>
      </c>
      <c r="D76" s="10"/>
      <c r="E76" s="10"/>
      <c r="F76" s="10" t="s">
        <v>680</v>
      </c>
      <c r="G76" s="154">
        <v>2</v>
      </c>
      <c r="H76" s="154">
        <v>10</v>
      </c>
      <c r="I76" s="154"/>
      <c r="J76" s="154"/>
      <c r="K76" s="10">
        <v>124</v>
      </c>
      <c r="L76" s="10">
        <v>30</v>
      </c>
      <c r="M76" s="23"/>
      <c r="N76" s="21"/>
      <c r="O76" s="32"/>
    </row>
    <row r="77" ht="99" customHeight="1" spans="2:15">
      <c r="B77" s="10" t="s">
        <v>46</v>
      </c>
      <c r="C77" s="10" t="s">
        <v>47</v>
      </c>
      <c r="D77" s="10"/>
      <c r="E77" s="10"/>
      <c r="F77" s="10" t="s">
        <v>675</v>
      </c>
      <c r="G77" s="154">
        <v>0.01</v>
      </c>
      <c r="H77" s="154">
        <v>1</v>
      </c>
      <c r="I77" s="154"/>
      <c r="J77" s="154"/>
      <c r="K77" s="10">
        <v>153</v>
      </c>
      <c r="L77" s="10">
        <v>119</v>
      </c>
      <c r="M77" s="23" t="s">
        <v>683</v>
      </c>
      <c r="N77" s="21" t="s">
        <v>682</v>
      </c>
      <c r="O77" s="32"/>
    </row>
    <row r="78" ht="16.5" spans="2:15">
      <c r="B78" s="10" t="s">
        <v>46</v>
      </c>
      <c r="C78" s="10" t="s">
        <v>47</v>
      </c>
      <c r="D78" s="10"/>
      <c r="E78" s="10"/>
      <c r="F78" s="10" t="s">
        <v>678</v>
      </c>
      <c r="G78" s="154">
        <v>1</v>
      </c>
      <c r="H78" s="154">
        <v>2</v>
      </c>
      <c r="I78" s="154"/>
      <c r="J78" s="154"/>
      <c r="K78" s="10">
        <v>153</v>
      </c>
      <c r="L78" s="10">
        <v>102</v>
      </c>
      <c r="M78" s="23"/>
      <c r="N78" s="21"/>
      <c r="O78" s="32"/>
    </row>
    <row r="79" ht="16.5" spans="2:15">
      <c r="B79" s="10" t="s">
        <v>46</v>
      </c>
      <c r="C79" s="10" t="s">
        <v>47</v>
      </c>
      <c r="D79" s="10"/>
      <c r="E79" s="10"/>
      <c r="F79" s="10" t="s">
        <v>680</v>
      </c>
      <c r="G79" s="154">
        <v>2</v>
      </c>
      <c r="H79" s="154">
        <v>10</v>
      </c>
      <c r="I79" s="154"/>
      <c r="J79" s="154"/>
      <c r="K79" s="10">
        <v>136</v>
      </c>
      <c r="L79" s="10">
        <v>102</v>
      </c>
      <c r="M79" s="23"/>
      <c r="N79" s="21"/>
      <c r="O79" s="32"/>
    </row>
    <row r="80" ht="99" customHeight="1" spans="2:15">
      <c r="B80" s="10" t="s">
        <v>64</v>
      </c>
      <c r="C80" s="10" t="s">
        <v>65</v>
      </c>
      <c r="D80" s="10"/>
      <c r="E80" s="10"/>
      <c r="F80" s="10" t="s">
        <v>675</v>
      </c>
      <c r="G80" s="154">
        <v>0.01</v>
      </c>
      <c r="H80" s="154">
        <v>1</v>
      </c>
      <c r="I80" s="154"/>
      <c r="J80" s="154"/>
      <c r="K80" s="10">
        <v>119</v>
      </c>
      <c r="L80" s="10">
        <v>31</v>
      </c>
      <c r="M80" s="23" t="s">
        <v>683</v>
      </c>
      <c r="N80" s="21" t="s">
        <v>682</v>
      </c>
      <c r="O80" s="32"/>
    </row>
    <row r="81" ht="16.5" spans="2:15">
      <c r="B81" s="10" t="s">
        <v>64</v>
      </c>
      <c r="C81" s="10" t="s">
        <v>65</v>
      </c>
      <c r="D81" s="10"/>
      <c r="E81" s="10"/>
      <c r="F81" s="10" t="s">
        <v>678</v>
      </c>
      <c r="G81" s="154">
        <v>1</v>
      </c>
      <c r="H81" s="154">
        <v>2</v>
      </c>
      <c r="I81" s="154"/>
      <c r="J81" s="154"/>
      <c r="K81" s="10">
        <v>119</v>
      </c>
      <c r="L81" s="10">
        <v>31</v>
      </c>
      <c r="M81" s="23"/>
      <c r="N81" s="21"/>
      <c r="O81" s="32"/>
    </row>
    <row r="82" ht="16.5" spans="2:15">
      <c r="B82" s="10" t="s">
        <v>64</v>
      </c>
      <c r="C82" s="10" t="s">
        <v>65</v>
      </c>
      <c r="D82" s="10"/>
      <c r="E82" s="10"/>
      <c r="F82" s="10" t="s">
        <v>680</v>
      </c>
      <c r="G82" s="154">
        <v>2</v>
      </c>
      <c r="H82" s="154">
        <v>10</v>
      </c>
      <c r="I82" s="154"/>
      <c r="J82" s="154"/>
      <c r="K82" s="10">
        <v>119</v>
      </c>
      <c r="L82" s="10">
        <v>31</v>
      </c>
      <c r="M82" s="23"/>
      <c r="N82" s="21"/>
      <c r="O82" s="32"/>
    </row>
    <row r="83" ht="99" customHeight="1" spans="2:15">
      <c r="B83" s="10" t="s">
        <v>56</v>
      </c>
      <c r="C83" s="10" t="s">
        <v>57</v>
      </c>
      <c r="D83" s="10"/>
      <c r="E83" s="10"/>
      <c r="F83" s="10" t="s">
        <v>675</v>
      </c>
      <c r="G83" s="154">
        <v>0.01</v>
      </c>
      <c r="H83" s="154">
        <v>1</v>
      </c>
      <c r="I83" s="154"/>
      <c r="J83" s="154"/>
      <c r="K83" s="10">
        <v>153</v>
      </c>
      <c r="L83" s="10">
        <v>87</v>
      </c>
      <c r="M83" s="23" t="s">
        <v>683</v>
      </c>
      <c r="N83" s="21" t="s">
        <v>682</v>
      </c>
      <c r="O83" s="32"/>
    </row>
    <row r="84" ht="16.5" spans="2:15">
      <c r="B84" s="10" t="s">
        <v>56</v>
      </c>
      <c r="C84" s="10" t="s">
        <v>57</v>
      </c>
      <c r="D84" s="10"/>
      <c r="E84" s="10"/>
      <c r="F84" s="10" t="s">
        <v>678</v>
      </c>
      <c r="G84" s="154">
        <v>1</v>
      </c>
      <c r="H84" s="154">
        <v>2</v>
      </c>
      <c r="I84" s="154"/>
      <c r="J84" s="154"/>
      <c r="K84" s="10">
        <v>158</v>
      </c>
      <c r="L84" s="10">
        <v>64</v>
      </c>
      <c r="M84" s="23"/>
      <c r="N84" s="21"/>
      <c r="O84" s="32"/>
    </row>
    <row r="85" ht="16.5" spans="2:15">
      <c r="B85" s="10" t="s">
        <v>56</v>
      </c>
      <c r="C85" s="10" t="s">
        <v>57</v>
      </c>
      <c r="D85" s="10"/>
      <c r="E85" s="10"/>
      <c r="F85" s="10" t="s">
        <v>680</v>
      </c>
      <c r="G85" s="154">
        <v>2</v>
      </c>
      <c r="H85" s="154">
        <v>10</v>
      </c>
      <c r="I85" s="154"/>
      <c r="J85" s="154"/>
      <c r="K85" s="10">
        <v>136</v>
      </c>
      <c r="L85" s="10">
        <v>54</v>
      </c>
      <c r="M85" s="23"/>
      <c r="N85" s="21"/>
      <c r="O85" s="32"/>
    </row>
    <row r="86" ht="99" customHeight="1" spans="2:15">
      <c r="B86" s="10" t="s">
        <v>50</v>
      </c>
      <c r="C86" s="10" t="s">
        <v>51</v>
      </c>
      <c r="D86" s="10"/>
      <c r="E86" s="10"/>
      <c r="F86" s="10" t="s">
        <v>675</v>
      </c>
      <c r="G86" s="154">
        <v>0.01</v>
      </c>
      <c r="H86" s="154">
        <v>1</v>
      </c>
      <c r="I86" s="154"/>
      <c r="J86" s="154"/>
      <c r="K86" s="10">
        <v>141</v>
      </c>
      <c r="L86" s="10">
        <v>94</v>
      </c>
      <c r="M86" s="23" t="s">
        <v>683</v>
      </c>
      <c r="N86" s="21" t="s">
        <v>682</v>
      </c>
      <c r="O86" s="32"/>
    </row>
    <row r="87" ht="16.5" spans="2:15">
      <c r="B87" s="10" t="s">
        <v>50</v>
      </c>
      <c r="C87" s="10" t="s">
        <v>51</v>
      </c>
      <c r="D87" s="10"/>
      <c r="E87" s="10"/>
      <c r="F87" s="10" t="s">
        <v>678</v>
      </c>
      <c r="G87" s="154">
        <v>1</v>
      </c>
      <c r="H87" s="154">
        <v>2</v>
      </c>
      <c r="I87" s="154"/>
      <c r="J87" s="154"/>
      <c r="K87" s="10">
        <v>158</v>
      </c>
      <c r="L87" s="10">
        <v>61</v>
      </c>
      <c r="M87" s="23"/>
      <c r="N87" s="21"/>
      <c r="O87" s="32"/>
    </row>
    <row r="88" ht="16.5" spans="2:15">
      <c r="B88" s="10" t="s">
        <v>50</v>
      </c>
      <c r="C88" s="10" t="s">
        <v>51</v>
      </c>
      <c r="D88" s="10"/>
      <c r="E88" s="10"/>
      <c r="F88" s="10" t="s">
        <v>680</v>
      </c>
      <c r="G88" s="154">
        <v>2</v>
      </c>
      <c r="H88" s="154">
        <v>10</v>
      </c>
      <c r="I88" s="154"/>
      <c r="J88" s="154"/>
      <c r="K88" s="10">
        <v>136</v>
      </c>
      <c r="L88" s="10">
        <v>61</v>
      </c>
      <c r="M88" s="23"/>
      <c r="N88" s="21"/>
      <c r="O88" s="32"/>
    </row>
    <row r="89" ht="99" customHeight="1" spans="2:15">
      <c r="B89" s="10" t="s">
        <v>52</v>
      </c>
      <c r="C89" s="10" t="s">
        <v>53</v>
      </c>
      <c r="D89" s="10"/>
      <c r="E89" s="10"/>
      <c r="F89" s="10" t="s">
        <v>675</v>
      </c>
      <c r="G89" s="154">
        <v>0.01</v>
      </c>
      <c r="H89" s="154">
        <v>1</v>
      </c>
      <c r="I89" s="154"/>
      <c r="J89" s="154"/>
      <c r="K89" s="10">
        <v>146</v>
      </c>
      <c r="L89" s="10">
        <v>66</v>
      </c>
      <c r="M89" s="23" t="s">
        <v>683</v>
      </c>
      <c r="N89" s="21" t="s">
        <v>684</v>
      </c>
      <c r="O89" s="32"/>
    </row>
    <row r="90" ht="16.5" spans="2:15">
      <c r="B90" s="10" t="s">
        <v>52</v>
      </c>
      <c r="C90" s="10" t="s">
        <v>53</v>
      </c>
      <c r="D90" s="10"/>
      <c r="E90" s="10"/>
      <c r="F90" s="10" t="s">
        <v>678</v>
      </c>
      <c r="G90" s="154">
        <v>1</v>
      </c>
      <c r="H90" s="154">
        <v>2</v>
      </c>
      <c r="I90" s="154"/>
      <c r="J90" s="154"/>
      <c r="K90" s="10">
        <v>146</v>
      </c>
      <c r="L90" s="10">
        <v>50</v>
      </c>
      <c r="M90" s="23"/>
      <c r="N90" s="21"/>
      <c r="O90" s="32"/>
    </row>
    <row r="91" ht="16.5" spans="2:15">
      <c r="B91" s="10" t="s">
        <v>52</v>
      </c>
      <c r="C91" s="10" t="s">
        <v>53</v>
      </c>
      <c r="D91" s="10"/>
      <c r="E91" s="10"/>
      <c r="F91" s="10" t="s">
        <v>680</v>
      </c>
      <c r="G91" s="154">
        <v>2</v>
      </c>
      <c r="H91" s="154">
        <v>10</v>
      </c>
      <c r="I91" s="154"/>
      <c r="J91" s="154"/>
      <c r="K91" s="10">
        <v>136</v>
      </c>
      <c r="L91" s="10">
        <v>50</v>
      </c>
      <c r="M91" s="23"/>
      <c r="N91" s="21"/>
      <c r="O91" s="32"/>
    </row>
    <row r="92" ht="99" customHeight="1" spans="2:15">
      <c r="B92" s="10" t="s">
        <v>44</v>
      </c>
      <c r="C92" s="10" t="s">
        <v>45</v>
      </c>
      <c r="D92" s="10"/>
      <c r="E92" s="10"/>
      <c r="F92" s="10" t="s">
        <v>675</v>
      </c>
      <c r="G92" s="154">
        <v>0.01</v>
      </c>
      <c r="H92" s="154">
        <v>1</v>
      </c>
      <c r="I92" s="154"/>
      <c r="J92" s="154"/>
      <c r="K92" s="10">
        <v>122</v>
      </c>
      <c r="L92" s="10">
        <v>30</v>
      </c>
      <c r="M92" s="23" t="s">
        <v>683</v>
      </c>
      <c r="N92" s="21" t="s">
        <v>684</v>
      </c>
      <c r="O92" s="32"/>
    </row>
    <row r="93" ht="16.5" spans="2:15">
      <c r="B93" s="10" t="s">
        <v>44</v>
      </c>
      <c r="C93" s="10" t="s">
        <v>45</v>
      </c>
      <c r="D93" s="10"/>
      <c r="E93" s="10"/>
      <c r="F93" s="10" t="s">
        <v>678</v>
      </c>
      <c r="G93" s="154">
        <v>1</v>
      </c>
      <c r="H93" s="154">
        <v>2</v>
      </c>
      <c r="I93" s="154"/>
      <c r="J93" s="154"/>
      <c r="K93" s="10">
        <v>122</v>
      </c>
      <c r="L93" s="10">
        <v>26</v>
      </c>
      <c r="M93" s="23"/>
      <c r="N93" s="21"/>
      <c r="O93" s="32"/>
    </row>
    <row r="94" ht="16.5" spans="2:15">
      <c r="B94" s="10" t="s">
        <v>44</v>
      </c>
      <c r="C94" s="10" t="s">
        <v>45</v>
      </c>
      <c r="D94" s="10"/>
      <c r="E94" s="10"/>
      <c r="F94" s="10" t="s">
        <v>680</v>
      </c>
      <c r="G94" s="154">
        <v>2</v>
      </c>
      <c r="H94" s="154">
        <v>10</v>
      </c>
      <c r="I94" s="154"/>
      <c r="J94" s="154"/>
      <c r="K94" s="10">
        <v>122</v>
      </c>
      <c r="L94" s="10">
        <v>26</v>
      </c>
      <c r="M94" s="23"/>
      <c r="N94" s="21"/>
      <c r="O94" s="32"/>
    </row>
    <row r="95" ht="99" customHeight="1" spans="2:15">
      <c r="B95" s="10" t="s">
        <v>76</v>
      </c>
      <c r="C95" s="10" t="s">
        <v>77</v>
      </c>
      <c r="D95" s="10"/>
      <c r="E95" s="10"/>
      <c r="F95" s="10" t="s">
        <v>675</v>
      </c>
      <c r="G95" s="154">
        <v>0.01</v>
      </c>
      <c r="H95" s="154">
        <v>1</v>
      </c>
      <c r="I95" s="154"/>
      <c r="J95" s="154"/>
      <c r="K95" s="10">
        <v>127</v>
      </c>
      <c r="L95" s="10">
        <v>31</v>
      </c>
      <c r="M95" s="23" t="s">
        <v>683</v>
      </c>
      <c r="N95" s="21" t="s">
        <v>684</v>
      </c>
      <c r="O95" s="32"/>
    </row>
    <row r="96" ht="16.5" spans="2:15">
      <c r="B96" s="10" t="s">
        <v>76</v>
      </c>
      <c r="C96" s="10" t="s">
        <v>77</v>
      </c>
      <c r="D96" s="10"/>
      <c r="E96" s="10"/>
      <c r="F96" s="10" t="s">
        <v>678</v>
      </c>
      <c r="G96" s="154">
        <v>1</v>
      </c>
      <c r="H96" s="154">
        <v>2</v>
      </c>
      <c r="I96" s="154"/>
      <c r="J96" s="154"/>
      <c r="K96" s="10">
        <v>127</v>
      </c>
      <c r="L96" s="10">
        <v>31</v>
      </c>
      <c r="M96" s="23"/>
      <c r="N96" s="21"/>
      <c r="O96" s="32"/>
    </row>
    <row r="97" ht="16.5" spans="2:15">
      <c r="B97" s="10" t="s">
        <v>76</v>
      </c>
      <c r="C97" s="10" t="s">
        <v>77</v>
      </c>
      <c r="D97" s="10"/>
      <c r="E97" s="10"/>
      <c r="F97" s="10" t="s">
        <v>680</v>
      </c>
      <c r="G97" s="154">
        <v>2</v>
      </c>
      <c r="H97" s="154">
        <v>10</v>
      </c>
      <c r="I97" s="154"/>
      <c r="J97" s="154"/>
      <c r="K97" s="10">
        <v>127</v>
      </c>
      <c r="L97" s="10">
        <v>31</v>
      </c>
      <c r="M97" s="23"/>
      <c r="N97" s="21"/>
      <c r="O97" s="32"/>
    </row>
    <row r="98" ht="99" customHeight="1" spans="2:15">
      <c r="B98" s="10" t="s">
        <v>142</v>
      </c>
      <c r="C98" s="10" t="s">
        <v>143</v>
      </c>
      <c r="D98" s="10"/>
      <c r="E98" s="10"/>
      <c r="F98" s="10" t="s">
        <v>675</v>
      </c>
      <c r="G98" s="154">
        <v>0.01</v>
      </c>
      <c r="H98" s="154">
        <v>1</v>
      </c>
      <c r="I98" s="154"/>
      <c r="J98" s="154"/>
      <c r="K98" s="10">
        <v>164</v>
      </c>
      <c r="L98" s="10">
        <v>54</v>
      </c>
      <c r="M98" s="23" t="s">
        <v>683</v>
      </c>
      <c r="N98" s="21" t="s">
        <v>684</v>
      </c>
      <c r="O98" s="32"/>
    </row>
    <row r="99" ht="16.5" spans="2:15">
      <c r="B99" s="10" t="s">
        <v>142</v>
      </c>
      <c r="C99" s="10" t="s">
        <v>143</v>
      </c>
      <c r="D99" s="10"/>
      <c r="E99" s="10"/>
      <c r="F99" s="10" t="s">
        <v>678</v>
      </c>
      <c r="G99" s="154">
        <v>1</v>
      </c>
      <c r="H99" s="154">
        <v>2</v>
      </c>
      <c r="I99" s="154"/>
      <c r="J99" s="154"/>
      <c r="K99" s="10">
        <v>158</v>
      </c>
      <c r="L99" s="10">
        <v>43</v>
      </c>
      <c r="M99" s="23"/>
      <c r="N99" s="21"/>
      <c r="O99" s="32"/>
    </row>
    <row r="100" ht="16.5" spans="2:15">
      <c r="B100" s="10" t="s">
        <v>142</v>
      </c>
      <c r="C100" s="10" t="s">
        <v>143</v>
      </c>
      <c r="D100" s="10"/>
      <c r="E100" s="10"/>
      <c r="F100" s="10" t="s">
        <v>680</v>
      </c>
      <c r="G100" s="154">
        <v>2</v>
      </c>
      <c r="H100" s="154">
        <v>10</v>
      </c>
      <c r="I100" s="154"/>
      <c r="J100" s="154"/>
      <c r="K100" s="10">
        <v>158</v>
      </c>
      <c r="L100" s="10">
        <v>34</v>
      </c>
      <c r="M100" s="23"/>
      <c r="N100" s="21"/>
      <c r="O100" s="32"/>
    </row>
    <row r="101" ht="99" customHeight="1" spans="2:15">
      <c r="B101" s="10" t="s">
        <v>108</v>
      </c>
      <c r="C101" s="10" t="s">
        <v>109</v>
      </c>
      <c r="D101" s="10"/>
      <c r="E101" s="10"/>
      <c r="F101" s="10" t="s">
        <v>675</v>
      </c>
      <c r="G101" s="154">
        <v>0.01</v>
      </c>
      <c r="H101" s="154">
        <v>1</v>
      </c>
      <c r="I101" s="154"/>
      <c r="J101" s="154"/>
      <c r="K101" s="10">
        <v>169</v>
      </c>
      <c r="L101" s="10">
        <v>83</v>
      </c>
      <c r="M101" s="23" t="s">
        <v>683</v>
      </c>
      <c r="N101" s="21" t="s">
        <v>684</v>
      </c>
      <c r="O101" s="32"/>
    </row>
    <row r="102" ht="16.5" spans="2:15">
      <c r="B102" s="10" t="s">
        <v>108</v>
      </c>
      <c r="C102" s="10" t="s">
        <v>109</v>
      </c>
      <c r="D102" s="10"/>
      <c r="E102" s="10"/>
      <c r="F102" s="10" t="s">
        <v>678</v>
      </c>
      <c r="G102" s="154">
        <v>1</v>
      </c>
      <c r="H102" s="154">
        <v>2</v>
      </c>
      <c r="I102" s="154"/>
      <c r="J102" s="154"/>
      <c r="K102" s="10">
        <v>169</v>
      </c>
      <c r="L102" s="10">
        <v>66</v>
      </c>
      <c r="M102" s="23"/>
      <c r="N102" s="21"/>
      <c r="O102" s="32"/>
    </row>
    <row r="103" ht="16.5" spans="2:15">
      <c r="B103" s="10" t="s">
        <v>108</v>
      </c>
      <c r="C103" s="10" t="s">
        <v>109</v>
      </c>
      <c r="D103" s="10"/>
      <c r="E103" s="10"/>
      <c r="F103" s="10" t="s">
        <v>680</v>
      </c>
      <c r="G103" s="154">
        <v>2</v>
      </c>
      <c r="H103" s="154">
        <v>10</v>
      </c>
      <c r="I103" s="154"/>
      <c r="J103" s="154"/>
      <c r="K103" s="10">
        <v>181</v>
      </c>
      <c r="L103" s="10">
        <v>66</v>
      </c>
      <c r="M103" s="23"/>
      <c r="N103" s="21"/>
      <c r="O103" s="32"/>
    </row>
  </sheetData>
  <sheetProtection formatCells="0" formatColumns="0" formatRows="0" insertRows="0" insertColumns="0" insertHyperlinks="0" deleteColumns="0" deleteRows="0" sort="0" autoFilter="0" pivotTables="0"/>
  <autoFilter xmlns:etc="http://www.wps.cn/officeDocument/2017/etCustomData" ref="B2:O103" etc:filterBottomFollowUsedRange="0">
    <extLst/>
  </autoFilter>
  <mergeCells count="63">
    <mergeCell ref="F1:M1"/>
    <mergeCell ref="M3:M10"/>
    <mergeCell ref="M11:M16"/>
    <mergeCell ref="M17:M19"/>
    <mergeCell ref="M20:M22"/>
    <mergeCell ref="M23:M25"/>
    <mergeCell ref="M26:M28"/>
    <mergeCell ref="M29:M31"/>
    <mergeCell ref="M32:M34"/>
    <mergeCell ref="M35:M37"/>
    <mergeCell ref="M38:M40"/>
    <mergeCell ref="M41:M43"/>
    <mergeCell ref="M44:M46"/>
    <mergeCell ref="M47:M49"/>
    <mergeCell ref="M50:M52"/>
    <mergeCell ref="M53:M55"/>
    <mergeCell ref="M56:M58"/>
    <mergeCell ref="M59:M61"/>
    <mergeCell ref="M62:M64"/>
    <mergeCell ref="M65:M67"/>
    <mergeCell ref="M68:M70"/>
    <mergeCell ref="M71:M73"/>
    <mergeCell ref="M74:M76"/>
    <mergeCell ref="M77:M79"/>
    <mergeCell ref="M80:M82"/>
    <mergeCell ref="M83:M85"/>
    <mergeCell ref="M86:M88"/>
    <mergeCell ref="M89:M91"/>
    <mergeCell ref="M92:M94"/>
    <mergeCell ref="M95:M97"/>
    <mergeCell ref="M98:M100"/>
    <mergeCell ref="M101:M103"/>
    <mergeCell ref="N3:N10"/>
    <mergeCell ref="N11:N16"/>
    <mergeCell ref="N17:N19"/>
    <mergeCell ref="N20:N22"/>
    <mergeCell ref="N23:N25"/>
    <mergeCell ref="N26:N28"/>
    <mergeCell ref="N29:N31"/>
    <mergeCell ref="N32:N34"/>
    <mergeCell ref="N35:N37"/>
    <mergeCell ref="N38:N40"/>
    <mergeCell ref="N41:N43"/>
    <mergeCell ref="N44:N46"/>
    <mergeCell ref="N47:N49"/>
    <mergeCell ref="N50:N52"/>
    <mergeCell ref="N53:N55"/>
    <mergeCell ref="N56:N58"/>
    <mergeCell ref="N59:N61"/>
    <mergeCell ref="N62:N64"/>
    <mergeCell ref="N65:N67"/>
    <mergeCell ref="N68:N70"/>
    <mergeCell ref="N71:N73"/>
    <mergeCell ref="N74:N76"/>
    <mergeCell ref="N77:N79"/>
    <mergeCell ref="N80:N82"/>
    <mergeCell ref="N83:N85"/>
    <mergeCell ref="N86:N88"/>
    <mergeCell ref="N89:N91"/>
    <mergeCell ref="N92:N94"/>
    <mergeCell ref="N95:N97"/>
    <mergeCell ref="N98:N100"/>
    <mergeCell ref="N101:N103"/>
  </mergeCells>
  <hyperlinks>
    <hyperlink ref="O1" location="产品目录!A1" display="返回目录"/>
    <hyperlink ref="O21" location="'英国-EVRI偏远邮编'!A1" display="英国-EVRI偏远邮编"/>
  </hyperlink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30"/>
  <sheetViews>
    <sheetView topLeftCell="G3" workbookViewId="0">
      <selection activeCell="L13" sqref="L13"/>
    </sheetView>
  </sheetViews>
  <sheetFormatPr defaultColWidth="9" defaultRowHeight="13.5"/>
  <sheetData>
    <row r="1" ht="73.5" customHeight="1" spans="2:15">
      <c r="B1" s="24"/>
      <c r="C1" s="24"/>
      <c r="D1" s="24"/>
      <c r="E1" s="24"/>
      <c r="F1" s="6" t="s">
        <v>2312</v>
      </c>
      <c r="G1" s="6"/>
      <c r="H1" s="6"/>
      <c r="I1" s="6"/>
      <c r="J1" s="6"/>
      <c r="K1" s="6"/>
      <c r="L1" s="6"/>
      <c r="M1" s="6"/>
      <c r="N1" s="28" t="s">
        <v>2295</v>
      </c>
      <c r="O1" s="29"/>
    </row>
    <row r="2" ht="16.5" spans="2:15">
      <c r="B2" s="25" t="s">
        <v>661</v>
      </c>
      <c r="C2" s="26"/>
      <c r="D2" s="26"/>
      <c r="E2" s="26"/>
      <c r="F2" s="27" t="s">
        <v>662</v>
      </c>
      <c r="G2" s="27"/>
      <c r="H2" s="27"/>
      <c r="I2" s="27"/>
      <c r="J2" s="27"/>
      <c r="K2" s="27" t="s">
        <v>663</v>
      </c>
      <c r="L2" s="30" t="s">
        <v>664</v>
      </c>
      <c r="M2" s="30" t="s">
        <v>665</v>
      </c>
      <c r="N2" s="31" t="s">
        <v>666</v>
      </c>
      <c r="O2" s="32"/>
    </row>
    <row r="3" ht="66" customHeight="1" spans="2:15">
      <c r="B3" s="10" t="s">
        <v>24</v>
      </c>
      <c r="C3" s="10" t="s">
        <v>25</v>
      </c>
      <c r="D3" s="10"/>
      <c r="E3" s="10"/>
      <c r="F3" s="10" t="s">
        <v>2298</v>
      </c>
      <c r="G3" s="154">
        <v>0.05</v>
      </c>
      <c r="H3" s="154">
        <v>0.1</v>
      </c>
      <c r="I3" s="155"/>
      <c r="J3" s="155"/>
      <c r="K3" s="35">
        <v>126</v>
      </c>
      <c r="L3" s="35">
        <v>27</v>
      </c>
      <c r="M3" s="23" t="s">
        <v>2313</v>
      </c>
      <c r="N3" s="21" t="s">
        <v>1853</v>
      </c>
      <c r="O3" s="32"/>
    </row>
    <row r="4" ht="16.5" spans="2:15">
      <c r="B4" s="10" t="s">
        <v>24</v>
      </c>
      <c r="C4" s="10" t="s">
        <v>25</v>
      </c>
      <c r="D4" s="10"/>
      <c r="E4" s="10"/>
      <c r="F4" s="10" t="s">
        <v>2301</v>
      </c>
      <c r="G4" s="154">
        <v>0.1</v>
      </c>
      <c r="H4" s="154">
        <v>0.2</v>
      </c>
      <c r="I4" s="155"/>
      <c r="J4" s="155"/>
      <c r="K4" s="35">
        <v>126</v>
      </c>
      <c r="L4" s="35">
        <v>27</v>
      </c>
      <c r="M4" s="23"/>
      <c r="N4" s="21"/>
      <c r="O4" s="32"/>
    </row>
    <row r="5" ht="16.5" spans="2:15">
      <c r="B5" s="10" t="s">
        <v>24</v>
      </c>
      <c r="C5" s="10" t="s">
        <v>25</v>
      </c>
      <c r="D5" s="10"/>
      <c r="E5" s="10"/>
      <c r="F5" s="10" t="s">
        <v>2302</v>
      </c>
      <c r="G5" s="154">
        <v>0.2</v>
      </c>
      <c r="H5" s="154">
        <v>0.3</v>
      </c>
      <c r="I5" s="155"/>
      <c r="J5" s="155"/>
      <c r="K5" s="35">
        <v>126</v>
      </c>
      <c r="L5" s="35">
        <v>27</v>
      </c>
      <c r="M5" s="23"/>
      <c r="N5" s="21"/>
      <c r="O5" s="32"/>
    </row>
    <row r="6" ht="16.5" spans="2:15">
      <c r="B6" s="10" t="s">
        <v>24</v>
      </c>
      <c r="C6" s="10" t="s">
        <v>25</v>
      </c>
      <c r="D6" s="10"/>
      <c r="E6" s="10"/>
      <c r="F6" s="10" t="s">
        <v>2303</v>
      </c>
      <c r="G6" s="154">
        <v>0.3</v>
      </c>
      <c r="H6" s="154">
        <v>0.453</v>
      </c>
      <c r="I6" s="155"/>
      <c r="J6" s="155"/>
      <c r="K6" s="35">
        <v>143</v>
      </c>
      <c r="L6" s="35">
        <v>22</v>
      </c>
      <c r="M6" s="23"/>
      <c r="N6" s="21"/>
      <c r="O6" s="32"/>
    </row>
    <row r="7" ht="16.5" spans="2:15">
      <c r="B7" s="10" t="s">
        <v>24</v>
      </c>
      <c r="C7" s="10" t="s">
        <v>25</v>
      </c>
      <c r="D7" s="10"/>
      <c r="E7" s="10"/>
      <c r="F7" s="10" t="s">
        <v>2304</v>
      </c>
      <c r="G7" s="154">
        <v>0.453</v>
      </c>
      <c r="H7" s="154">
        <v>0.7</v>
      </c>
      <c r="I7" s="155"/>
      <c r="J7" s="155"/>
      <c r="K7" s="35">
        <v>159</v>
      </c>
      <c r="L7" s="35">
        <v>22</v>
      </c>
      <c r="M7" s="23"/>
      <c r="N7" s="21"/>
      <c r="O7" s="32"/>
    </row>
    <row r="8" ht="16.5" spans="2:15">
      <c r="B8" s="10" t="s">
        <v>24</v>
      </c>
      <c r="C8" s="10" t="s">
        <v>25</v>
      </c>
      <c r="D8" s="10"/>
      <c r="E8" s="10"/>
      <c r="F8" s="10" t="s">
        <v>2305</v>
      </c>
      <c r="G8" s="154">
        <v>0.7</v>
      </c>
      <c r="H8" s="154">
        <v>1</v>
      </c>
      <c r="I8" s="155"/>
      <c r="J8" s="155"/>
      <c r="K8" s="35">
        <v>159</v>
      </c>
      <c r="L8" s="35">
        <v>22</v>
      </c>
      <c r="M8" s="23"/>
      <c r="N8" s="21"/>
      <c r="O8" s="32"/>
    </row>
    <row r="9" ht="16.5" spans="2:15">
      <c r="B9" s="10" t="s">
        <v>24</v>
      </c>
      <c r="C9" s="10" t="s">
        <v>25</v>
      </c>
      <c r="D9" s="10"/>
      <c r="E9" s="10"/>
      <c r="F9" s="10" t="s">
        <v>678</v>
      </c>
      <c r="G9" s="154">
        <v>1</v>
      </c>
      <c r="H9" s="154">
        <v>2</v>
      </c>
      <c r="I9" s="155"/>
      <c r="J9" s="155"/>
      <c r="K9" s="35">
        <v>159</v>
      </c>
      <c r="L9" s="35">
        <v>15</v>
      </c>
      <c r="M9" s="23"/>
      <c r="N9" s="21"/>
      <c r="O9" s="32"/>
    </row>
    <row r="10" ht="66" customHeight="1" spans="2:15">
      <c r="B10" s="10" t="s">
        <v>78</v>
      </c>
      <c r="C10" s="10" t="s">
        <v>79</v>
      </c>
      <c r="D10" s="10"/>
      <c r="E10" s="10"/>
      <c r="F10" s="10" t="s">
        <v>667</v>
      </c>
      <c r="G10" s="154">
        <v>0.05</v>
      </c>
      <c r="H10" s="154">
        <v>0.3</v>
      </c>
      <c r="I10" s="10"/>
      <c r="J10" s="10"/>
      <c r="K10" s="19">
        <v>108</v>
      </c>
      <c r="L10" s="10">
        <v>30</v>
      </c>
      <c r="M10" s="23" t="s">
        <v>668</v>
      </c>
      <c r="N10" s="21" t="s">
        <v>669</v>
      </c>
      <c r="O10" s="32"/>
    </row>
    <row r="11" ht="16.5" spans="2:15">
      <c r="B11" s="10" t="s">
        <v>78</v>
      </c>
      <c r="C11" s="10" t="s">
        <v>79</v>
      </c>
      <c r="D11" s="10"/>
      <c r="E11" s="10"/>
      <c r="F11" s="10" t="s">
        <v>670</v>
      </c>
      <c r="G11" s="154">
        <v>0.3</v>
      </c>
      <c r="H11" s="154">
        <v>0.75</v>
      </c>
      <c r="I11" s="10"/>
      <c r="J11" s="10"/>
      <c r="K11" s="19">
        <v>108</v>
      </c>
      <c r="L11" s="10">
        <v>30</v>
      </c>
      <c r="M11" s="23"/>
      <c r="N11" s="21"/>
      <c r="O11" s="32"/>
    </row>
    <row r="12" ht="16.5" spans="2:15">
      <c r="B12" s="10" t="s">
        <v>78</v>
      </c>
      <c r="C12" s="10" t="s">
        <v>79</v>
      </c>
      <c r="D12" s="10"/>
      <c r="E12" s="10"/>
      <c r="F12" s="10" t="s">
        <v>671</v>
      </c>
      <c r="G12" s="154">
        <v>0.75</v>
      </c>
      <c r="H12" s="154">
        <v>1</v>
      </c>
      <c r="I12" s="10"/>
      <c r="J12" s="10"/>
      <c r="K12" s="19">
        <v>108</v>
      </c>
      <c r="L12" s="10">
        <v>30</v>
      </c>
      <c r="M12" s="23"/>
      <c r="N12" s="21"/>
      <c r="O12" s="32"/>
    </row>
    <row r="13" ht="16.5" spans="2:15">
      <c r="B13" s="10" t="s">
        <v>78</v>
      </c>
      <c r="C13" s="10" t="s">
        <v>79</v>
      </c>
      <c r="D13" s="10"/>
      <c r="E13" s="10"/>
      <c r="F13" s="10" t="s">
        <v>672</v>
      </c>
      <c r="G13" s="154">
        <v>1</v>
      </c>
      <c r="H13" s="154">
        <v>1.5</v>
      </c>
      <c r="I13" s="10"/>
      <c r="J13" s="10"/>
      <c r="K13" s="19">
        <v>108</v>
      </c>
      <c r="L13" s="10">
        <v>30</v>
      </c>
      <c r="M13" s="23"/>
      <c r="N13" s="21"/>
      <c r="O13" s="32"/>
    </row>
    <row r="14" ht="16.5" spans="2:15">
      <c r="B14" s="10" t="s">
        <v>78</v>
      </c>
      <c r="C14" s="10" t="s">
        <v>79</v>
      </c>
      <c r="D14" s="10"/>
      <c r="E14" s="10"/>
      <c r="F14" s="10" t="s">
        <v>673</v>
      </c>
      <c r="G14" s="154">
        <v>1.5</v>
      </c>
      <c r="H14" s="154">
        <v>2</v>
      </c>
      <c r="I14" s="10"/>
      <c r="J14" s="10"/>
      <c r="K14" s="19">
        <v>95</v>
      </c>
      <c r="L14" s="10">
        <v>30</v>
      </c>
      <c r="M14" s="23"/>
      <c r="N14" s="21"/>
      <c r="O14" s="32"/>
    </row>
    <row r="15" ht="82.5" customHeight="1" spans="2:15">
      <c r="B15" s="10" t="s">
        <v>26</v>
      </c>
      <c r="C15" s="10" t="s">
        <v>27</v>
      </c>
      <c r="D15" s="10"/>
      <c r="E15" s="10"/>
      <c r="F15" s="10" t="s">
        <v>675</v>
      </c>
      <c r="G15" s="154">
        <v>0.01</v>
      </c>
      <c r="H15" s="154">
        <v>1</v>
      </c>
      <c r="I15" s="10"/>
      <c r="J15" s="10"/>
      <c r="K15" s="10">
        <v>131</v>
      </c>
      <c r="L15" s="10">
        <v>20</v>
      </c>
      <c r="M15" s="23" t="s">
        <v>676</v>
      </c>
      <c r="N15" s="21" t="s">
        <v>677</v>
      </c>
      <c r="O15" s="22"/>
    </row>
    <row r="16" ht="16.5" spans="2:15">
      <c r="B16" s="10" t="s">
        <v>26</v>
      </c>
      <c r="C16" s="10" t="s">
        <v>27</v>
      </c>
      <c r="D16" s="10"/>
      <c r="E16" s="10"/>
      <c r="F16" s="10" t="s">
        <v>678</v>
      </c>
      <c r="G16" s="154">
        <v>1</v>
      </c>
      <c r="H16" s="154">
        <v>2</v>
      </c>
      <c r="I16" s="10"/>
      <c r="J16" s="10"/>
      <c r="K16" s="10">
        <v>120</v>
      </c>
      <c r="L16" s="10">
        <v>20</v>
      </c>
      <c r="M16" s="23"/>
      <c r="N16" s="21"/>
      <c r="O16" s="33" t="s">
        <v>2310</v>
      </c>
    </row>
    <row r="17" ht="16.5" spans="2:15">
      <c r="B17" s="10" t="s">
        <v>26</v>
      </c>
      <c r="C17" s="10" t="s">
        <v>27</v>
      </c>
      <c r="D17" s="10"/>
      <c r="E17" s="10"/>
      <c r="F17" s="10" t="s">
        <v>680</v>
      </c>
      <c r="G17" s="154">
        <v>2</v>
      </c>
      <c r="H17" s="154">
        <v>10</v>
      </c>
      <c r="I17" s="10"/>
      <c r="J17" s="10"/>
      <c r="K17" s="10">
        <v>120</v>
      </c>
      <c r="L17" s="10">
        <v>20</v>
      </c>
      <c r="M17" s="23"/>
      <c r="N17" s="21"/>
      <c r="O17" s="22"/>
    </row>
    <row r="18" ht="115.5" customHeight="1" spans="2:15">
      <c r="B18" s="21" t="s">
        <v>72</v>
      </c>
      <c r="C18" s="10" t="s">
        <v>73</v>
      </c>
      <c r="D18" s="21"/>
      <c r="E18" s="21"/>
      <c r="F18" s="10" t="s">
        <v>2314</v>
      </c>
      <c r="G18" s="154">
        <v>0.05</v>
      </c>
      <c r="H18" s="154">
        <v>1</v>
      </c>
      <c r="I18" s="10"/>
      <c r="J18" s="10"/>
      <c r="K18" s="10">
        <v>125</v>
      </c>
      <c r="L18" s="10">
        <v>26</v>
      </c>
      <c r="M18" s="23" t="s">
        <v>668</v>
      </c>
      <c r="N18" s="21" t="s">
        <v>1769</v>
      </c>
      <c r="O18" s="32"/>
    </row>
    <row r="19" ht="16.5" spans="2:15">
      <c r="B19" s="21" t="s">
        <v>72</v>
      </c>
      <c r="C19" s="10" t="s">
        <v>73</v>
      </c>
      <c r="D19" s="21"/>
      <c r="E19" s="21"/>
      <c r="F19" s="10" t="s">
        <v>678</v>
      </c>
      <c r="G19" s="154">
        <v>1</v>
      </c>
      <c r="H19" s="154">
        <v>2</v>
      </c>
      <c r="I19" s="10"/>
      <c r="J19" s="10"/>
      <c r="K19" s="10">
        <v>125</v>
      </c>
      <c r="L19" s="10">
        <v>26</v>
      </c>
      <c r="M19" s="23"/>
      <c r="N19" s="21"/>
      <c r="O19" s="32"/>
    </row>
    <row r="20" ht="115.5" customHeight="1" spans="2:15">
      <c r="B20" s="21" t="s">
        <v>28</v>
      </c>
      <c r="C20" s="10" t="s">
        <v>29</v>
      </c>
      <c r="D20" s="21"/>
      <c r="E20" s="21"/>
      <c r="F20" s="10" t="s">
        <v>2314</v>
      </c>
      <c r="G20" s="154">
        <v>0.05</v>
      </c>
      <c r="H20" s="154">
        <v>1</v>
      </c>
      <c r="I20" s="10"/>
      <c r="J20" s="10"/>
      <c r="K20" s="10">
        <v>154</v>
      </c>
      <c r="L20" s="10">
        <v>35</v>
      </c>
      <c r="M20" s="23" t="s">
        <v>668</v>
      </c>
      <c r="N20" s="21" t="s">
        <v>1656</v>
      </c>
      <c r="O20" s="32"/>
    </row>
    <row r="21" ht="16.5" spans="2:15">
      <c r="B21" s="21" t="s">
        <v>28</v>
      </c>
      <c r="C21" s="10" t="s">
        <v>29</v>
      </c>
      <c r="D21" s="21"/>
      <c r="E21" s="21"/>
      <c r="F21" s="10" t="s">
        <v>678</v>
      </c>
      <c r="G21" s="154">
        <v>1</v>
      </c>
      <c r="H21" s="154">
        <v>2</v>
      </c>
      <c r="I21" s="10"/>
      <c r="J21" s="10"/>
      <c r="K21" s="10">
        <v>154</v>
      </c>
      <c r="L21" s="10">
        <v>35</v>
      </c>
      <c r="M21" s="23"/>
      <c r="N21" s="21"/>
      <c r="O21" s="32"/>
    </row>
    <row r="22" ht="115.5" customHeight="1" spans="2:15">
      <c r="B22" s="21" t="s">
        <v>32</v>
      </c>
      <c r="C22" s="10" t="s">
        <v>33</v>
      </c>
      <c r="D22" s="21"/>
      <c r="E22" s="21"/>
      <c r="F22" s="10" t="s">
        <v>2314</v>
      </c>
      <c r="G22" s="154">
        <v>0.05</v>
      </c>
      <c r="H22" s="154">
        <v>1</v>
      </c>
      <c r="I22" s="10"/>
      <c r="J22" s="10"/>
      <c r="K22" s="10">
        <v>141</v>
      </c>
      <c r="L22" s="10">
        <v>35</v>
      </c>
      <c r="M22" s="23" t="s">
        <v>668</v>
      </c>
      <c r="N22" s="21" t="s">
        <v>2315</v>
      </c>
      <c r="O22" s="32"/>
    </row>
    <row r="23" ht="16.5" spans="2:15">
      <c r="B23" s="21" t="s">
        <v>32</v>
      </c>
      <c r="C23" s="10" t="s">
        <v>33</v>
      </c>
      <c r="D23" s="21"/>
      <c r="E23" s="21"/>
      <c r="F23" s="10" t="s">
        <v>678</v>
      </c>
      <c r="G23" s="154">
        <v>1</v>
      </c>
      <c r="H23" s="154">
        <v>2</v>
      </c>
      <c r="I23" s="10"/>
      <c r="J23" s="10"/>
      <c r="K23" s="10">
        <v>141</v>
      </c>
      <c r="L23" s="10">
        <v>35</v>
      </c>
      <c r="M23" s="23"/>
      <c r="N23" s="21"/>
      <c r="O23" s="32"/>
    </row>
    <row r="24" ht="115.5" customHeight="1" spans="2:15">
      <c r="B24" s="21" t="s">
        <v>34</v>
      </c>
      <c r="C24" s="10" t="s">
        <v>35</v>
      </c>
      <c r="D24" s="21"/>
      <c r="E24" s="21"/>
      <c r="F24" s="10" t="s">
        <v>2314</v>
      </c>
      <c r="G24" s="154">
        <v>0.05</v>
      </c>
      <c r="H24" s="154">
        <v>1</v>
      </c>
      <c r="I24" s="10"/>
      <c r="J24" s="10"/>
      <c r="K24" s="10">
        <v>135</v>
      </c>
      <c r="L24" s="10">
        <v>29</v>
      </c>
      <c r="M24" s="23" t="s">
        <v>668</v>
      </c>
      <c r="N24" s="21" t="s">
        <v>1853</v>
      </c>
      <c r="O24" s="32"/>
    </row>
    <row r="25" ht="16.5" spans="2:15">
      <c r="B25" s="21" t="s">
        <v>34</v>
      </c>
      <c r="C25" s="10" t="s">
        <v>35</v>
      </c>
      <c r="D25" s="21"/>
      <c r="E25" s="21"/>
      <c r="F25" s="10" t="s">
        <v>678</v>
      </c>
      <c r="G25" s="154">
        <v>1</v>
      </c>
      <c r="H25" s="154">
        <v>2</v>
      </c>
      <c r="I25" s="10"/>
      <c r="J25" s="10"/>
      <c r="K25" s="10">
        <v>135</v>
      </c>
      <c r="L25" s="10">
        <v>29</v>
      </c>
      <c r="M25" s="23"/>
      <c r="N25" s="21"/>
      <c r="O25" s="32"/>
    </row>
    <row r="26" ht="115.5" customHeight="1" spans="2:15">
      <c r="B26" s="21" t="s">
        <v>62</v>
      </c>
      <c r="C26" s="10" t="s">
        <v>63</v>
      </c>
      <c r="D26" s="21"/>
      <c r="E26" s="21"/>
      <c r="F26" s="10" t="s">
        <v>2314</v>
      </c>
      <c r="G26" s="154">
        <v>0.05</v>
      </c>
      <c r="H26" s="154">
        <v>1</v>
      </c>
      <c r="I26" s="10"/>
      <c r="J26" s="10"/>
      <c r="K26" s="10">
        <v>138</v>
      </c>
      <c r="L26" s="10">
        <v>28</v>
      </c>
      <c r="M26" s="23" t="s">
        <v>668</v>
      </c>
      <c r="N26" s="21" t="s">
        <v>2315</v>
      </c>
      <c r="O26" s="32"/>
    </row>
    <row r="27" ht="16.5" spans="2:15">
      <c r="B27" s="21" t="s">
        <v>62</v>
      </c>
      <c r="C27" s="10" t="s">
        <v>63</v>
      </c>
      <c r="D27" s="21"/>
      <c r="E27" s="21"/>
      <c r="F27" s="10" t="s">
        <v>678</v>
      </c>
      <c r="G27" s="154">
        <v>1</v>
      </c>
      <c r="H27" s="154">
        <v>2</v>
      </c>
      <c r="I27" s="10"/>
      <c r="J27" s="10"/>
      <c r="K27" s="10">
        <v>138</v>
      </c>
      <c r="L27" s="10">
        <v>28</v>
      </c>
      <c r="M27" s="23"/>
      <c r="N27" s="21"/>
      <c r="O27" s="32"/>
    </row>
    <row r="28" ht="99" customHeight="1" spans="2:15">
      <c r="B28" s="10" t="s">
        <v>94</v>
      </c>
      <c r="C28" s="10" t="s">
        <v>95</v>
      </c>
      <c r="D28" s="10"/>
      <c r="E28" s="10"/>
      <c r="F28" s="10" t="s">
        <v>2306</v>
      </c>
      <c r="G28" s="154">
        <v>0.05</v>
      </c>
      <c r="H28" s="154">
        <v>0.5</v>
      </c>
      <c r="I28" s="10"/>
      <c r="J28" s="10"/>
      <c r="K28" s="10">
        <v>141</v>
      </c>
      <c r="L28" s="10">
        <v>23</v>
      </c>
      <c r="M28" s="23" t="s">
        <v>2316</v>
      </c>
      <c r="N28" s="21" t="s">
        <v>1741</v>
      </c>
      <c r="O28" s="22"/>
    </row>
    <row r="29" ht="16.5" spans="2:15">
      <c r="B29" s="10" t="s">
        <v>94</v>
      </c>
      <c r="C29" s="10" t="s">
        <v>95</v>
      </c>
      <c r="D29" s="10"/>
      <c r="E29" s="10"/>
      <c r="F29" s="10" t="s">
        <v>2308</v>
      </c>
      <c r="G29" s="154">
        <v>0.5</v>
      </c>
      <c r="H29" s="154">
        <v>1</v>
      </c>
      <c r="I29" s="10"/>
      <c r="J29" s="10"/>
      <c r="K29" s="10">
        <v>141</v>
      </c>
      <c r="L29" s="10">
        <v>23</v>
      </c>
      <c r="M29" s="23"/>
      <c r="N29" s="21"/>
      <c r="O29" s="22"/>
    </row>
    <row r="30" ht="16.5" spans="2:15">
      <c r="B30" s="10" t="s">
        <v>94</v>
      </c>
      <c r="C30" s="10" t="s">
        <v>95</v>
      </c>
      <c r="D30" s="10"/>
      <c r="E30" s="10"/>
      <c r="F30" s="10" t="s">
        <v>2309</v>
      </c>
      <c r="G30" s="154">
        <v>1</v>
      </c>
      <c r="H30" s="154">
        <v>5</v>
      </c>
      <c r="I30" s="10"/>
      <c r="J30" s="10"/>
      <c r="K30" s="10">
        <v>141</v>
      </c>
      <c r="L30" s="10">
        <v>23</v>
      </c>
      <c r="M30" s="23"/>
      <c r="N30" s="21"/>
      <c r="O30" s="22"/>
    </row>
  </sheetData>
  <sheetProtection formatCells="0" formatColumns="0" formatRows="0" insertRows="0" insertColumns="0" insertHyperlinks="0" deleteColumns="0" deleteRows="0" sort="0" autoFilter="0" pivotTables="0"/>
  <autoFilter xmlns:etc="http://www.wps.cn/officeDocument/2017/etCustomData" ref="B2:O30" etc:filterBottomFollowUsedRange="0">
    <extLst/>
  </autoFilter>
  <mergeCells count="19">
    <mergeCell ref="F1:M1"/>
    <mergeCell ref="M3:M9"/>
    <mergeCell ref="M10:M14"/>
    <mergeCell ref="M15:M17"/>
    <mergeCell ref="M18:M19"/>
    <mergeCell ref="M20:M21"/>
    <mergeCell ref="M22:M23"/>
    <mergeCell ref="M24:M25"/>
    <mergeCell ref="M26:M27"/>
    <mergeCell ref="M28:M30"/>
    <mergeCell ref="N3:N9"/>
    <mergeCell ref="N10:N14"/>
    <mergeCell ref="N15:N17"/>
    <mergeCell ref="N18:N19"/>
    <mergeCell ref="N20:N21"/>
    <mergeCell ref="N22:N23"/>
    <mergeCell ref="N24:N25"/>
    <mergeCell ref="N26:N27"/>
    <mergeCell ref="N28:N30"/>
  </mergeCells>
  <hyperlinks>
    <hyperlink ref="O16" location="'英国-EVRI偏远邮编'!A1" display="英国-EVRI偏远邮编"/>
  </hyperlink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49"/>
  <sheetViews>
    <sheetView workbookViewId="0">
      <selection activeCell="L13" sqref="L13"/>
    </sheetView>
  </sheetViews>
  <sheetFormatPr defaultColWidth="9" defaultRowHeight="13.5"/>
  <cols>
    <col min="1" max="5" width="9" style="141"/>
    <col min="6" max="6" width="18.2833333333333" style="141" customWidth="1"/>
    <col min="7" max="13" width="9" style="141"/>
    <col min="14" max="14" width="38.375" style="141" customWidth="1"/>
    <col min="15" max="16384" width="9" style="141"/>
  </cols>
  <sheetData>
    <row r="1" ht="49.5" customHeight="1" spans="2:15">
      <c r="B1" s="142"/>
      <c r="C1" s="142"/>
      <c r="D1" s="142"/>
      <c r="E1" s="142"/>
      <c r="F1" s="143" t="s">
        <v>2317</v>
      </c>
      <c r="G1" s="143"/>
      <c r="H1" s="143"/>
      <c r="I1" s="143"/>
      <c r="J1" s="143"/>
      <c r="K1" s="143"/>
      <c r="L1" s="143"/>
      <c r="M1" s="143"/>
      <c r="N1" s="148" t="s">
        <v>2295</v>
      </c>
      <c r="O1" s="149" t="s">
        <v>660</v>
      </c>
    </row>
    <row r="2" ht="16.5" spans="2:15">
      <c r="B2" s="144" t="s">
        <v>661</v>
      </c>
      <c r="C2" s="144"/>
      <c r="D2" s="144"/>
      <c r="E2" s="144"/>
      <c r="F2" s="144" t="s">
        <v>662</v>
      </c>
      <c r="G2" s="144"/>
      <c r="H2" s="144"/>
      <c r="I2" s="144"/>
      <c r="J2" s="144"/>
      <c r="K2" s="144" t="s">
        <v>663</v>
      </c>
      <c r="L2" s="144" t="s">
        <v>664</v>
      </c>
      <c r="M2" s="144" t="s">
        <v>665</v>
      </c>
      <c r="N2" s="144" t="s">
        <v>666</v>
      </c>
      <c r="O2" s="150"/>
    </row>
    <row r="3" ht="198" customHeight="1" spans="2:15">
      <c r="B3" s="145" t="s">
        <v>24</v>
      </c>
      <c r="C3" s="145" t="s">
        <v>25</v>
      </c>
      <c r="D3" s="145"/>
      <c r="E3" s="145"/>
      <c r="F3" s="145" t="s">
        <v>2298</v>
      </c>
      <c r="G3" s="146">
        <v>0.05</v>
      </c>
      <c r="H3" s="146">
        <v>0.1</v>
      </c>
      <c r="I3" s="145"/>
      <c r="J3" s="145"/>
      <c r="K3" s="145">
        <v>147</v>
      </c>
      <c r="L3" s="145">
        <v>34</v>
      </c>
      <c r="M3" s="151" t="s">
        <v>2318</v>
      </c>
      <c r="N3" s="152" t="s">
        <v>1853</v>
      </c>
      <c r="O3" s="153"/>
    </row>
    <row r="4" ht="16.5" spans="2:15">
      <c r="B4" s="145" t="s">
        <v>24</v>
      </c>
      <c r="C4" s="145" t="s">
        <v>25</v>
      </c>
      <c r="D4" s="145"/>
      <c r="E4" s="145"/>
      <c r="F4" s="145" t="s">
        <v>2301</v>
      </c>
      <c r="G4" s="146">
        <v>0.1</v>
      </c>
      <c r="H4" s="146">
        <v>0.2</v>
      </c>
      <c r="I4" s="145"/>
      <c r="J4" s="145"/>
      <c r="K4" s="145">
        <v>147</v>
      </c>
      <c r="L4" s="145">
        <v>34</v>
      </c>
      <c r="M4" s="151"/>
      <c r="N4" s="152"/>
      <c r="O4" s="153"/>
    </row>
    <row r="5" ht="16.5" spans="2:15">
      <c r="B5" s="145" t="s">
        <v>24</v>
      </c>
      <c r="C5" s="145" t="s">
        <v>25</v>
      </c>
      <c r="D5" s="145"/>
      <c r="E5" s="145"/>
      <c r="F5" s="145" t="s">
        <v>2302</v>
      </c>
      <c r="G5" s="146">
        <v>0.2</v>
      </c>
      <c r="H5" s="146">
        <v>0.3</v>
      </c>
      <c r="I5" s="145"/>
      <c r="J5" s="145"/>
      <c r="K5" s="145">
        <v>147</v>
      </c>
      <c r="L5" s="145">
        <v>34</v>
      </c>
      <c r="M5" s="151"/>
      <c r="N5" s="152"/>
      <c r="O5" s="153"/>
    </row>
    <row r="6" ht="16.5" spans="2:15">
      <c r="B6" s="145" t="s">
        <v>24</v>
      </c>
      <c r="C6" s="145" t="s">
        <v>25</v>
      </c>
      <c r="D6" s="145"/>
      <c r="E6" s="145"/>
      <c r="F6" s="145" t="s">
        <v>2303</v>
      </c>
      <c r="G6" s="146">
        <v>0.3</v>
      </c>
      <c r="H6" s="146">
        <v>0.453</v>
      </c>
      <c r="I6" s="145"/>
      <c r="J6" s="145"/>
      <c r="K6" s="145">
        <v>174</v>
      </c>
      <c r="L6" s="145">
        <v>23</v>
      </c>
      <c r="M6" s="151"/>
      <c r="N6" s="152"/>
      <c r="O6" s="153"/>
    </row>
    <row r="7" ht="16.5" spans="2:15">
      <c r="B7" s="145" t="s">
        <v>24</v>
      </c>
      <c r="C7" s="145" t="s">
        <v>25</v>
      </c>
      <c r="D7" s="145"/>
      <c r="E7" s="145"/>
      <c r="F7" s="145" t="s">
        <v>2304</v>
      </c>
      <c r="G7" s="146">
        <v>0.453</v>
      </c>
      <c r="H7" s="146">
        <v>0.7</v>
      </c>
      <c r="I7" s="145"/>
      <c r="J7" s="145"/>
      <c r="K7" s="145">
        <v>194</v>
      </c>
      <c r="L7" s="145">
        <v>23</v>
      </c>
      <c r="M7" s="151"/>
      <c r="N7" s="152"/>
      <c r="O7" s="153"/>
    </row>
    <row r="8" ht="16.5" spans="2:15">
      <c r="B8" s="145" t="s">
        <v>24</v>
      </c>
      <c r="C8" s="145" t="s">
        <v>25</v>
      </c>
      <c r="D8" s="145"/>
      <c r="E8" s="145"/>
      <c r="F8" s="145" t="s">
        <v>2305</v>
      </c>
      <c r="G8" s="146">
        <v>0.7</v>
      </c>
      <c r="H8" s="146">
        <v>1</v>
      </c>
      <c r="I8" s="145"/>
      <c r="J8" s="145"/>
      <c r="K8" s="145">
        <v>182</v>
      </c>
      <c r="L8" s="145">
        <v>23</v>
      </c>
      <c r="M8" s="151"/>
      <c r="N8" s="152"/>
      <c r="O8" s="153"/>
    </row>
    <row r="9" ht="16.5" spans="2:15">
      <c r="B9" s="145" t="s">
        <v>24</v>
      </c>
      <c r="C9" s="145" t="s">
        <v>25</v>
      </c>
      <c r="D9" s="145"/>
      <c r="E9" s="145"/>
      <c r="F9" s="145" t="s">
        <v>678</v>
      </c>
      <c r="G9" s="146">
        <v>1</v>
      </c>
      <c r="H9" s="146">
        <v>2</v>
      </c>
      <c r="I9" s="145"/>
      <c r="J9" s="145"/>
      <c r="K9" s="145">
        <v>179</v>
      </c>
      <c r="L9" s="145">
        <v>16</v>
      </c>
      <c r="M9" s="151"/>
      <c r="N9" s="152"/>
      <c r="O9" s="153"/>
    </row>
    <row r="10" ht="16.5" spans="2:15">
      <c r="B10" s="145" t="s">
        <v>24</v>
      </c>
      <c r="C10" s="145" t="s">
        <v>25</v>
      </c>
      <c r="D10" s="145"/>
      <c r="E10" s="145"/>
      <c r="F10" s="145" t="s">
        <v>2319</v>
      </c>
      <c r="G10" s="146">
        <v>2</v>
      </c>
      <c r="H10" s="146">
        <v>4.5</v>
      </c>
      <c r="I10" s="145"/>
      <c r="J10" s="145"/>
      <c r="K10" s="145">
        <v>174</v>
      </c>
      <c r="L10" s="145">
        <v>16</v>
      </c>
      <c r="M10" s="151"/>
      <c r="N10" s="152"/>
      <c r="O10" s="153"/>
    </row>
    <row r="11" ht="16.5" spans="2:12">
      <c r="B11" s="141" t="s">
        <v>26</v>
      </c>
      <c r="C11" s="141" t="str">
        <f>VLOOKUP(B11,'[13]Detailed Calculation table'!A:B,2,0)</f>
        <v>UK/GB</v>
      </c>
      <c r="F11" s="141" t="s">
        <v>2320</v>
      </c>
      <c r="G11" s="146">
        <v>0.05</v>
      </c>
      <c r="H11" s="141">
        <v>1.5</v>
      </c>
      <c r="K11" s="141">
        <v>107</v>
      </c>
      <c r="L11" s="141">
        <v>19</v>
      </c>
    </row>
    <row r="12" spans="2:12">
      <c r="B12" s="141" t="s">
        <v>26</v>
      </c>
      <c r="C12" s="141" t="str">
        <f>VLOOKUP(B12,'[13]Detailed Calculation table'!A:B,2,0)</f>
        <v>UK/GB</v>
      </c>
      <c r="F12" s="141" t="s">
        <v>673</v>
      </c>
      <c r="G12" s="141">
        <v>1.5</v>
      </c>
      <c r="H12" s="141">
        <v>2</v>
      </c>
      <c r="K12" s="141">
        <v>107</v>
      </c>
      <c r="L12" s="141">
        <v>19</v>
      </c>
    </row>
    <row r="13" ht="16.5" spans="2:12">
      <c r="B13" s="141" t="s">
        <v>94</v>
      </c>
      <c r="C13" s="141" t="str">
        <f>VLOOKUP(B13,'[13]Detailed Calculation table'!A:B,2,0)</f>
        <v>MX</v>
      </c>
      <c r="D13" s="147"/>
      <c r="F13" s="141" t="s">
        <v>2306</v>
      </c>
      <c r="G13" s="146">
        <v>0.05</v>
      </c>
      <c r="H13" s="141">
        <v>0.5</v>
      </c>
      <c r="K13" s="141">
        <v>131</v>
      </c>
      <c r="L13" s="141">
        <v>25</v>
      </c>
    </row>
    <row r="14" spans="2:12">
      <c r="B14" s="141" t="s">
        <v>94</v>
      </c>
      <c r="C14" s="141" t="str">
        <f>VLOOKUP(B14,'[13]Detailed Calculation table'!A:B,2,0)</f>
        <v>MX</v>
      </c>
      <c r="F14" s="141" t="s">
        <v>2308</v>
      </c>
      <c r="G14" s="141">
        <v>0.5</v>
      </c>
      <c r="H14" s="141">
        <v>1</v>
      </c>
      <c r="K14" s="141">
        <v>131</v>
      </c>
      <c r="L14" s="141">
        <v>25</v>
      </c>
    </row>
    <row r="15" spans="2:12">
      <c r="B15" s="141" t="s">
        <v>94</v>
      </c>
      <c r="C15" s="141" t="str">
        <f>VLOOKUP(B15,'[13]Detailed Calculation table'!A:B,2,0)</f>
        <v>MX</v>
      </c>
      <c r="F15" s="141" t="s">
        <v>2309</v>
      </c>
      <c r="G15" s="141">
        <v>1</v>
      </c>
      <c r="H15" s="141">
        <v>5</v>
      </c>
      <c r="K15" s="141">
        <v>131</v>
      </c>
      <c r="L15" s="141">
        <v>25</v>
      </c>
    </row>
    <row r="16" ht="16.5" spans="2:12">
      <c r="B16" s="141" t="s">
        <v>72</v>
      </c>
      <c r="C16" s="141" t="str">
        <f>VLOOKUP(B16,'[13]Detailed Calculation table'!A:B,2,0)</f>
        <v>DE</v>
      </c>
      <c r="F16" s="141" t="s">
        <v>2314</v>
      </c>
      <c r="G16" s="146">
        <v>0.05</v>
      </c>
      <c r="H16" s="141">
        <v>1</v>
      </c>
      <c r="K16" s="141">
        <v>116</v>
      </c>
      <c r="L16" s="141">
        <v>26</v>
      </c>
    </row>
    <row r="17" spans="2:12">
      <c r="B17" s="141" t="s">
        <v>72</v>
      </c>
      <c r="C17" s="141" t="str">
        <f>VLOOKUP(B17,'[13]Detailed Calculation table'!A:B,2,0)</f>
        <v>DE</v>
      </c>
      <c r="F17" s="141" t="s">
        <v>678</v>
      </c>
      <c r="G17" s="141">
        <v>1</v>
      </c>
      <c r="H17" s="141">
        <v>2</v>
      </c>
      <c r="K17" s="141">
        <v>116</v>
      </c>
      <c r="L17" s="141">
        <v>26</v>
      </c>
    </row>
    <row r="18" ht="16.5" spans="2:12">
      <c r="B18" s="141" t="s">
        <v>28</v>
      </c>
      <c r="C18" s="141" t="str">
        <f>VLOOKUP(B18,'[13]Detailed Calculation table'!A:B,2,0)</f>
        <v>FR</v>
      </c>
      <c r="F18" s="141" t="s">
        <v>2314</v>
      </c>
      <c r="G18" s="146">
        <v>0.05</v>
      </c>
      <c r="H18" s="141">
        <v>1</v>
      </c>
      <c r="K18" s="141">
        <v>131</v>
      </c>
      <c r="L18" s="141">
        <v>32</v>
      </c>
    </row>
    <row r="19" spans="2:12">
      <c r="B19" s="141" t="s">
        <v>28</v>
      </c>
      <c r="C19" s="141" t="str">
        <f>VLOOKUP(B19,'[13]Detailed Calculation table'!A:B,2,0)</f>
        <v>FR</v>
      </c>
      <c r="F19" s="141" t="s">
        <v>678</v>
      </c>
      <c r="G19" s="141">
        <v>1</v>
      </c>
      <c r="H19" s="141">
        <v>2</v>
      </c>
      <c r="K19" s="141">
        <v>131</v>
      </c>
      <c r="L19" s="141">
        <v>32</v>
      </c>
    </row>
    <row r="20" ht="16.5" spans="2:12">
      <c r="B20" s="141" t="s">
        <v>32</v>
      </c>
      <c r="C20" s="141" t="str">
        <f>VLOOKUP(B20,'[13]Detailed Calculation table'!A:B,2,0)</f>
        <v>IT</v>
      </c>
      <c r="F20" s="141" t="s">
        <v>2314</v>
      </c>
      <c r="G20" s="146">
        <v>0.05</v>
      </c>
      <c r="H20" s="141">
        <v>1</v>
      </c>
      <c r="K20" s="141">
        <v>132</v>
      </c>
      <c r="L20" s="141">
        <v>35</v>
      </c>
    </row>
    <row r="21" spans="2:12">
      <c r="B21" s="141" t="s">
        <v>32</v>
      </c>
      <c r="C21" s="141" t="str">
        <f>VLOOKUP(B21,'[13]Detailed Calculation table'!A:B,2,0)</f>
        <v>IT</v>
      </c>
      <c r="F21" s="141" t="s">
        <v>678</v>
      </c>
      <c r="G21" s="141">
        <v>1</v>
      </c>
      <c r="H21" s="141">
        <v>2</v>
      </c>
      <c r="K21" s="141">
        <v>132</v>
      </c>
      <c r="L21" s="141">
        <v>35</v>
      </c>
    </row>
    <row r="22" ht="16.5" spans="2:12">
      <c r="B22" s="141" t="s">
        <v>34</v>
      </c>
      <c r="C22" s="141" t="str">
        <f>VLOOKUP(B22,'[13]Detailed Calculation table'!A:B,2,0)</f>
        <v>ES</v>
      </c>
      <c r="F22" s="141" t="s">
        <v>2314</v>
      </c>
      <c r="G22" s="146">
        <v>0.05</v>
      </c>
      <c r="H22" s="141">
        <v>1</v>
      </c>
      <c r="K22" s="141">
        <v>126</v>
      </c>
      <c r="L22" s="141">
        <v>29</v>
      </c>
    </row>
    <row r="23" spans="2:12">
      <c r="B23" s="141" t="s">
        <v>34</v>
      </c>
      <c r="C23" s="141" t="str">
        <f>VLOOKUP(B23,'[13]Detailed Calculation table'!A:B,2,0)</f>
        <v>ES</v>
      </c>
      <c r="F23" s="141" t="s">
        <v>678</v>
      </c>
      <c r="G23" s="141">
        <v>1</v>
      </c>
      <c r="H23" s="141">
        <v>2</v>
      </c>
      <c r="K23" s="141">
        <v>126</v>
      </c>
      <c r="L23" s="141">
        <v>29</v>
      </c>
    </row>
    <row r="24" ht="16.5" spans="2:12">
      <c r="B24" s="141" t="s">
        <v>62</v>
      </c>
      <c r="C24" s="141" t="str">
        <f>VLOOKUP(B24,'[13]Detailed Calculation table'!A:B,2,0)</f>
        <v>PT</v>
      </c>
      <c r="F24" s="141" t="s">
        <v>2314</v>
      </c>
      <c r="G24" s="146">
        <v>0.05</v>
      </c>
      <c r="H24" s="141">
        <v>1</v>
      </c>
      <c r="K24" s="141">
        <v>125</v>
      </c>
      <c r="L24" s="141">
        <v>28</v>
      </c>
    </row>
    <row r="25" spans="2:12">
      <c r="B25" s="141" t="s">
        <v>62</v>
      </c>
      <c r="C25" s="141" t="str">
        <f>VLOOKUP(B25,'[13]Detailed Calculation table'!A:B,2,0)</f>
        <v>PT</v>
      </c>
      <c r="F25" s="141" t="s">
        <v>678</v>
      </c>
      <c r="G25" s="141">
        <v>1</v>
      </c>
      <c r="H25" s="141">
        <v>2</v>
      </c>
      <c r="K25" s="141">
        <v>125</v>
      </c>
      <c r="L25" s="141">
        <v>28</v>
      </c>
    </row>
    <row r="26" ht="16.5" spans="2:12">
      <c r="B26" s="141" t="s">
        <v>92</v>
      </c>
      <c r="C26" s="141" t="str">
        <f>VLOOKUP(B26,'[13]Detailed Calculation table'!A:B,2,0)</f>
        <v>NL</v>
      </c>
      <c r="F26" s="141" t="s">
        <v>2314</v>
      </c>
      <c r="G26" s="146">
        <v>0.05</v>
      </c>
      <c r="H26" s="141">
        <v>1</v>
      </c>
      <c r="K26" s="141">
        <v>115</v>
      </c>
      <c r="L26" s="141">
        <v>41</v>
      </c>
    </row>
    <row r="27" spans="2:12">
      <c r="B27" s="141" t="s">
        <v>92</v>
      </c>
      <c r="C27" s="141" t="str">
        <f>VLOOKUP(B27,'[13]Detailed Calculation table'!A:B,2,0)</f>
        <v>NL</v>
      </c>
      <c r="F27" s="141" t="s">
        <v>678</v>
      </c>
      <c r="G27" s="141">
        <v>1</v>
      </c>
      <c r="H27" s="141">
        <v>2</v>
      </c>
      <c r="K27" s="141">
        <v>115</v>
      </c>
      <c r="L27" s="141">
        <v>41</v>
      </c>
    </row>
    <row r="28" ht="16.5" spans="2:12">
      <c r="B28" s="141" t="s">
        <v>36</v>
      </c>
      <c r="C28" s="141" t="str">
        <f>VLOOKUP(B28,'[13]Detailed Calculation table'!A:B,2,0)</f>
        <v>BE</v>
      </c>
      <c r="F28" s="141" t="s">
        <v>2314</v>
      </c>
      <c r="G28" s="146">
        <v>0.05</v>
      </c>
      <c r="H28" s="141">
        <v>1</v>
      </c>
      <c r="K28" s="141">
        <v>116</v>
      </c>
      <c r="L28" s="141">
        <v>30</v>
      </c>
    </row>
    <row r="29" spans="2:12">
      <c r="B29" s="141" t="s">
        <v>36</v>
      </c>
      <c r="C29" s="141" t="str">
        <f>VLOOKUP(B29,'[13]Detailed Calculation table'!A:B,2,0)</f>
        <v>BE</v>
      </c>
      <c r="F29" s="141" t="s">
        <v>678</v>
      </c>
      <c r="G29" s="141">
        <v>1</v>
      </c>
      <c r="H29" s="141">
        <v>2</v>
      </c>
      <c r="K29" s="141">
        <v>116</v>
      </c>
      <c r="L29" s="141">
        <v>30</v>
      </c>
    </row>
    <row r="30" ht="16.5" spans="2:12">
      <c r="B30" s="141" t="s">
        <v>40</v>
      </c>
      <c r="C30" s="141" t="str">
        <f>VLOOKUP(B30,'[13]Detailed Calculation table'!A:B,2,0)</f>
        <v>LU</v>
      </c>
      <c r="F30" s="141" t="s">
        <v>2314</v>
      </c>
      <c r="G30" s="146">
        <v>0.05</v>
      </c>
      <c r="H30" s="141">
        <v>1</v>
      </c>
      <c r="K30" s="141">
        <v>103</v>
      </c>
      <c r="L30" s="141">
        <v>31</v>
      </c>
    </row>
    <row r="31" spans="2:12">
      <c r="B31" s="141" t="s">
        <v>40</v>
      </c>
      <c r="C31" s="141" t="str">
        <f>VLOOKUP(B31,'[13]Detailed Calculation table'!A:B,2,0)</f>
        <v>LU</v>
      </c>
      <c r="F31" s="141" t="s">
        <v>678</v>
      </c>
      <c r="G31" s="141">
        <v>1</v>
      </c>
      <c r="H31" s="141">
        <v>2</v>
      </c>
      <c r="K31" s="141">
        <v>103</v>
      </c>
      <c r="L31" s="141">
        <v>31</v>
      </c>
    </row>
    <row r="32" ht="16.5" spans="2:12">
      <c r="B32" s="141" t="s">
        <v>70</v>
      </c>
      <c r="C32" s="141" t="str">
        <f>VLOOKUP(B32,'[13]Detailed Calculation table'!A:B,2,0)</f>
        <v>SE/SW</v>
      </c>
      <c r="F32" s="141" t="s">
        <v>2314</v>
      </c>
      <c r="G32" s="146">
        <v>0.05</v>
      </c>
      <c r="H32" s="141">
        <v>1</v>
      </c>
      <c r="K32" s="141">
        <v>116</v>
      </c>
      <c r="L32" s="141">
        <v>45</v>
      </c>
    </row>
    <row r="33" spans="2:12">
      <c r="B33" s="141" t="s">
        <v>70</v>
      </c>
      <c r="C33" s="141" t="str">
        <f>VLOOKUP(B33,'[13]Detailed Calculation table'!A:B,2,0)</f>
        <v>SE/SW</v>
      </c>
      <c r="F33" s="141" t="s">
        <v>678</v>
      </c>
      <c r="G33" s="141">
        <v>1</v>
      </c>
      <c r="H33" s="141">
        <v>2</v>
      </c>
      <c r="K33" s="141">
        <v>116</v>
      </c>
      <c r="L33" s="141">
        <v>45</v>
      </c>
    </row>
    <row r="34" ht="16.5" spans="2:12">
      <c r="B34" s="141" t="s">
        <v>30</v>
      </c>
      <c r="C34" s="141" t="str">
        <f>VLOOKUP(B34,'[13]Detailed Calculation table'!A:B,2,0)</f>
        <v>AT</v>
      </c>
      <c r="F34" s="141" t="s">
        <v>2314</v>
      </c>
      <c r="G34" s="146">
        <v>0.05</v>
      </c>
      <c r="H34" s="141">
        <v>1</v>
      </c>
      <c r="K34" s="141">
        <v>108</v>
      </c>
      <c r="L34" s="141">
        <v>38</v>
      </c>
    </row>
    <row r="35" spans="2:12">
      <c r="B35" s="141" t="s">
        <v>30</v>
      </c>
      <c r="C35" s="141" t="str">
        <f>VLOOKUP(B35,'[13]Detailed Calculation table'!A:B,2,0)</f>
        <v>AT</v>
      </c>
      <c r="F35" s="141" t="s">
        <v>678</v>
      </c>
      <c r="G35" s="141">
        <v>1</v>
      </c>
      <c r="H35" s="141">
        <v>2</v>
      </c>
      <c r="K35" s="141">
        <v>108</v>
      </c>
      <c r="L35" s="141">
        <v>24</v>
      </c>
    </row>
    <row r="36" ht="16.5" spans="2:12">
      <c r="B36" s="141" t="s">
        <v>48</v>
      </c>
      <c r="C36" s="141" t="str">
        <f>VLOOKUP(B36,'[13]Detailed Calculation table'!A:B,2,0)</f>
        <v>CZ</v>
      </c>
      <c r="F36" s="141" t="s">
        <v>2314</v>
      </c>
      <c r="G36" s="146">
        <v>0.05</v>
      </c>
      <c r="H36" s="141">
        <v>1</v>
      </c>
      <c r="K36" s="141">
        <v>120</v>
      </c>
      <c r="L36" s="141">
        <v>45</v>
      </c>
    </row>
    <row r="37" spans="2:12">
      <c r="B37" s="141" t="s">
        <v>48</v>
      </c>
      <c r="C37" s="141" t="str">
        <f>VLOOKUP(B37,'[13]Detailed Calculation table'!A:B,2,0)</f>
        <v>CZ</v>
      </c>
      <c r="F37" s="141" t="s">
        <v>678</v>
      </c>
      <c r="G37" s="141">
        <v>1</v>
      </c>
      <c r="H37" s="141">
        <v>2</v>
      </c>
      <c r="K37" s="141">
        <v>120</v>
      </c>
      <c r="L37" s="141">
        <v>45</v>
      </c>
    </row>
    <row r="38" ht="16.5" spans="2:12">
      <c r="B38" s="141" t="s">
        <v>60</v>
      </c>
      <c r="C38" s="141" t="str">
        <f>VLOOKUP(B38,'[13]Detailed Calculation table'!A:B,2,0)</f>
        <v>PL</v>
      </c>
      <c r="F38" s="141" t="s">
        <v>2314</v>
      </c>
      <c r="G38" s="146">
        <v>0.05</v>
      </c>
      <c r="H38" s="141">
        <v>1</v>
      </c>
      <c r="K38" s="141">
        <v>119</v>
      </c>
      <c r="L38" s="141">
        <v>43</v>
      </c>
    </row>
    <row r="39" spans="2:12">
      <c r="B39" s="141" t="s">
        <v>60</v>
      </c>
      <c r="C39" s="141" t="str">
        <f>VLOOKUP(B39,'[13]Detailed Calculation table'!A:B,2,0)</f>
        <v>PL</v>
      </c>
      <c r="F39" s="141" t="s">
        <v>678</v>
      </c>
      <c r="G39" s="141">
        <v>1</v>
      </c>
      <c r="H39" s="141">
        <v>2</v>
      </c>
      <c r="K39" s="141">
        <v>119</v>
      </c>
      <c r="L39" s="141">
        <v>33</v>
      </c>
    </row>
    <row r="40" ht="16.5" spans="2:12">
      <c r="B40" s="141" t="s">
        <v>66</v>
      </c>
      <c r="C40" s="141" t="str">
        <f>VLOOKUP(B40,'[13]Detailed Calculation table'!A:B,2,0)</f>
        <v>SK</v>
      </c>
      <c r="F40" s="141" t="s">
        <v>2314</v>
      </c>
      <c r="G40" s="146">
        <v>0.05</v>
      </c>
      <c r="H40" s="141">
        <v>1</v>
      </c>
      <c r="K40" s="141">
        <v>110</v>
      </c>
      <c r="L40" s="141">
        <v>33</v>
      </c>
    </row>
    <row r="41" spans="2:12">
      <c r="B41" s="141" t="s">
        <v>66</v>
      </c>
      <c r="C41" s="141" t="str">
        <f>VLOOKUP(B41,'[13]Detailed Calculation table'!A:B,2,0)</f>
        <v>SK</v>
      </c>
      <c r="F41" s="141" t="s">
        <v>678</v>
      </c>
      <c r="G41" s="141">
        <v>1</v>
      </c>
      <c r="H41" s="141">
        <v>2</v>
      </c>
      <c r="K41" s="141">
        <v>110</v>
      </c>
      <c r="L41" s="141">
        <v>33</v>
      </c>
    </row>
    <row r="42" ht="16.5" spans="2:12">
      <c r="B42" s="141" t="s">
        <v>68</v>
      </c>
      <c r="C42" s="141" t="str">
        <f>VLOOKUP(B42,'[13]Detailed Calculation table'!A:B,2,0)</f>
        <v>SI</v>
      </c>
      <c r="F42" s="141" t="s">
        <v>2314</v>
      </c>
      <c r="G42" s="146">
        <v>0.05</v>
      </c>
      <c r="H42" s="141">
        <v>1</v>
      </c>
      <c r="K42" s="141">
        <v>137</v>
      </c>
      <c r="L42" s="141">
        <v>73</v>
      </c>
    </row>
    <row r="43" spans="2:12">
      <c r="B43" s="141" t="s">
        <v>68</v>
      </c>
      <c r="C43" s="141" t="str">
        <f>VLOOKUP(B43,'[13]Detailed Calculation table'!A:B,2,0)</f>
        <v>SI</v>
      </c>
      <c r="F43" s="141" t="s">
        <v>678</v>
      </c>
      <c r="G43" s="141">
        <v>1</v>
      </c>
      <c r="H43" s="141">
        <v>2</v>
      </c>
      <c r="K43" s="141">
        <v>137</v>
      </c>
      <c r="L43" s="141">
        <v>45</v>
      </c>
    </row>
    <row r="44" ht="16.5" spans="2:12">
      <c r="B44" s="141" t="s">
        <v>42</v>
      </c>
      <c r="C44" s="141" t="str">
        <f>VLOOKUP(B44,'[13]Detailed Calculation table'!A:B,2,0)</f>
        <v>IE</v>
      </c>
      <c r="F44" s="141" t="s">
        <v>2314</v>
      </c>
      <c r="G44" s="146">
        <v>0.05</v>
      </c>
      <c r="H44" s="141">
        <v>1</v>
      </c>
      <c r="K44" s="141">
        <v>111</v>
      </c>
      <c r="L44" s="141">
        <v>36</v>
      </c>
    </row>
    <row r="45" spans="2:12">
      <c r="B45" s="141" t="s">
        <v>42</v>
      </c>
      <c r="C45" s="141" t="str">
        <f>VLOOKUP(B45,'[13]Detailed Calculation table'!A:B,2,0)</f>
        <v>IE</v>
      </c>
      <c r="F45" s="141" t="s">
        <v>678</v>
      </c>
      <c r="G45" s="141">
        <v>1</v>
      </c>
      <c r="H45" s="141">
        <v>2</v>
      </c>
      <c r="K45" s="141">
        <v>111</v>
      </c>
      <c r="L45" s="141">
        <v>36</v>
      </c>
    </row>
    <row r="46" ht="16.5" spans="2:12">
      <c r="B46" s="141" t="s">
        <v>54</v>
      </c>
      <c r="C46" s="141" t="str">
        <f>VLOOKUP(B46,'[13]Detailed Calculation table'!A:B,2,0)</f>
        <v>HU</v>
      </c>
      <c r="F46" s="141" t="s">
        <v>2314</v>
      </c>
      <c r="G46" s="146">
        <v>0.05</v>
      </c>
      <c r="H46" s="141">
        <v>1</v>
      </c>
      <c r="K46" s="141">
        <v>106</v>
      </c>
      <c r="L46" s="141">
        <v>27</v>
      </c>
    </row>
    <row r="47" spans="2:12">
      <c r="B47" s="141" t="s">
        <v>54</v>
      </c>
      <c r="C47" s="141" t="str">
        <f>VLOOKUP(B47,'[13]Detailed Calculation table'!A:B,2,0)</f>
        <v>HU</v>
      </c>
      <c r="F47" s="141" t="s">
        <v>678</v>
      </c>
      <c r="G47" s="141">
        <v>1</v>
      </c>
      <c r="H47" s="141">
        <v>2</v>
      </c>
      <c r="K47" s="141">
        <v>106</v>
      </c>
      <c r="L47" s="141">
        <v>27</v>
      </c>
    </row>
    <row r="48" ht="16.5" spans="2:12">
      <c r="B48" s="141" t="s">
        <v>58</v>
      </c>
      <c r="C48" s="141" t="str">
        <f>VLOOKUP(B48,'[13]Detailed Calculation table'!A:B,2,0)</f>
        <v>LT</v>
      </c>
      <c r="F48" s="141" t="s">
        <v>2314</v>
      </c>
      <c r="G48" s="146">
        <v>0.05</v>
      </c>
      <c r="H48" s="141">
        <v>1</v>
      </c>
      <c r="K48" s="141">
        <v>129</v>
      </c>
      <c r="L48" s="141">
        <v>65</v>
      </c>
    </row>
    <row r="49" spans="2:12">
      <c r="B49" s="141" t="s">
        <v>58</v>
      </c>
      <c r="C49" s="141" t="str">
        <f>VLOOKUP(B49,'[13]Detailed Calculation table'!A:B,2,0)</f>
        <v>LT</v>
      </c>
      <c r="F49" s="141" t="s">
        <v>678</v>
      </c>
      <c r="G49" s="141">
        <v>1</v>
      </c>
      <c r="H49" s="141">
        <v>2</v>
      </c>
      <c r="K49" s="141">
        <v>129</v>
      </c>
      <c r="L49" s="141">
        <v>49</v>
      </c>
    </row>
  </sheetData>
  <sheetProtection formatCells="0" formatColumns="0" formatRows="0" insertRows="0" insertColumns="0" insertHyperlinks="0" deleteColumns="0" deleteRows="0" sort="0" autoFilter="0" pivotTables="0"/>
  <autoFilter xmlns:etc="http://www.wps.cn/officeDocument/2017/etCustomData" ref="B2:O49" etc:filterBottomFollowUsedRange="0">
    <extLst/>
  </autoFilter>
  <mergeCells count="4">
    <mergeCell ref="F1:M1"/>
    <mergeCell ref="M3:M10"/>
    <mergeCell ref="N3:N10"/>
    <mergeCell ref="O3:O10"/>
  </mergeCells>
  <hyperlinks>
    <hyperlink ref="O1" location="产品目录!A1" display="返回目录"/>
  </hyperlink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90"/>
  <sheetViews>
    <sheetView workbookViewId="0">
      <selection activeCell="L13" sqref="L13"/>
    </sheetView>
  </sheetViews>
  <sheetFormatPr defaultColWidth="9" defaultRowHeight="13.5"/>
  <cols>
    <col min="7" max="8" width="9" style="45"/>
    <col min="11" max="11" width="9" style="45"/>
  </cols>
  <sheetData>
    <row r="1" ht="29.25" customHeight="1" spans="1:15">
      <c r="A1" s="46"/>
      <c r="B1" s="46"/>
      <c r="C1" s="46"/>
      <c r="D1" s="47" t="s">
        <v>2321</v>
      </c>
      <c r="E1" s="47"/>
      <c r="F1" s="47"/>
      <c r="G1" s="48"/>
      <c r="H1" s="48"/>
      <c r="I1" s="47"/>
      <c r="J1" s="47"/>
      <c r="K1" s="48"/>
      <c r="L1" s="47"/>
      <c r="M1" s="47"/>
      <c r="N1" s="101"/>
      <c r="O1" s="50"/>
    </row>
    <row r="2" ht="31.5" spans="1:15">
      <c r="A2" s="46"/>
      <c r="B2" s="49"/>
      <c r="C2" s="49"/>
      <c r="D2" s="47"/>
      <c r="E2" s="47"/>
      <c r="F2" s="47"/>
      <c r="G2" s="48"/>
      <c r="H2" s="48"/>
      <c r="I2" s="47"/>
      <c r="J2" s="47"/>
      <c r="K2" s="48"/>
      <c r="L2" s="47"/>
      <c r="M2" s="47"/>
      <c r="N2" s="102"/>
      <c r="O2" s="103"/>
    </row>
    <row r="3" ht="31.5" spans="1:15">
      <c r="A3" s="46"/>
      <c r="B3" s="49"/>
      <c r="C3" s="49"/>
      <c r="D3" s="47"/>
      <c r="E3" s="47"/>
      <c r="F3" s="47"/>
      <c r="G3" s="48"/>
      <c r="H3" s="48"/>
      <c r="I3" s="47"/>
      <c r="J3" s="47"/>
      <c r="K3" s="48"/>
      <c r="L3" s="47"/>
      <c r="M3" s="47"/>
      <c r="N3" s="102"/>
      <c r="O3" s="104" t="s">
        <v>660</v>
      </c>
    </row>
    <row r="4" ht="31.5" spans="1:15">
      <c r="A4" s="46"/>
      <c r="B4" s="49"/>
      <c r="C4" s="49"/>
      <c r="D4" s="47"/>
      <c r="E4" s="47"/>
      <c r="F4" s="47"/>
      <c r="G4" s="48"/>
      <c r="H4" s="48"/>
      <c r="I4" s="47"/>
      <c r="J4" s="47"/>
      <c r="K4" s="48"/>
      <c r="L4" s="47"/>
      <c r="M4" s="47"/>
      <c r="N4" s="102"/>
      <c r="O4" s="32"/>
    </row>
    <row r="5" ht="60" spans="1:15">
      <c r="A5" s="50"/>
      <c r="B5" s="51" t="s">
        <v>1541</v>
      </c>
      <c r="C5" s="52"/>
      <c r="D5" s="53" t="s">
        <v>2200</v>
      </c>
      <c r="E5" s="53" t="s">
        <v>2201</v>
      </c>
      <c r="F5" s="54" t="s">
        <v>2202</v>
      </c>
      <c r="G5" s="55"/>
      <c r="H5" s="55"/>
      <c r="I5" s="105" t="s">
        <v>2203</v>
      </c>
      <c r="J5" s="105" t="s">
        <v>2204</v>
      </c>
      <c r="K5" s="55"/>
      <c r="L5" s="105"/>
      <c r="M5" s="105" t="s">
        <v>2205</v>
      </c>
      <c r="N5" s="106" t="s">
        <v>1550</v>
      </c>
      <c r="O5" s="107" t="s">
        <v>2206</v>
      </c>
    </row>
    <row r="6" ht="49.5" customHeight="1" spans="1:15">
      <c r="A6" s="56"/>
      <c r="B6" s="57" t="s">
        <v>62</v>
      </c>
      <c r="C6" s="58"/>
      <c r="D6" s="59">
        <v>20</v>
      </c>
      <c r="E6" s="59">
        <v>55</v>
      </c>
      <c r="F6" s="60" t="s">
        <v>2322</v>
      </c>
      <c r="G6" s="61"/>
      <c r="H6" s="61"/>
      <c r="I6" s="108" t="s">
        <v>2285</v>
      </c>
      <c r="J6" s="109" t="s">
        <v>1552</v>
      </c>
      <c r="K6" s="64"/>
      <c r="L6" s="110"/>
      <c r="M6" s="111" t="s">
        <v>1578</v>
      </c>
      <c r="N6" s="112"/>
      <c r="O6" s="113" t="s">
        <v>2210</v>
      </c>
    </row>
    <row r="7" ht="33" spans="1:15">
      <c r="A7" s="56"/>
      <c r="B7" s="57"/>
      <c r="C7" s="58"/>
      <c r="D7" s="59">
        <v>20</v>
      </c>
      <c r="E7" s="59">
        <v>55</v>
      </c>
      <c r="F7" s="60" t="s">
        <v>2323</v>
      </c>
      <c r="G7" s="61"/>
      <c r="H7" s="61"/>
      <c r="I7" s="108"/>
      <c r="J7" s="109"/>
      <c r="K7" s="64"/>
      <c r="L7" s="110"/>
      <c r="M7" s="111"/>
      <c r="N7" s="112"/>
      <c r="O7" s="113"/>
    </row>
    <row r="8" ht="16.5" customHeight="1" spans="1:15">
      <c r="A8" s="56"/>
      <c r="B8" s="62" t="s">
        <v>30</v>
      </c>
      <c r="C8" s="63"/>
      <c r="D8" s="59">
        <v>23</v>
      </c>
      <c r="E8" s="59">
        <v>85</v>
      </c>
      <c r="F8" s="60" t="s">
        <v>1580</v>
      </c>
      <c r="G8" s="64"/>
      <c r="H8" s="64"/>
      <c r="I8" s="110" t="s">
        <v>2285</v>
      </c>
      <c r="J8" s="110" t="s">
        <v>1552</v>
      </c>
      <c r="K8" s="64"/>
      <c r="L8" s="110"/>
      <c r="M8" s="110" t="s">
        <v>1571</v>
      </c>
      <c r="N8" s="110" t="s">
        <v>2324</v>
      </c>
      <c r="O8" s="114" t="s">
        <v>2210</v>
      </c>
    </row>
    <row r="9" ht="33" spans="1:15">
      <c r="A9" s="56"/>
      <c r="B9" s="62"/>
      <c r="C9" s="63"/>
      <c r="D9" s="59">
        <v>23</v>
      </c>
      <c r="E9" s="59">
        <v>70</v>
      </c>
      <c r="F9" s="60" t="s">
        <v>2325</v>
      </c>
      <c r="G9" s="64"/>
      <c r="H9" s="64"/>
      <c r="I9" s="110"/>
      <c r="J9" s="110"/>
      <c r="K9" s="64"/>
      <c r="L9" s="110"/>
      <c r="M9" s="110"/>
      <c r="N9" s="110"/>
      <c r="O9" s="114"/>
    </row>
    <row r="10" ht="33" spans="1:15">
      <c r="A10" s="56"/>
      <c r="B10" s="62"/>
      <c r="C10" s="63"/>
      <c r="D10" s="59">
        <v>23</v>
      </c>
      <c r="E10" s="59">
        <v>66</v>
      </c>
      <c r="F10" s="60" t="s">
        <v>2326</v>
      </c>
      <c r="G10" s="64"/>
      <c r="H10" s="64"/>
      <c r="I10" s="110"/>
      <c r="J10" s="110"/>
      <c r="K10" s="64"/>
      <c r="L10" s="110"/>
      <c r="M10" s="110"/>
      <c r="N10" s="110"/>
      <c r="O10" s="114"/>
    </row>
    <row r="11" ht="330" spans="1:15">
      <c r="A11" s="56"/>
      <c r="B11" s="57" t="s">
        <v>68</v>
      </c>
      <c r="C11" s="58"/>
      <c r="D11" s="59">
        <v>26</v>
      </c>
      <c r="E11" s="59">
        <v>66</v>
      </c>
      <c r="F11" s="60" t="s">
        <v>2327</v>
      </c>
      <c r="G11" s="61"/>
      <c r="H11" s="61"/>
      <c r="I11" s="111" t="s">
        <v>2285</v>
      </c>
      <c r="J11" s="111" t="s">
        <v>1636</v>
      </c>
      <c r="K11" s="61"/>
      <c r="L11" s="115"/>
      <c r="M11" s="115" t="s">
        <v>1641</v>
      </c>
      <c r="N11" s="116" t="s">
        <v>2232</v>
      </c>
      <c r="O11" s="113" t="s">
        <v>2210</v>
      </c>
    </row>
    <row r="12" ht="264" customHeight="1" spans="1:15">
      <c r="A12" s="56"/>
      <c r="B12" s="62" t="s">
        <v>50</v>
      </c>
      <c r="C12" s="63"/>
      <c r="D12" s="59">
        <v>24</v>
      </c>
      <c r="E12" s="59">
        <v>80</v>
      </c>
      <c r="F12" s="60" t="s">
        <v>1580</v>
      </c>
      <c r="G12" s="64"/>
      <c r="H12" s="64"/>
      <c r="I12" s="110" t="s">
        <v>2285</v>
      </c>
      <c r="J12" s="110" t="s">
        <v>1636</v>
      </c>
      <c r="K12" s="64"/>
      <c r="L12" s="110"/>
      <c r="M12" s="110" t="s">
        <v>1641</v>
      </c>
      <c r="N12" s="110" t="s">
        <v>2232</v>
      </c>
      <c r="O12" s="114" t="s">
        <v>2210</v>
      </c>
    </row>
    <row r="13" ht="33" spans="1:15">
      <c r="A13" s="56"/>
      <c r="B13" s="62"/>
      <c r="C13" s="63"/>
      <c r="D13" s="59">
        <v>21</v>
      </c>
      <c r="E13" s="59">
        <v>78</v>
      </c>
      <c r="F13" s="60" t="s">
        <v>2325</v>
      </c>
      <c r="G13" s="64"/>
      <c r="H13" s="64"/>
      <c r="I13" s="110"/>
      <c r="J13" s="110"/>
      <c r="K13" s="64"/>
      <c r="L13" s="110"/>
      <c r="M13" s="110"/>
      <c r="N13" s="110"/>
      <c r="O13" s="114"/>
    </row>
    <row r="14" ht="33" spans="1:15">
      <c r="A14" s="56"/>
      <c r="B14" s="62"/>
      <c r="C14" s="63"/>
      <c r="D14" s="59">
        <v>20</v>
      </c>
      <c r="E14" s="59">
        <v>68</v>
      </c>
      <c r="F14" s="60" t="s">
        <v>2326</v>
      </c>
      <c r="G14" s="64"/>
      <c r="H14" s="64"/>
      <c r="I14" s="110"/>
      <c r="J14" s="110"/>
      <c r="K14" s="64"/>
      <c r="L14" s="110"/>
      <c r="M14" s="110"/>
      <c r="N14" s="110"/>
      <c r="O14" s="114"/>
    </row>
    <row r="15" ht="16.5" customHeight="1" spans="1:15">
      <c r="A15" s="56"/>
      <c r="B15" s="57" t="s">
        <v>52</v>
      </c>
      <c r="C15" s="58"/>
      <c r="D15" s="59">
        <v>91</v>
      </c>
      <c r="E15" s="59">
        <v>102</v>
      </c>
      <c r="F15" s="60" t="s">
        <v>1580</v>
      </c>
      <c r="G15" s="61"/>
      <c r="H15" s="61"/>
      <c r="I15" s="111" t="s">
        <v>2285</v>
      </c>
      <c r="J15" s="111" t="s">
        <v>1636</v>
      </c>
      <c r="K15" s="61"/>
      <c r="L15" s="111"/>
      <c r="M15" s="111" t="s">
        <v>2328</v>
      </c>
      <c r="N15" s="111" t="s">
        <v>1638</v>
      </c>
      <c r="O15" s="113" t="s">
        <v>2210</v>
      </c>
    </row>
    <row r="16" ht="33" spans="1:15">
      <c r="A16" s="56"/>
      <c r="B16" s="57"/>
      <c r="C16" s="58"/>
      <c r="D16" s="59">
        <v>88</v>
      </c>
      <c r="E16" s="59">
        <v>102</v>
      </c>
      <c r="F16" s="60" t="s">
        <v>2329</v>
      </c>
      <c r="G16" s="61"/>
      <c r="H16" s="61"/>
      <c r="I16" s="111"/>
      <c r="J16" s="111"/>
      <c r="K16" s="61"/>
      <c r="L16" s="111"/>
      <c r="M16" s="111"/>
      <c r="N16" s="111"/>
      <c r="O16" s="113"/>
    </row>
    <row r="17" ht="33" spans="1:15">
      <c r="A17" s="56"/>
      <c r="B17" s="57"/>
      <c r="C17" s="58"/>
      <c r="D17" s="59">
        <v>75</v>
      </c>
      <c r="E17" s="59">
        <v>102</v>
      </c>
      <c r="F17" s="60" t="s">
        <v>2330</v>
      </c>
      <c r="G17" s="61"/>
      <c r="H17" s="61"/>
      <c r="I17" s="111"/>
      <c r="J17" s="111"/>
      <c r="K17" s="61"/>
      <c r="L17" s="111"/>
      <c r="M17" s="111"/>
      <c r="N17" s="111"/>
      <c r="O17" s="113"/>
    </row>
    <row r="18" ht="33" customHeight="1" spans="1:15">
      <c r="A18" s="56"/>
      <c r="B18" s="57" t="s">
        <v>76</v>
      </c>
      <c r="C18" s="58"/>
      <c r="D18" s="59">
        <v>63</v>
      </c>
      <c r="E18" s="59">
        <v>117</v>
      </c>
      <c r="F18" s="60" t="s">
        <v>2331</v>
      </c>
      <c r="G18" s="61"/>
      <c r="H18" s="61"/>
      <c r="I18" s="111" t="s">
        <v>677</v>
      </c>
      <c r="J18" s="111" t="s">
        <v>1874</v>
      </c>
      <c r="K18" s="61"/>
      <c r="L18" s="111"/>
      <c r="M18" s="111" t="s">
        <v>2332</v>
      </c>
      <c r="N18" s="111" t="s">
        <v>2333</v>
      </c>
      <c r="O18" s="113" t="s">
        <v>2210</v>
      </c>
    </row>
    <row r="19" ht="33" spans="1:15">
      <c r="A19" s="56"/>
      <c r="B19" s="57"/>
      <c r="C19" s="58"/>
      <c r="D19" s="59">
        <v>50</v>
      </c>
      <c r="E19" s="59">
        <v>122</v>
      </c>
      <c r="F19" s="60" t="s">
        <v>2334</v>
      </c>
      <c r="G19" s="61"/>
      <c r="H19" s="61"/>
      <c r="I19" s="111"/>
      <c r="J19" s="111"/>
      <c r="K19" s="61"/>
      <c r="L19" s="111"/>
      <c r="M19" s="111"/>
      <c r="N19" s="111"/>
      <c r="O19" s="113"/>
    </row>
    <row r="20" ht="16.5" spans="1:15">
      <c r="A20" s="56"/>
      <c r="B20" s="57"/>
      <c r="C20" s="58"/>
      <c r="D20" s="59">
        <v>49</v>
      </c>
      <c r="E20" s="59">
        <v>108</v>
      </c>
      <c r="F20" s="60" t="s">
        <v>2335</v>
      </c>
      <c r="G20" s="61"/>
      <c r="H20" s="61"/>
      <c r="I20" s="111"/>
      <c r="J20" s="111"/>
      <c r="K20" s="61"/>
      <c r="L20" s="111"/>
      <c r="M20" s="111"/>
      <c r="N20" s="111"/>
      <c r="O20" s="113"/>
    </row>
    <row r="21" ht="33" spans="1:15">
      <c r="A21" s="56"/>
      <c r="B21" s="57"/>
      <c r="C21" s="58"/>
      <c r="D21" s="59">
        <v>34</v>
      </c>
      <c r="E21" s="59">
        <v>109</v>
      </c>
      <c r="F21" s="60" t="s">
        <v>2336</v>
      </c>
      <c r="G21" s="61"/>
      <c r="H21" s="61"/>
      <c r="I21" s="111"/>
      <c r="J21" s="111"/>
      <c r="K21" s="61"/>
      <c r="L21" s="111"/>
      <c r="M21" s="111"/>
      <c r="N21" s="111"/>
      <c r="O21" s="113"/>
    </row>
    <row r="22" ht="280.5" customHeight="1" spans="1:15">
      <c r="A22" s="56"/>
      <c r="B22" s="62" t="s">
        <v>44</v>
      </c>
      <c r="C22" s="63"/>
      <c r="D22" s="59">
        <v>21</v>
      </c>
      <c r="E22" s="59">
        <v>84</v>
      </c>
      <c r="F22" s="65" t="s">
        <v>2337</v>
      </c>
      <c r="G22" s="66"/>
      <c r="H22" s="66"/>
      <c r="I22" s="109" t="s">
        <v>2285</v>
      </c>
      <c r="J22" s="109" t="s">
        <v>1636</v>
      </c>
      <c r="K22" s="117"/>
      <c r="L22" s="109"/>
      <c r="M22" s="109" t="s">
        <v>1641</v>
      </c>
      <c r="N22" s="109" t="s">
        <v>2232</v>
      </c>
      <c r="O22" s="114" t="s">
        <v>2210</v>
      </c>
    </row>
    <row r="23" ht="16.5" spans="1:15">
      <c r="A23" s="56"/>
      <c r="B23" s="62"/>
      <c r="C23" s="63"/>
      <c r="D23" s="59">
        <v>17</v>
      </c>
      <c r="E23" s="59">
        <v>75</v>
      </c>
      <c r="F23" s="65" t="s">
        <v>2335</v>
      </c>
      <c r="G23" s="66"/>
      <c r="H23" s="66"/>
      <c r="I23" s="109"/>
      <c r="J23" s="109"/>
      <c r="K23" s="117"/>
      <c r="L23" s="109"/>
      <c r="M23" s="109"/>
      <c r="N23" s="109"/>
      <c r="O23" s="114"/>
    </row>
    <row r="24" ht="33" spans="1:15">
      <c r="A24" s="56"/>
      <c r="B24" s="62"/>
      <c r="C24" s="63"/>
      <c r="D24" s="59">
        <v>17</v>
      </c>
      <c r="E24" s="59">
        <v>70</v>
      </c>
      <c r="F24" s="65" t="s">
        <v>2336</v>
      </c>
      <c r="G24" s="66"/>
      <c r="H24" s="66"/>
      <c r="I24" s="109"/>
      <c r="J24" s="109"/>
      <c r="K24" s="117"/>
      <c r="L24" s="109"/>
      <c r="M24" s="109"/>
      <c r="N24" s="109"/>
      <c r="O24" s="114"/>
    </row>
    <row r="25" ht="280.5" customHeight="1" spans="1:15">
      <c r="A25" s="56"/>
      <c r="B25" s="62" t="s">
        <v>64</v>
      </c>
      <c r="C25" s="63"/>
      <c r="D25" s="59">
        <v>26</v>
      </c>
      <c r="E25" s="59">
        <v>90</v>
      </c>
      <c r="F25" s="60" t="s">
        <v>2331</v>
      </c>
      <c r="G25" s="64"/>
      <c r="H25" s="64"/>
      <c r="I25" s="109" t="s">
        <v>2285</v>
      </c>
      <c r="J25" s="109" t="s">
        <v>1636</v>
      </c>
      <c r="K25" s="117"/>
      <c r="L25" s="109"/>
      <c r="M25" s="109" t="s">
        <v>1641</v>
      </c>
      <c r="N25" s="109" t="s">
        <v>2232</v>
      </c>
      <c r="O25" s="114" t="s">
        <v>2210</v>
      </c>
    </row>
    <row r="26" ht="16.5" spans="1:15">
      <c r="A26" s="56"/>
      <c r="B26" s="62"/>
      <c r="C26" s="63"/>
      <c r="D26" s="59">
        <v>21</v>
      </c>
      <c r="E26" s="59">
        <v>79</v>
      </c>
      <c r="F26" s="60" t="s">
        <v>2338</v>
      </c>
      <c r="G26" s="64"/>
      <c r="H26" s="64"/>
      <c r="I26" s="109"/>
      <c r="J26" s="109"/>
      <c r="K26" s="117"/>
      <c r="L26" s="109"/>
      <c r="M26" s="109"/>
      <c r="N26" s="109"/>
      <c r="O26" s="114"/>
    </row>
    <row r="27" ht="33" spans="1:15">
      <c r="A27" s="56"/>
      <c r="B27" s="62"/>
      <c r="C27" s="63"/>
      <c r="D27" s="59">
        <v>21</v>
      </c>
      <c r="E27" s="59">
        <v>76</v>
      </c>
      <c r="F27" s="65" t="s">
        <v>2336</v>
      </c>
      <c r="G27" s="66"/>
      <c r="H27" s="66"/>
      <c r="I27" s="109"/>
      <c r="J27" s="109"/>
      <c r="K27" s="117"/>
      <c r="L27" s="109"/>
      <c r="M27" s="109"/>
      <c r="N27" s="109"/>
      <c r="O27" s="114"/>
    </row>
    <row r="28" ht="49.5" spans="1:15">
      <c r="A28" s="56"/>
      <c r="B28" s="57" t="s">
        <v>56</v>
      </c>
      <c r="C28" s="58"/>
      <c r="D28" s="59">
        <v>46</v>
      </c>
      <c r="E28" s="59">
        <v>50</v>
      </c>
      <c r="F28" s="60" t="s">
        <v>2327</v>
      </c>
      <c r="G28" s="61"/>
      <c r="H28" s="61"/>
      <c r="I28" s="111" t="s">
        <v>2285</v>
      </c>
      <c r="J28" s="111" t="s">
        <v>1636</v>
      </c>
      <c r="K28" s="61"/>
      <c r="L28" s="115"/>
      <c r="M28" s="115" t="s">
        <v>1633</v>
      </c>
      <c r="N28" s="116"/>
      <c r="O28" s="113" t="s">
        <v>2210</v>
      </c>
    </row>
    <row r="29" ht="330" spans="1:15">
      <c r="A29" s="56"/>
      <c r="B29" s="57" t="s">
        <v>46</v>
      </c>
      <c r="C29" s="58"/>
      <c r="D29" s="59">
        <v>25</v>
      </c>
      <c r="E29" s="59">
        <v>66</v>
      </c>
      <c r="F29" s="60" t="s">
        <v>2327</v>
      </c>
      <c r="G29" s="61"/>
      <c r="H29" s="61"/>
      <c r="I29" s="111" t="s">
        <v>2285</v>
      </c>
      <c r="J29" s="111" t="s">
        <v>1636</v>
      </c>
      <c r="K29" s="61"/>
      <c r="L29" s="115"/>
      <c r="M29" s="115" t="s">
        <v>1641</v>
      </c>
      <c r="N29" s="116" t="s">
        <v>2232</v>
      </c>
      <c r="O29" s="113" t="s">
        <v>2210</v>
      </c>
    </row>
    <row r="30" ht="99" customHeight="1" spans="1:15">
      <c r="A30" s="56"/>
      <c r="B30" s="62" t="s">
        <v>40</v>
      </c>
      <c r="C30" s="63"/>
      <c r="D30" s="59">
        <v>26</v>
      </c>
      <c r="E30" s="59">
        <v>78</v>
      </c>
      <c r="F30" s="60" t="s">
        <v>2339</v>
      </c>
      <c r="G30" s="64"/>
      <c r="H30" s="64"/>
      <c r="I30" s="110" t="s">
        <v>2285</v>
      </c>
      <c r="J30" s="110" t="s">
        <v>1636</v>
      </c>
      <c r="K30" s="64"/>
      <c r="L30" s="118"/>
      <c r="M30" s="118" t="s">
        <v>2340</v>
      </c>
      <c r="N30" s="118" t="s">
        <v>1630</v>
      </c>
      <c r="O30" s="114" t="s">
        <v>2210</v>
      </c>
    </row>
    <row r="31" ht="33" spans="1:15">
      <c r="A31" s="56"/>
      <c r="B31" s="62"/>
      <c r="C31" s="63"/>
      <c r="D31" s="59">
        <v>26</v>
      </c>
      <c r="E31" s="59">
        <v>68</v>
      </c>
      <c r="F31" s="65" t="s">
        <v>2341</v>
      </c>
      <c r="G31" s="66"/>
      <c r="H31" s="66"/>
      <c r="I31" s="110"/>
      <c r="J31" s="110"/>
      <c r="K31" s="64"/>
      <c r="L31" s="118"/>
      <c r="M31" s="118"/>
      <c r="N31" s="118"/>
      <c r="O31" s="114"/>
    </row>
    <row r="32" ht="16.5" customHeight="1" spans="1:15">
      <c r="A32" s="56"/>
      <c r="B32" s="62" t="s">
        <v>106</v>
      </c>
      <c r="C32" s="63" t="s">
        <v>107</v>
      </c>
      <c r="D32" s="59">
        <v>44</v>
      </c>
      <c r="E32" s="59">
        <v>75</v>
      </c>
      <c r="F32" s="65" t="s">
        <v>1580</v>
      </c>
      <c r="G32" s="66">
        <v>0</v>
      </c>
      <c r="H32" s="66">
        <v>0.2</v>
      </c>
      <c r="I32" s="118" t="s">
        <v>2342</v>
      </c>
      <c r="J32" s="118" t="s">
        <v>2215</v>
      </c>
      <c r="K32" s="119">
        <v>75</v>
      </c>
      <c r="L32" s="59">
        <v>44</v>
      </c>
      <c r="M32" s="118" t="s">
        <v>2343</v>
      </c>
      <c r="N32" s="118"/>
      <c r="O32" s="114" t="s">
        <v>2210</v>
      </c>
    </row>
    <row r="33" ht="33" spans="1:15">
      <c r="A33" s="67"/>
      <c r="B33" s="62" t="s">
        <v>106</v>
      </c>
      <c r="C33" s="63" t="s">
        <v>107</v>
      </c>
      <c r="D33" s="59">
        <v>39</v>
      </c>
      <c r="E33" s="59">
        <v>75</v>
      </c>
      <c r="F33" s="65" t="s">
        <v>1583</v>
      </c>
      <c r="G33" s="66">
        <v>0.201</v>
      </c>
      <c r="H33" s="66">
        <v>0.4</v>
      </c>
      <c r="I33" s="118"/>
      <c r="J33" s="118"/>
      <c r="K33" s="119">
        <v>75</v>
      </c>
      <c r="L33" s="59">
        <v>39</v>
      </c>
      <c r="M33" s="118"/>
      <c r="N33" s="118"/>
      <c r="O33" s="114"/>
    </row>
    <row r="34" ht="33" spans="1:15">
      <c r="A34" s="67"/>
      <c r="B34" s="62" t="s">
        <v>106</v>
      </c>
      <c r="C34" s="63" t="s">
        <v>107</v>
      </c>
      <c r="D34" s="59">
        <v>37</v>
      </c>
      <c r="E34" s="59">
        <v>67</v>
      </c>
      <c r="F34" s="65" t="s">
        <v>2344</v>
      </c>
      <c r="G34" s="66">
        <v>0.401</v>
      </c>
      <c r="H34" s="66">
        <v>20</v>
      </c>
      <c r="I34" s="118"/>
      <c r="J34" s="118"/>
      <c r="K34" s="119">
        <v>67</v>
      </c>
      <c r="L34" s="59">
        <v>37</v>
      </c>
      <c r="M34" s="118"/>
      <c r="N34" s="118"/>
      <c r="O34" s="114"/>
    </row>
    <row r="35" ht="33" customHeight="1" spans="1:15">
      <c r="A35" s="56"/>
      <c r="B35" s="62" t="s">
        <v>78</v>
      </c>
      <c r="C35" s="63"/>
      <c r="D35" s="59">
        <v>23</v>
      </c>
      <c r="E35" s="59">
        <v>52</v>
      </c>
      <c r="F35" s="65" t="s">
        <v>1580</v>
      </c>
      <c r="G35" s="66"/>
      <c r="H35" s="66"/>
      <c r="I35" s="109" t="s">
        <v>1552</v>
      </c>
      <c r="J35" s="109" t="s">
        <v>1553</v>
      </c>
      <c r="K35" s="117"/>
      <c r="L35" s="109"/>
      <c r="M35" s="109" t="s">
        <v>2234</v>
      </c>
      <c r="N35" s="109" t="s">
        <v>2345</v>
      </c>
      <c r="O35" s="114" t="s">
        <v>2210</v>
      </c>
    </row>
    <row r="36" ht="33" spans="1:15">
      <c r="A36" s="56"/>
      <c r="B36" s="62"/>
      <c r="C36" s="63"/>
      <c r="D36" s="59">
        <v>23</v>
      </c>
      <c r="E36" s="59">
        <v>60</v>
      </c>
      <c r="F36" s="65" t="s">
        <v>2325</v>
      </c>
      <c r="G36" s="66"/>
      <c r="H36" s="66"/>
      <c r="I36" s="109"/>
      <c r="J36" s="109"/>
      <c r="K36" s="117"/>
      <c r="L36" s="109"/>
      <c r="M36" s="109"/>
      <c r="N36" s="109"/>
      <c r="O36" s="114"/>
    </row>
    <row r="37" ht="16.5" spans="1:15">
      <c r="A37" s="56"/>
      <c r="B37" s="62"/>
      <c r="C37" s="63"/>
      <c r="D37" s="59">
        <v>23</v>
      </c>
      <c r="E37" s="59">
        <v>66</v>
      </c>
      <c r="F37" s="65" t="s">
        <v>2335</v>
      </c>
      <c r="G37" s="66"/>
      <c r="H37" s="66"/>
      <c r="I37" s="109"/>
      <c r="J37" s="109"/>
      <c r="K37" s="117"/>
      <c r="L37" s="109"/>
      <c r="M37" s="109"/>
      <c r="N37" s="109"/>
      <c r="O37" s="114"/>
    </row>
    <row r="38" ht="33" spans="1:15">
      <c r="A38" s="56"/>
      <c r="B38" s="62"/>
      <c r="C38" s="63"/>
      <c r="D38" s="59">
        <v>23</v>
      </c>
      <c r="E38" s="59">
        <v>72</v>
      </c>
      <c r="F38" s="65" t="s">
        <v>2336</v>
      </c>
      <c r="G38" s="66"/>
      <c r="H38" s="66"/>
      <c r="I38" s="109"/>
      <c r="J38" s="109"/>
      <c r="K38" s="117"/>
      <c r="L38" s="109"/>
      <c r="M38" s="109"/>
      <c r="N38" s="109"/>
      <c r="O38" s="114"/>
    </row>
    <row r="39" ht="16.5" customHeight="1" spans="1:15">
      <c r="A39" s="56"/>
      <c r="B39" s="57" t="s">
        <v>84</v>
      </c>
      <c r="C39" s="58"/>
      <c r="D39" s="59">
        <v>17</v>
      </c>
      <c r="E39" s="59">
        <v>77</v>
      </c>
      <c r="F39" s="60" t="s">
        <v>2331</v>
      </c>
      <c r="G39" s="61"/>
      <c r="H39" s="61"/>
      <c r="I39" s="111" t="s">
        <v>682</v>
      </c>
      <c r="J39" s="111" t="s">
        <v>2215</v>
      </c>
      <c r="K39" s="61"/>
      <c r="L39" s="111"/>
      <c r="M39" s="111" t="s">
        <v>2346</v>
      </c>
      <c r="N39" s="111" t="s">
        <v>2347</v>
      </c>
      <c r="O39" s="113" t="s">
        <v>2210</v>
      </c>
    </row>
    <row r="40" ht="33" spans="1:15">
      <c r="A40" s="56"/>
      <c r="B40" s="57"/>
      <c r="C40" s="58"/>
      <c r="D40" s="59">
        <v>17</v>
      </c>
      <c r="E40" s="59">
        <v>70</v>
      </c>
      <c r="F40" s="60" t="s">
        <v>2348</v>
      </c>
      <c r="G40" s="61"/>
      <c r="H40" s="61"/>
      <c r="I40" s="111"/>
      <c r="J40" s="111"/>
      <c r="K40" s="61"/>
      <c r="L40" s="111"/>
      <c r="M40" s="111"/>
      <c r="N40" s="111"/>
      <c r="O40" s="113"/>
    </row>
    <row r="41" ht="49.5" customHeight="1" spans="1:15">
      <c r="A41" s="56"/>
      <c r="B41" s="68" t="s">
        <v>80</v>
      </c>
      <c r="C41" s="69"/>
      <c r="D41" s="59">
        <v>21</v>
      </c>
      <c r="E41" s="59">
        <v>82</v>
      </c>
      <c r="F41" s="60" t="s">
        <v>2349</v>
      </c>
      <c r="G41" s="61"/>
      <c r="H41" s="61"/>
      <c r="I41" s="108" t="s">
        <v>677</v>
      </c>
      <c r="J41" s="108" t="s">
        <v>1552</v>
      </c>
      <c r="K41" s="61"/>
      <c r="L41" s="115"/>
      <c r="M41" s="115" t="s">
        <v>2237</v>
      </c>
      <c r="N41" s="118" t="s">
        <v>2238</v>
      </c>
      <c r="O41" s="114" t="s">
        <v>2210</v>
      </c>
    </row>
    <row r="42" ht="33" spans="1:15">
      <c r="A42" s="56"/>
      <c r="B42" s="68"/>
      <c r="C42" s="69"/>
      <c r="D42" s="59">
        <v>20</v>
      </c>
      <c r="E42" s="59">
        <v>72</v>
      </c>
      <c r="F42" s="60" t="s">
        <v>2350</v>
      </c>
      <c r="G42" s="61"/>
      <c r="H42" s="61"/>
      <c r="I42" s="108"/>
      <c r="J42" s="108"/>
      <c r="K42" s="61"/>
      <c r="L42" s="115"/>
      <c r="M42" s="115"/>
      <c r="N42" s="118"/>
      <c r="O42" s="114"/>
    </row>
    <row r="43" ht="16.5" spans="1:15">
      <c r="A43" s="56"/>
      <c r="B43" s="68"/>
      <c r="C43" s="69"/>
      <c r="D43" s="59">
        <v>19</v>
      </c>
      <c r="E43" s="59">
        <v>69</v>
      </c>
      <c r="F43" s="60" t="s">
        <v>2351</v>
      </c>
      <c r="G43" s="61"/>
      <c r="H43" s="61"/>
      <c r="I43" s="108"/>
      <c r="J43" s="108"/>
      <c r="K43" s="61"/>
      <c r="L43" s="115"/>
      <c r="M43" s="115"/>
      <c r="N43" s="118"/>
      <c r="O43" s="114"/>
    </row>
    <row r="44" ht="16.5" spans="1:15">
      <c r="A44" s="56"/>
      <c r="B44" s="70" t="s">
        <v>2239</v>
      </c>
      <c r="C44" s="40"/>
      <c r="D44" s="71"/>
      <c r="E44" s="71"/>
      <c r="F44" s="71"/>
      <c r="G44" s="72"/>
      <c r="H44" s="72"/>
      <c r="I44" s="120"/>
      <c r="J44" s="120"/>
      <c r="K44" s="72"/>
      <c r="L44" s="56"/>
      <c r="M44" s="56"/>
      <c r="N44" s="121"/>
      <c r="O44" s="122"/>
    </row>
    <row r="45" ht="132" customHeight="1" spans="1:15">
      <c r="A45" s="46"/>
      <c r="B45" s="73" t="s">
        <v>2288</v>
      </c>
      <c r="C45" s="73"/>
      <c r="D45" s="73"/>
      <c r="E45" s="73"/>
      <c r="F45" s="73"/>
      <c r="G45" s="74"/>
      <c r="H45" s="74"/>
      <c r="I45" s="73"/>
      <c r="J45" s="73"/>
      <c r="K45" s="74"/>
      <c r="L45" s="73"/>
      <c r="M45" s="73"/>
      <c r="N45" s="73"/>
      <c r="O45" s="73"/>
    </row>
    <row r="46" ht="16.5" spans="1:15">
      <c r="A46" s="22"/>
      <c r="B46" s="75" t="s">
        <v>1586</v>
      </c>
      <c r="C46" s="76"/>
      <c r="D46" s="77"/>
      <c r="E46" s="78"/>
      <c r="F46" s="78"/>
      <c r="G46" s="79"/>
      <c r="H46" s="79"/>
      <c r="I46" s="123"/>
      <c r="J46" s="123"/>
      <c r="K46" s="79"/>
      <c r="L46" s="124"/>
      <c r="M46" s="124"/>
      <c r="N46" s="125"/>
      <c r="O46" s="126"/>
    </row>
    <row r="47" ht="16.5" spans="1:15">
      <c r="A47" s="22"/>
      <c r="B47" s="80" t="s">
        <v>1587</v>
      </c>
      <c r="C47" s="81"/>
      <c r="D47" s="82"/>
      <c r="E47" s="83"/>
      <c r="F47" s="83"/>
      <c r="G47" s="84"/>
      <c r="H47" s="84"/>
      <c r="I47" s="127"/>
      <c r="J47" s="127"/>
      <c r="K47" s="84"/>
      <c r="L47" s="22"/>
      <c r="M47" s="22"/>
      <c r="N47" s="102"/>
      <c r="O47" s="128"/>
    </row>
    <row r="48" ht="16.5" customHeight="1" spans="1:15">
      <c r="A48" s="22"/>
      <c r="B48" s="85" t="s">
        <v>2352</v>
      </c>
      <c r="C48" s="85"/>
      <c r="D48" s="85"/>
      <c r="E48" s="85"/>
      <c r="F48" s="85"/>
      <c r="G48" s="86"/>
      <c r="H48" s="86"/>
      <c r="I48" s="85"/>
      <c r="J48" s="85"/>
      <c r="K48" s="86"/>
      <c r="L48" s="85"/>
      <c r="M48" s="85"/>
      <c r="N48" s="85"/>
      <c r="O48" s="85"/>
    </row>
    <row r="49" ht="16.5" customHeight="1" spans="1:15">
      <c r="A49" s="22"/>
      <c r="B49" s="85" t="s">
        <v>1666</v>
      </c>
      <c r="C49" s="85"/>
      <c r="D49" s="85"/>
      <c r="E49" s="85"/>
      <c r="F49" s="85"/>
      <c r="G49" s="86"/>
      <c r="H49" s="86"/>
      <c r="I49" s="85"/>
      <c r="J49" s="85"/>
      <c r="K49" s="86"/>
      <c r="L49" s="85"/>
      <c r="M49" s="85"/>
      <c r="N49" s="85"/>
      <c r="O49" s="85"/>
    </row>
    <row r="50" ht="16.5" customHeight="1" spans="1:15">
      <c r="A50" s="22"/>
      <c r="B50" s="85" t="s">
        <v>1667</v>
      </c>
      <c r="C50" s="85"/>
      <c r="D50" s="85"/>
      <c r="E50" s="85"/>
      <c r="F50" s="85"/>
      <c r="G50" s="86"/>
      <c r="H50" s="86"/>
      <c r="I50" s="85"/>
      <c r="J50" s="85"/>
      <c r="K50" s="86"/>
      <c r="L50" s="85"/>
      <c r="M50" s="85"/>
      <c r="N50" s="85"/>
      <c r="O50" s="85"/>
    </row>
    <row r="51" ht="16.5" customHeight="1" spans="1:15">
      <c r="A51" s="22"/>
      <c r="B51" s="85" t="s">
        <v>1668</v>
      </c>
      <c r="C51" s="85"/>
      <c r="D51" s="85"/>
      <c r="E51" s="85"/>
      <c r="F51" s="85"/>
      <c r="G51" s="86"/>
      <c r="H51" s="86"/>
      <c r="I51" s="85"/>
      <c r="J51" s="85"/>
      <c r="K51" s="86"/>
      <c r="L51" s="85"/>
      <c r="M51" s="85"/>
      <c r="N51" s="85"/>
      <c r="O51" s="85"/>
    </row>
    <row r="52" ht="16.5" customHeight="1" spans="1:15">
      <c r="A52" s="22"/>
      <c r="B52" s="85" t="s">
        <v>1669</v>
      </c>
      <c r="C52" s="85"/>
      <c r="D52" s="85"/>
      <c r="E52" s="85"/>
      <c r="F52" s="85"/>
      <c r="G52" s="86"/>
      <c r="H52" s="86"/>
      <c r="I52" s="85"/>
      <c r="J52" s="85"/>
      <c r="K52" s="86"/>
      <c r="L52" s="85"/>
      <c r="M52" s="85"/>
      <c r="N52" s="85"/>
      <c r="O52" s="85"/>
    </row>
    <row r="53" ht="16.5" customHeight="1" spans="1:15">
      <c r="A53" s="22"/>
      <c r="B53" s="85" t="s">
        <v>1670</v>
      </c>
      <c r="C53" s="85"/>
      <c r="D53" s="85"/>
      <c r="E53" s="85"/>
      <c r="F53" s="85"/>
      <c r="G53" s="86"/>
      <c r="H53" s="86"/>
      <c r="I53" s="85"/>
      <c r="J53" s="85"/>
      <c r="K53" s="86"/>
      <c r="L53" s="85"/>
      <c r="M53" s="85"/>
      <c r="N53" s="85"/>
      <c r="O53" s="85"/>
    </row>
    <row r="54" ht="16.5" customHeight="1" spans="1:15">
      <c r="A54" s="22"/>
      <c r="B54" s="85" t="s">
        <v>2353</v>
      </c>
      <c r="C54" s="85"/>
      <c r="D54" s="85"/>
      <c r="E54" s="85"/>
      <c r="F54" s="85"/>
      <c r="G54" s="86"/>
      <c r="H54" s="86"/>
      <c r="I54" s="85"/>
      <c r="J54" s="85"/>
      <c r="K54" s="86"/>
      <c r="L54" s="85"/>
      <c r="M54" s="85"/>
      <c r="N54" s="85"/>
      <c r="O54" s="85"/>
    </row>
    <row r="55" ht="16.5" spans="1:15">
      <c r="A55" s="22"/>
      <c r="B55" s="87" t="s">
        <v>2354</v>
      </c>
      <c r="C55" s="88"/>
      <c r="D55" s="88"/>
      <c r="E55" s="88"/>
      <c r="F55" s="88"/>
      <c r="G55" s="89"/>
      <c r="H55" s="89"/>
      <c r="I55" s="88"/>
      <c r="J55" s="88"/>
      <c r="K55" s="89"/>
      <c r="L55" s="88"/>
      <c r="M55" s="88"/>
      <c r="N55" s="88"/>
      <c r="O55" s="129"/>
    </row>
    <row r="56" ht="16.5" customHeight="1" spans="1:15">
      <c r="A56" s="22"/>
      <c r="B56" s="90" t="s">
        <v>1672</v>
      </c>
      <c r="C56" s="90"/>
      <c r="D56" s="90"/>
      <c r="E56" s="90"/>
      <c r="F56" s="90"/>
      <c r="G56" s="91"/>
      <c r="H56" s="91"/>
      <c r="I56" s="90"/>
      <c r="J56" s="90"/>
      <c r="K56" s="91"/>
      <c r="L56" s="90"/>
      <c r="M56" s="90"/>
      <c r="N56" s="90"/>
      <c r="O56" s="90"/>
    </row>
    <row r="57" ht="16.5" spans="1:15">
      <c r="A57" s="56"/>
      <c r="B57" s="92" t="s">
        <v>1589</v>
      </c>
      <c r="C57" s="93"/>
      <c r="D57" s="93"/>
      <c r="E57" s="93"/>
      <c r="F57" s="93"/>
      <c r="G57" s="94"/>
      <c r="H57" s="94"/>
      <c r="I57" s="93"/>
      <c r="J57" s="93"/>
      <c r="K57" s="89"/>
      <c r="L57" s="88"/>
      <c r="M57" s="88"/>
      <c r="N57" s="88"/>
      <c r="O57" s="129"/>
    </row>
    <row r="58" ht="16.5" customHeight="1" spans="1:15">
      <c r="A58" s="56"/>
      <c r="B58" s="95" t="s">
        <v>1590</v>
      </c>
      <c r="C58" s="95"/>
      <c r="D58" s="95"/>
      <c r="E58" s="95"/>
      <c r="F58" s="95"/>
      <c r="G58" s="96"/>
      <c r="H58" s="96"/>
      <c r="I58" s="95"/>
      <c r="J58" s="95"/>
      <c r="K58" s="96"/>
      <c r="L58" s="95"/>
      <c r="M58" s="95"/>
      <c r="N58" s="95"/>
      <c r="O58" s="95"/>
    </row>
    <row r="59" ht="16.5" customHeight="1" spans="1:15">
      <c r="A59" s="56"/>
      <c r="B59" s="97" t="s">
        <v>1591</v>
      </c>
      <c r="C59" s="97"/>
      <c r="D59" s="97"/>
      <c r="E59" s="97"/>
      <c r="F59" s="97"/>
      <c r="G59" s="98"/>
      <c r="H59" s="98"/>
      <c r="I59" s="97"/>
      <c r="J59" s="97"/>
      <c r="K59" s="98"/>
      <c r="L59" s="97"/>
      <c r="M59" s="97"/>
      <c r="N59" s="97"/>
      <c r="O59" s="97"/>
    </row>
    <row r="60" ht="16.5" customHeight="1" spans="1:15">
      <c r="A60" s="56"/>
      <c r="B60" s="99" t="s">
        <v>1592</v>
      </c>
      <c r="C60" s="99"/>
      <c r="D60" s="99"/>
      <c r="E60" s="99"/>
      <c r="F60" s="99"/>
      <c r="G60" s="100"/>
      <c r="H60" s="100"/>
      <c r="I60" s="99"/>
      <c r="J60" s="99"/>
      <c r="K60" s="100"/>
      <c r="L60" s="99"/>
      <c r="M60" s="99"/>
      <c r="N60" s="99"/>
      <c r="O60" s="99"/>
    </row>
    <row r="61" ht="16.5" customHeight="1" spans="1:15">
      <c r="A61" s="56"/>
      <c r="B61" s="95" t="s">
        <v>1593</v>
      </c>
      <c r="C61" s="95"/>
      <c r="D61" s="95"/>
      <c r="E61" s="95"/>
      <c r="F61" s="95"/>
      <c r="G61" s="96"/>
      <c r="H61" s="96"/>
      <c r="I61" s="95"/>
      <c r="J61" s="95"/>
      <c r="K61" s="96"/>
      <c r="L61" s="95"/>
      <c r="M61" s="95"/>
      <c r="N61" s="95"/>
      <c r="O61" s="95"/>
    </row>
    <row r="62" ht="82.5" customHeight="1" spans="1:15">
      <c r="A62" s="56"/>
      <c r="B62" s="95" t="s">
        <v>1673</v>
      </c>
      <c r="C62" s="95"/>
      <c r="D62" s="95"/>
      <c r="E62" s="95"/>
      <c r="F62" s="95"/>
      <c r="G62" s="96"/>
      <c r="H62" s="96"/>
      <c r="I62" s="95"/>
      <c r="J62" s="95"/>
      <c r="K62" s="96"/>
      <c r="L62" s="95"/>
      <c r="M62" s="95"/>
      <c r="N62" s="95"/>
      <c r="O62" s="95"/>
    </row>
    <row r="63" ht="33" customHeight="1" spans="1:15">
      <c r="A63" s="56"/>
      <c r="B63" s="95" t="s">
        <v>2289</v>
      </c>
      <c r="C63" s="95"/>
      <c r="D63" s="95"/>
      <c r="E63" s="95"/>
      <c r="F63" s="95"/>
      <c r="G63" s="96"/>
      <c r="H63" s="96"/>
      <c r="I63" s="95"/>
      <c r="J63" s="95"/>
      <c r="K63" s="96"/>
      <c r="L63" s="95"/>
      <c r="M63" s="95"/>
      <c r="N63" s="95"/>
      <c r="O63" s="95"/>
    </row>
    <row r="64" ht="33" customHeight="1" spans="1:15">
      <c r="A64" s="56"/>
      <c r="B64" s="95" t="s">
        <v>2355</v>
      </c>
      <c r="C64" s="95"/>
      <c r="D64" s="95"/>
      <c r="E64" s="95"/>
      <c r="F64" s="95"/>
      <c r="G64" s="96"/>
      <c r="H64" s="96"/>
      <c r="I64" s="95"/>
      <c r="J64" s="95"/>
      <c r="K64" s="96"/>
      <c r="L64" s="95"/>
      <c r="M64" s="95"/>
      <c r="N64" s="95"/>
      <c r="O64" s="95"/>
    </row>
    <row r="65" ht="33" customHeight="1" spans="1:15">
      <c r="A65" s="56"/>
      <c r="B65" s="95" t="s">
        <v>2356</v>
      </c>
      <c r="C65" s="95"/>
      <c r="D65" s="95"/>
      <c r="E65" s="95"/>
      <c r="F65" s="95"/>
      <c r="G65" s="96"/>
      <c r="H65" s="96"/>
      <c r="I65" s="95"/>
      <c r="J65" s="95"/>
      <c r="K65" s="96"/>
      <c r="L65" s="95"/>
      <c r="M65" s="95"/>
      <c r="N65" s="95"/>
      <c r="O65" s="95"/>
    </row>
    <row r="66" ht="66" customHeight="1" spans="1:15">
      <c r="A66" s="56"/>
      <c r="B66" s="95" t="s">
        <v>2357</v>
      </c>
      <c r="C66" s="95"/>
      <c r="D66" s="95"/>
      <c r="E66" s="95"/>
      <c r="F66" s="95"/>
      <c r="G66" s="96"/>
      <c r="H66" s="96"/>
      <c r="I66" s="95"/>
      <c r="J66" s="95"/>
      <c r="K66" s="96"/>
      <c r="L66" s="95"/>
      <c r="M66" s="95"/>
      <c r="N66" s="95"/>
      <c r="O66" s="95"/>
    </row>
    <row r="67" ht="16.5" customHeight="1" spans="1:15">
      <c r="A67" s="56"/>
      <c r="B67" s="95" t="s">
        <v>2358</v>
      </c>
      <c r="C67" s="95"/>
      <c r="D67" s="95"/>
      <c r="E67" s="95"/>
      <c r="F67" s="95"/>
      <c r="G67" s="96"/>
      <c r="H67" s="96"/>
      <c r="I67" s="95"/>
      <c r="J67" s="95"/>
      <c r="K67" s="96"/>
      <c r="L67" s="95"/>
      <c r="M67" s="95"/>
      <c r="N67" s="95"/>
      <c r="O67" s="95"/>
    </row>
    <row r="68" ht="33" customHeight="1" spans="1:15">
      <c r="A68" s="56"/>
      <c r="B68" s="130" t="s">
        <v>2255</v>
      </c>
      <c r="C68" s="130"/>
      <c r="D68" s="130"/>
      <c r="E68" s="130"/>
      <c r="F68" s="130"/>
      <c r="G68" s="131"/>
      <c r="H68" s="131"/>
      <c r="I68" s="130"/>
      <c r="J68" s="130"/>
      <c r="K68" s="131"/>
      <c r="L68" s="130"/>
      <c r="M68" s="130"/>
      <c r="N68" s="130"/>
      <c r="O68" s="139"/>
    </row>
    <row r="69" ht="16.5" customHeight="1" spans="1:15">
      <c r="A69" s="56"/>
      <c r="B69" s="95" t="s">
        <v>2359</v>
      </c>
      <c r="C69" s="95"/>
      <c r="D69" s="95"/>
      <c r="E69" s="95"/>
      <c r="F69" s="95"/>
      <c r="G69" s="96"/>
      <c r="H69" s="96"/>
      <c r="I69" s="95"/>
      <c r="J69" s="95"/>
      <c r="K69" s="96"/>
      <c r="L69" s="95"/>
      <c r="M69" s="95"/>
      <c r="N69" s="95"/>
      <c r="O69" s="95"/>
    </row>
    <row r="70" ht="33" customHeight="1" spans="1:15">
      <c r="A70" s="56"/>
      <c r="B70" s="95" t="s">
        <v>2360</v>
      </c>
      <c r="C70" s="95"/>
      <c r="D70" s="95"/>
      <c r="E70" s="95"/>
      <c r="F70" s="95"/>
      <c r="G70" s="96"/>
      <c r="H70" s="96"/>
      <c r="I70" s="95"/>
      <c r="J70" s="95"/>
      <c r="K70" s="96"/>
      <c r="L70" s="95"/>
      <c r="M70" s="95"/>
      <c r="N70" s="95"/>
      <c r="O70" s="95"/>
    </row>
    <row r="71" ht="16.5" customHeight="1" spans="1:15">
      <c r="A71" s="56"/>
      <c r="B71" s="99" t="s">
        <v>1597</v>
      </c>
      <c r="C71" s="99"/>
      <c r="D71" s="99"/>
      <c r="E71" s="99"/>
      <c r="F71" s="99"/>
      <c r="G71" s="100"/>
      <c r="H71" s="100"/>
      <c r="I71" s="99"/>
      <c r="J71" s="99"/>
      <c r="K71" s="100"/>
      <c r="L71" s="99"/>
      <c r="M71" s="99"/>
      <c r="N71" s="99"/>
      <c r="O71" s="99"/>
    </row>
    <row r="72" ht="33" customHeight="1" spans="1:15">
      <c r="A72" s="56"/>
      <c r="B72" s="95" t="s">
        <v>1598</v>
      </c>
      <c r="C72" s="95"/>
      <c r="D72" s="95"/>
      <c r="E72" s="95"/>
      <c r="F72" s="95"/>
      <c r="G72" s="96"/>
      <c r="H72" s="96"/>
      <c r="I72" s="95"/>
      <c r="J72" s="95"/>
      <c r="K72" s="96"/>
      <c r="L72" s="95"/>
      <c r="M72" s="95"/>
      <c r="N72" s="95"/>
      <c r="O72" s="95"/>
    </row>
    <row r="73" ht="16.5" customHeight="1" spans="1:15">
      <c r="A73" s="56"/>
      <c r="B73" s="95" t="s">
        <v>2257</v>
      </c>
      <c r="C73" s="95"/>
      <c r="D73" s="95"/>
      <c r="E73" s="95"/>
      <c r="F73" s="95"/>
      <c r="G73" s="96"/>
      <c r="H73" s="96"/>
      <c r="I73" s="95"/>
      <c r="J73" s="95"/>
      <c r="K73" s="96"/>
      <c r="L73" s="95"/>
      <c r="M73" s="95"/>
      <c r="N73" s="95"/>
      <c r="O73" s="95"/>
    </row>
    <row r="74" ht="16.5" customHeight="1" spans="1:15">
      <c r="A74" s="56"/>
      <c r="B74" s="95" t="s">
        <v>1600</v>
      </c>
      <c r="C74" s="95"/>
      <c r="D74" s="95"/>
      <c r="E74" s="95"/>
      <c r="F74" s="95"/>
      <c r="G74" s="96"/>
      <c r="H74" s="96"/>
      <c r="I74" s="95"/>
      <c r="J74" s="95"/>
      <c r="K74" s="96"/>
      <c r="L74" s="95"/>
      <c r="M74" s="95"/>
      <c r="N74" s="95"/>
      <c r="O74" s="95"/>
    </row>
    <row r="75" ht="16.5" customHeight="1" spans="1:15">
      <c r="A75" s="56"/>
      <c r="B75" s="95" t="s">
        <v>2258</v>
      </c>
      <c r="C75" s="95"/>
      <c r="D75" s="95"/>
      <c r="E75" s="95"/>
      <c r="F75" s="95"/>
      <c r="G75" s="96"/>
      <c r="H75" s="96"/>
      <c r="I75" s="95"/>
      <c r="J75" s="95"/>
      <c r="K75" s="96"/>
      <c r="L75" s="95"/>
      <c r="M75" s="95"/>
      <c r="N75" s="95"/>
      <c r="O75" s="95"/>
    </row>
    <row r="76" ht="16.5" customHeight="1" spans="1:15">
      <c r="A76" s="56"/>
      <c r="B76" s="95" t="s">
        <v>1602</v>
      </c>
      <c r="C76" s="95"/>
      <c r="D76" s="95"/>
      <c r="E76" s="95"/>
      <c r="F76" s="95"/>
      <c r="G76" s="96"/>
      <c r="H76" s="96"/>
      <c r="I76" s="95"/>
      <c r="J76" s="95"/>
      <c r="K76" s="96"/>
      <c r="L76" s="95"/>
      <c r="M76" s="95"/>
      <c r="N76" s="95"/>
      <c r="O76" s="95"/>
    </row>
    <row r="77" ht="16.5" customHeight="1" spans="1:15">
      <c r="A77" s="56"/>
      <c r="B77" s="97" t="s">
        <v>1603</v>
      </c>
      <c r="C77" s="97"/>
      <c r="D77" s="97"/>
      <c r="E77" s="97"/>
      <c r="F77" s="97"/>
      <c r="G77" s="98"/>
      <c r="H77" s="98"/>
      <c r="I77" s="97"/>
      <c r="J77" s="97"/>
      <c r="K77" s="98"/>
      <c r="L77" s="97"/>
      <c r="M77" s="97"/>
      <c r="N77" s="97"/>
      <c r="O77" s="97"/>
    </row>
    <row r="78" ht="16.5" customHeight="1" spans="1:15">
      <c r="A78" s="132"/>
      <c r="B78" s="133" t="s">
        <v>1604</v>
      </c>
      <c r="C78" s="133"/>
      <c r="D78" s="133"/>
      <c r="E78" s="133"/>
      <c r="F78" s="133"/>
      <c r="G78" s="134"/>
      <c r="H78" s="134"/>
      <c r="I78" s="133"/>
      <c r="J78" s="133"/>
      <c r="K78" s="134"/>
      <c r="L78" s="133"/>
      <c r="M78" s="133"/>
      <c r="N78" s="133"/>
      <c r="O78" s="133"/>
    </row>
    <row r="79" ht="49.5" customHeight="1" spans="1:15">
      <c r="A79" s="56"/>
      <c r="B79" s="95" t="s">
        <v>1605</v>
      </c>
      <c r="C79" s="95"/>
      <c r="D79" s="95"/>
      <c r="E79" s="95"/>
      <c r="F79" s="95"/>
      <c r="G79" s="96"/>
      <c r="H79" s="96"/>
      <c r="I79" s="95"/>
      <c r="J79" s="95"/>
      <c r="K79" s="96"/>
      <c r="L79" s="95"/>
      <c r="M79" s="95"/>
      <c r="N79" s="95"/>
      <c r="O79" s="95"/>
    </row>
    <row r="80" ht="49.5" customHeight="1" spans="1:15">
      <c r="A80" s="56"/>
      <c r="B80" s="95" t="s">
        <v>2260</v>
      </c>
      <c r="C80" s="95"/>
      <c r="D80" s="95"/>
      <c r="E80" s="95"/>
      <c r="F80" s="95"/>
      <c r="G80" s="96"/>
      <c r="H80" s="96"/>
      <c r="I80" s="95"/>
      <c r="J80" s="95"/>
      <c r="K80" s="96"/>
      <c r="L80" s="95"/>
      <c r="M80" s="95"/>
      <c r="N80" s="95"/>
      <c r="O80" s="95"/>
    </row>
    <row r="81" ht="49.5" customHeight="1" spans="1:15">
      <c r="A81" s="56"/>
      <c r="B81" s="95" t="s">
        <v>2361</v>
      </c>
      <c r="C81" s="95"/>
      <c r="D81" s="95"/>
      <c r="E81" s="95"/>
      <c r="F81" s="95"/>
      <c r="G81" s="96"/>
      <c r="H81" s="96"/>
      <c r="I81" s="95"/>
      <c r="J81" s="95"/>
      <c r="K81" s="96"/>
      <c r="L81" s="95"/>
      <c r="M81" s="95"/>
      <c r="N81" s="95"/>
      <c r="O81" s="95"/>
    </row>
    <row r="82" ht="16.5" customHeight="1" spans="1:15">
      <c r="A82" s="56"/>
      <c r="B82" s="95" t="s">
        <v>2362</v>
      </c>
      <c r="C82" s="95"/>
      <c r="D82" s="95"/>
      <c r="E82" s="95"/>
      <c r="F82" s="95"/>
      <c r="G82" s="96"/>
      <c r="H82" s="96"/>
      <c r="I82" s="95"/>
      <c r="J82" s="95"/>
      <c r="K82" s="96"/>
      <c r="L82" s="95"/>
      <c r="M82" s="95"/>
      <c r="N82" s="95"/>
      <c r="O82" s="95"/>
    </row>
    <row r="83" ht="16.5" customHeight="1" spans="1:15">
      <c r="A83" s="56"/>
      <c r="B83" s="95" t="s">
        <v>1609</v>
      </c>
      <c r="C83" s="95"/>
      <c r="D83" s="95"/>
      <c r="E83" s="95"/>
      <c r="F83" s="95"/>
      <c r="G83" s="96"/>
      <c r="H83" s="96"/>
      <c r="I83" s="95"/>
      <c r="J83" s="95"/>
      <c r="K83" s="96"/>
      <c r="L83" s="95"/>
      <c r="M83" s="95"/>
      <c r="N83" s="95"/>
      <c r="O83" s="95"/>
    </row>
    <row r="84" ht="16.5" customHeight="1" spans="1:15">
      <c r="A84" s="56"/>
      <c r="B84" s="95" t="s">
        <v>1610</v>
      </c>
      <c r="C84" s="95"/>
      <c r="D84" s="95"/>
      <c r="E84" s="95"/>
      <c r="F84" s="95"/>
      <c r="G84" s="96"/>
      <c r="H84" s="96"/>
      <c r="I84" s="95"/>
      <c r="J84" s="95"/>
      <c r="K84" s="96"/>
      <c r="L84" s="95"/>
      <c r="M84" s="95"/>
      <c r="N84" s="95"/>
      <c r="O84" s="95"/>
    </row>
    <row r="85" ht="33" customHeight="1" spans="1:15">
      <c r="A85" s="132"/>
      <c r="B85" s="99" t="s">
        <v>2363</v>
      </c>
      <c r="C85" s="99"/>
      <c r="D85" s="99"/>
      <c r="E85" s="99"/>
      <c r="F85" s="99"/>
      <c r="G85" s="100"/>
      <c r="H85" s="100"/>
      <c r="I85" s="99"/>
      <c r="J85" s="99"/>
      <c r="K85" s="100"/>
      <c r="L85" s="99"/>
      <c r="M85" s="99"/>
      <c r="N85" s="99"/>
      <c r="O85" s="99"/>
    </row>
    <row r="86" ht="33" customHeight="1" spans="1:15">
      <c r="A86" s="56"/>
      <c r="B86" s="95" t="s">
        <v>1616</v>
      </c>
      <c r="C86" s="95"/>
      <c r="D86" s="95"/>
      <c r="E86" s="95"/>
      <c r="F86" s="95"/>
      <c r="G86" s="96"/>
      <c r="H86" s="96"/>
      <c r="I86" s="95"/>
      <c r="J86" s="95"/>
      <c r="K86" s="96"/>
      <c r="L86" s="95"/>
      <c r="M86" s="95"/>
      <c r="N86" s="95"/>
      <c r="O86" s="95"/>
    </row>
    <row r="87" ht="33" customHeight="1" spans="1:15">
      <c r="A87" s="56"/>
      <c r="B87" s="95" t="s">
        <v>2364</v>
      </c>
      <c r="C87" s="95"/>
      <c r="D87" s="95"/>
      <c r="E87" s="95"/>
      <c r="F87" s="95"/>
      <c r="G87" s="96"/>
      <c r="H87" s="96"/>
      <c r="I87" s="95"/>
      <c r="J87" s="95"/>
      <c r="K87" s="96"/>
      <c r="L87" s="95"/>
      <c r="M87" s="95"/>
      <c r="N87" s="95"/>
      <c r="O87" s="95"/>
    </row>
    <row r="88" ht="16.5" customHeight="1" spans="1:15">
      <c r="A88" s="56"/>
      <c r="B88" s="97" t="s">
        <v>2267</v>
      </c>
      <c r="C88" s="97"/>
      <c r="D88" s="97"/>
      <c r="E88" s="97"/>
      <c r="F88" s="97"/>
      <c r="G88" s="98"/>
      <c r="H88" s="98"/>
      <c r="I88" s="97"/>
      <c r="J88" s="97"/>
      <c r="K88" s="98"/>
      <c r="L88" s="97"/>
      <c r="M88" s="97"/>
      <c r="N88" s="97"/>
      <c r="O88" s="97"/>
    </row>
    <row r="89" ht="16.5" spans="1:15">
      <c r="A89" s="56"/>
      <c r="B89" s="40"/>
      <c r="C89" s="40"/>
      <c r="D89" s="71"/>
      <c r="E89" s="71"/>
      <c r="F89" s="71"/>
      <c r="G89" s="72"/>
      <c r="H89" s="72"/>
      <c r="I89" s="120"/>
      <c r="J89" s="120"/>
      <c r="K89" s="72"/>
      <c r="L89" s="56"/>
      <c r="M89" s="56"/>
      <c r="N89" s="88"/>
      <c r="O89" s="56"/>
    </row>
    <row r="90" ht="16.5" spans="1:15">
      <c r="A90" s="135"/>
      <c r="B90" s="136" t="s">
        <v>1619</v>
      </c>
      <c r="C90" s="136"/>
      <c r="D90" s="137"/>
      <c r="E90" s="135"/>
      <c r="F90" s="135"/>
      <c r="G90" s="138"/>
      <c r="H90" s="138"/>
      <c r="I90" s="135"/>
      <c r="J90" s="135"/>
      <c r="K90" s="138"/>
      <c r="L90" s="135"/>
      <c r="M90" s="135"/>
      <c r="N90" s="140"/>
      <c r="O90" s="135"/>
    </row>
  </sheetData>
  <sheetProtection formatCells="0" formatColumns="0" formatRows="0" insertRows="0" insertColumns="0" insertHyperlinks="0" deleteColumns="0" deleteRows="0" sort="0" autoFilter="0" pivotTables="0"/>
  <mergeCells count="101">
    <mergeCell ref="B45:O45"/>
    <mergeCell ref="B48:O48"/>
    <mergeCell ref="B49:O49"/>
    <mergeCell ref="B50:O50"/>
    <mergeCell ref="B51:O51"/>
    <mergeCell ref="B52:O52"/>
    <mergeCell ref="B53:O53"/>
    <mergeCell ref="B54:O54"/>
    <mergeCell ref="B56:O56"/>
    <mergeCell ref="B58:O58"/>
    <mergeCell ref="B59:O59"/>
    <mergeCell ref="B60:O60"/>
    <mergeCell ref="B61:O61"/>
    <mergeCell ref="B62:O62"/>
    <mergeCell ref="B63:O63"/>
    <mergeCell ref="B64:O64"/>
    <mergeCell ref="B65:O65"/>
    <mergeCell ref="B66:O66"/>
    <mergeCell ref="B67:O67"/>
    <mergeCell ref="B68:N68"/>
    <mergeCell ref="B69:O69"/>
    <mergeCell ref="B70:O70"/>
    <mergeCell ref="B71:O71"/>
    <mergeCell ref="B72:O72"/>
    <mergeCell ref="B73:O73"/>
    <mergeCell ref="B74:O74"/>
    <mergeCell ref="B75:O75"/>
    <mergeCell ref="B76:O76"/>
    <mergeCell ref="B77:O77"/>
    <mergeCell ref="B78:O78"/>
    <mergeCell ref="B79:O79"/>
    <mergeCell ref="B80:O80"/>
    <mergeCell ref="B81:O81"/>
    <mergeCell ref="B82:O82"/>
    <mergeCell ref="B83:O83"/>
    <mergeCell ref="B84:O84"/>
    <mergeCell ref="B85:O85"/>
    <mergeCell ref="B86:O86"/>
    <mergeCell ref="B87:O87"/>
    <mergeCell ref="B88:O88"/>
    <mergeCell ref="I6:I7"/>
    <mergeCell ref="I8:I10"/>
    <mergeCell ref="I12:I14"/>
    <mergeCell ref="I15:I17"/>
    <mergeCell ref="I18:I21"/>
    <mergeCell ref="I22:I24"/>
    <mergeCell ref="I25:I27"/>
    <mergeCell ref="I30:I31"/>
    <mergeCell ref="I32:I34"/>
    <mergeCell ref="I35:I38"/>
    <mergeCell ref="I39:I40"/>
    <mergeCell ref="I41:I43"/>
    <mergeCell ref="J6:J7"/>
    <mergeCell ref="J8:J10"/>
    <mergeCell ref="J12:J14"/>
    <mergeCell ref="J15:J17"/>
    <mergeCell ref="J18:J21"/>
    <mergeCell ref="J22:J24"/>
    <mergeCell ref="J25:J27"/>
    <mergeCell ref="J30:J31"/>
    <mergeCell ref="J32:J34"/>
    <mergeCell ref="J35:J38"/>
    <mergeCell ref="J39:J40"/>
    <mergeCell ref="J41:J43"/>
    <mergeCell ref="M6:M7"/>
    <mergeCell ref="M8:M10"/>
    <mergeCell ref="M12:M14"/>
    <mergeCell ref="M15:M17"/>
    <mergeCell ref="M18:M21"/>
    <mergeCell ref="M22:M24"/>
    <mergeCell ref="M25:M27"/>
    <mergeCell ref="M30:M31"/>
    <mergeCell ref="M32:M34"/>
    <mergeCell ref="M35:M38"/>
    <mergeCell ref="M39:M40"/>
    <mergeCell ref="M41:M43"/>
    <mergeCell ref="N6:N7"/>
    <mergeCell ref="N8:N10"/>
    <mergeCell ref="N12:N14"/>
    <mergeCell ref="N15:N17"/>
    <mergeCell ref="N18:N21"/>
    <mergeCell ref="N22:N24"/>
    <mergeCell ref="N25:N27"/>
    <mergeCell ref="N30:N31"/>
    <mergeCell ref="N32:N34"/>
    <mergeCell ref="N35:N38"/>
    <mergeCell ref="N39:N40"/>
    <mergeCell ref="N41:N43"/>
    <mergeCell ref="O6:O7"/>
    <mergeCell ref="O8:O10"/>
    <mergeCell ref="O12:O14"/>
    <mergeCell ref="O15:O17"/>
    <mergeCell ref="O18:O21"/>
    <mergeCell ref="O22:O24"/>
    <mergeCell ref="O25:O27"/>
    <mergeCell ref="O30:O31"/>
    <mergeCell ref="O32:O34"/>
    <mergeCell ref="O35:O38"/>
    <mergeCell ref="O39:O40"/>
    <mergeCell ref="O41:O43"/>
    <mergeCell ref="D1:M3"/>
  </mergeCells>
  <hyperlinks>
    <hyperlink ref="O3" location="目录!B9" display="返回目录"/>
  </hyperlink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58"/>
  <sheetViews>
    <sheetView topLeftCell="J61" workbookViewId="0">
      <selection activeCell="A50" sqref="$A1:$XFD1048576"/>
    </sheetView>
  </sheetViews>
  <sheetFormatPr defaultColWidth="9" defaultRowHeight="13.5"/>
  <cols>
    <col min="2" max="5" width="10.875" customWidth="1"/>
    <col min="6" max="10" width="12.875" customWidth="1"/>
  </cols>
  <sheetData>
    <row r="1" ht="73.5" customHeight="1" spans="2:15">
      <c r="B1" s="5"/>
      <c r="C1" s="5"/>
      <c r="D1" s="5"/>
      <c r="E1" s="5"/>
      <c r="F1" s="6" t="s">
        <v>2365</v>
      </c>
      <c r="G1" s="6"/>
      <c r="H1" s="6"/>
      <c r="I1" s="6"/>
      <c r="J1" s="6"/>
      <c r="K1" s="6"/>
      <c r="L1" s="6"/>
      <c r="M1" s="6"/>
      <c r="N1" s="28" t="s">
        <v>2366</v>
      </c>
      <c r="O1" s="29" t="s">
        <v>660</v>
      </c>
    </row>
    <row r="2" ht="16.5" spans="2:15">
      <c r="B2" s="37" t="s">
        <v>661</v>
      </c>
      <c r="C2" s="26"/>
      <c r="D2" s="26"/>
      <c r="E2" s="26"/>
      <c r="F2" s="27" t="s">
        <v>662</v>
      </c>
      <c r="G2" s="27"/>
      <c r="H2" s="27"/>
      <c r="I2" s="27"/>
      <c r="J2" s="27"/>
      <c r="K2" s="27" t="s">
        <v>663</v>
      </c>
      <c r="L2" s="30" t="s">
        <v>664</v>
      </c>
      <c r="M2" s="38" t="s">
        <v>665</v>
      </c>
      <c r="N2" s="39" t="s">
        <v>666</v>
      </c>
      <c r="O2" s="40"/>
    </row>
    <row r="3" ht="99" customHeight="1" spans="2:15">
      <c r="B3" s="10" t="s">
        <v>26</v>
      </c>
      <c r="C3" s="10" t="s">
        <v>27</v>
      </c>
      <c r="D3" s="10"/>
      <c r="E3" s="10"/>
      <c r="F3" s="10" t="s">
        <v>675</v>
      </c>
      <c r="G3" s="11">
        <v>0.01</v>
      </c>
      <c r="H3" s="11">
        <v>1</v>
      </c>
      <c r="I3" s="10"/>
      <c r="J3" s="10"/>
      <c r="K3" s="19">
        <v>74</v>
      </c>
      <c r="L3" s="19">
        <v>16</v>
      </c>
      <c r="M3" s="23" t="s">
        <v>676</v>
      </c>
      <c r="N3" s="41" t="s">
        <v>677</v>
      </c>
      <c r="O3" s="42"/>
    </row>
    <row r="4" ht="16.5" spans="2:15">
      <c r="B4" s="10" t="s">
        <v>26</v>
      </c>
      <c r="C4" s="10" t="s">
        <v>27</v>
      </c>
      <c r="D4" s="10"/>
      <c r="E4" s="10"/>
      <c r="F4" s="10" t="s">
        <v>678</v>
      </c>
      <c r="G4" s="11">
        <v>1</v>
      </c>
      <c r="H4" s="11">
        <v>2</v>
      </c>
      <c r="I4" s="10"/>
      <c r="J4" s="10"/>
      <c r="K4" s="19">
        <v>74</v>
      </c>
      <c r="L4" s="19">
        <v>16</v>
      </c>
      <c r="M4" s="23"/>
      <c r="N4" s="41"/>
      <c r="O4" s="40"/>
    </row>
    <row r="5" ht="66" customHeight="1" spans="2:15">
      <c r="B5" s="10" t="s">
        <v>78</v>
      </c>
      <c r="C5" s="10" t="s">
        <v>79</v>
      </c>
      <c r="D5" s="10"/>
      <c r="E5" s="10"/>
      <c r="F5" s="10" t="s">
        <v>667</v>
      </c>
      <c r="G5" s="11">
        <v>0.05</v>
      </c>
      <c r="H5" s="11">
        <v>0.3</v>
      </c>
      <c r="I5" s="10"/>
      <c r="J5" s="10"/>
      <c r="K5" s="10">
        <v>115</v>
      </c>
      <c r="L5" s="10">
        <v>28</v>
      </c>
      <c r="M5" s="20" t="s">
        <v>668</v>
      </c>
      <c r="N5" s="21" t="s">
        <v>669</v>
      </c>
      <c r="O5" s="40"/>
    </row>
    <row r="6" ht="16.5" spans="2:15">
      <c r="B6" s="10" t="s">
        <v>78</v>
      </c>
      <c r="C6" s="10" t="s">
        <v>79</v>
      </c>
      <c r="D6" s="10"/>
      <c r="E6" s="10"/>
      <c r="F6" s="10" t="s">
        <v>670</v>
      </c>
      <c r="G6" s="11">
        <v>0.3</v>
      </c>
      <c r="H6" s="10" t="s">
        <v>2367</v>
      </c>
      <c r="I6" s="10"/>
      <c r="J6" s="10"/>
      <c r="K6" s="10">
        <v>115</v>
      </c>
      <c r="L6" s="10">
        <v>28</v>
      </c>
      <c r="M6" s="20"/>
      <c r="N6" s="21"/>
      <c r="O6" s="40"/>
    </row>
    <row r="7" ht="16.5" spans="2:15">
      <c r="B7" s="10" t="s">
        <v>78</v>
      </c>
      <c r="C7" s="10" t="s">
        <v>79</v>
      </c>
      <c r="D7" s="10"/>
      <c r="E7" s="10"/>
      <c r="F7" s="10" t="s">
        <v>671</v>
      </c>
      <c r="G7" s="11">
        <v>0.75</v>
      </c>
      <c r="H7" s="11">
        <v>1</v>
      </c>
      <c r="I7" s="10"/>
      <c r="J7" s="10"/>
      <c r="K7" s="10">
        <v>115</v>
      </c>
      <c r="L7" s="10">
        <v>28</v>
      </c>
      <c r="M7" s="20"/>
      <c r="N7" s="21"/>
      <c r="O7" s="40"/>
    </row>
    <row r="8" ht="16.5" spans="2:15">
      <c r="B8" s="10" t="s">
        <v>78</v>
      </c>
      <c r="C8" s="10" t="s">
        <v>79</v>
      </c>
      <c r="D8" s="10"/>
      <c r="E8" s="10"/>
      <c r="F8" s="10" t="s">
        <v>672</v>
      </c>
      <c r="G8" s="11">
        <v>1</v>
      </c>
      <c r="H8" s="10" t="s">
        <v>2368</v>
      </c>
      <c r="I8" s="10"/>
      <c r="J8" s="10"/>
      <c r="K8" s="10">
        <v>115</v>
      </c>
      <c r="L8" s="10">
        <v>28</v>
      </c>
      <c r="M8" s="20"/>
      <c r="N8" s="21"/>
      <c r="O8" s="40"/>
    </row>
    <row r="9" ht="16.5" spans="2:15">
      <c r="B9" s="10" t="s">
        <v>78</v>
      </c>
      <c r="C9" s="10" t="s">
        <v>79</v>
      </c>
      <c r="D9" s="10"/>
      <c r="E9" s="10"/>
      <c r="F9" s="10" t="s">
        <v>673</v>
      </c>
      <c r="G9" s="11">
        <v>1.5</v>
      </c>
      <c r="H9" s="11">
        <v>2</v>
      </c>
      <c r="I9" s="10"/>
      <c r="J9" s="10"/>
      <c r="K9" s="10">
        <v>111</v>
      </c>
      <c r="L9" s="10">
        <v>28</v>
      </c>
      <c r="M9" s="20"/>
      <c r="N9" s="21"/>
      <c r="O9" s="40"/>
    </row>
    <row r="10" ht="99" customHeight="1" spans="2:15">
      <c r="B10" s="10" t="s">
        <v>94</v>
      </c>
      <c r="C10" s="10" t="s">
        <v>95</v>
      </c>
      <c r="D10" s="10"/>
      <c r="E10" s="10"/>
      <c r="F10" s="10" t="s">
        <v>2306</v>
      </c>
      <c r="G10" s="11">
        <v>0.05</v>
      </c>
      <c r="H10" s="11">
        <v>0.5</v>
      </c>
      <c r="I10" s="10"/>
      <c r="J10" s="10"/>
      <c r="K10" s="10">
        <v>119</v>
      </c>
      <c r="L10" s="10">
        <v>22.5</v>
      </c>
      <c r="M10" s="23" t="s">
        <v>2316</v>
      </c>
      <c r="N10" s="10" t="s">
        <v>1741</v>
      </c>
      <c r="O10" s="40"/>
    </row>
    <row r="11" ht="16.5" spans="2:15">
      <c r="B11" s="10" t="s">
        <v>94</v>
      </c>
      <c r="C11" s="10" t="s">
        <v>95</v>
      </c>
      <c r="D11" s="10"/>
      <c r="E11" s="10"/>
      <c r="F11" s="10" t="s">
        <v>2308</v>
      </c>
      <c r="G11" s="11">
        <v>0.5</v>
      </c>
      <c r="H11" s="11">
        <v>1</v>
      </c>
      <c r="I11" s="10"/>
      <c r="J11" s="10"/>
      <c r="K11" s="10">
        <v>119</v>
      </c>
      <c r="L11" s="10">
        <v>22.5</v>
      </c>
      <c r="M11" s="23"/>
      <c r="N11" s="10"/>
      <c r="O11" s="40"/>
    </row>
    <row r="12" ht="16.5" spans="2:15">
      <c r="B12" s="10" t="s">
        <v>94</v>
      </c>
      <c r="C12" s="10" t="s">
        <v>95</v>
      </c>
      <c r="D12" s="10"/>
      <c r="E12" s="10"/>
      <c r="F12" s="10" t="s">
        <v>2309</v>
      </c>
      <c r="G12" s="11">
        <v>1</v>
      </c>
      <c r="H12" s="11">
        <v>5</v>
      </c>
      <c r="I12" s="10"/>
      <c r="J12" s="10"/>
      <c r="K12" s="10">
        <v>119</v>
      </c>
      <c r="L12" s="10">
        <v>22.5</v>
      </c>
      <c r="M12" s="23"/>
      <c r="N12" s="10"/>
      <c r="O12" s="40"/>
    </row>
    <row r="13" ht="115.5" customHeight="1" spans="2:15">
      <c r="B13" s="21" t="s">
        <v>72</v>
      </c>
      <c r="C13" s="10" t="s">
        <v>73</v>
      </c>
      <c r="D13" s="21"/>
      <c r="E13" s="21"/>
      <c r="F13" s="10" t="s">
        <v>675</v>
      </c>
      <c r="G13" s="11">
        <v>0.01</v>
      </c>
      <c r="H13" s="11">
        <v>1</v>
      </c>
      <c r="I13" s="10"/>
      <c r="J13" s="10"/>
      <c r="K13" s="10">
        <v>104</v>
      </c>
      <c r="L13" s="10">
        <v>22.5</v>
      </c>
      <c r="M13" s="23" t="s">
        <v>668</v>
      </c>
      <c r="N13" s="21" t="s">
        <v>1769</v>
      </c>
      <c r="O13" s="40"/>
    </row>
    <row r="14" ht="16.5" spans="2:15">
      <c r="B14" s="21" t="s">
        <v>72</v>
      </c>
      <c r="C14" s="10" t="s">
        <v>73</v>
      </c>
      <c r="D14" s="21"/>
      <c r="E14" s="21"/>
      <c r="F14" s="10" t="s">
        <v>678</v>
      </c>
      <c r="G14" s="11">
        <v>1</v>
      </c>
      <c r="H14" s="11">
        <v>2</v>
      </c>
      <c r="I14" s="10"/>
      <c r="J14" s="10"/>
      <c r="K14" s="10">
        <v>104</v>
      </c>
      <c r="L14" s="10">
        <v>22.5</v>
      </c>
      <c r="M14" s="23"/>
      <c r="N14" s="21"/>
      <c r="O14" s="40"/>
    </row>
    <row r="15" ht="115.5" customHeight="1" spans="2:15">
      <c r="B15" s="21" t="s">
        <v>28</v>
      </c>
      <c r="C15" s="10" t="s">
        <v>29</v>
      </c>
      <c r="D15" s="21"/>
      <c r="E15" s="21"/>
      <c r="F15" s="10" t="s">
        <v>675</v>
      </c>
      <c r="G15" s="11">
        <v>0.01</v>
      </c>
      <c r="H15" s="11">
        <v>1</v>
      </c>
      <c r="I15" s="10"/>
      <c r="J15" s="10"/>
      <c r="K15" s="10">
        <v>88</v>
      </c>
      <c r="L15" s="10">
        <v>30</v>
      </c>
      <c r="M15" s="23" t="s">
        <v>668</v>
      </c>
      <c r="N15" s="21" t="s">
        <v>1656</v>
      </c>
      <c r="O15" s="40"/>
    </row>
    <row r="16" ht="16.5" spans="2:15">
      <c r="B16" s="21" t="s">
        <v>28</v>
      </c>
      <c r="C16" s="10" t="s">
        <v>29</v>
      </c>
      <c r="D16" s="21"/>
      <c r="E16" s="21"/>
      <c r="F16" s="10" t="s">
        <v>678</v>
      </c>
      <c r="G16" s="11">
        <v>1</v>
      </c>
      <c r="H16" s="11">
        <v>2</v>
      </c>
      <c r="I16" s="10"/>
      <c r="J16" s="10"/>
      <c r="K16" s="10">
        <v>88</v>
      </c>
      <c r="L16" s="10">
        <v>30</v>
      </c>
      <c r="M16" s="23"/>
      <c r="N16" s="21"/>
      <c r="O16" s="40"/>
    </row>
    <row r="17" ht="115.5" customHeight="1" spans="2:15">
      <c r="B17" s="21" t="s">
        <v>32</v>
      </c>
      <c r="C17" s="10" t="s">
        <v>33</v>
      </c>
      <c r="D17" s="21"/>
      <c r="E17" s="21"/>
      <c r="F17" s="10" t="s">
        <v>675</v>
      </c>
      <c r="G17" s="11">
        <v>0.01</v>
      </c>
      <c r="H17" s="11">
        <v>1</v>
      </c>
      <c r="I17" s="10"/>
      <c r="J17" s="10"/>
      <c r="K17" s="10">
        <v>116</v>
      </c>
      <c r="L17" s="10">
        <v>32.5</v>
      </c>
      <c r="M17" s="23" t="s">
        <v>668</v>
      </c>
      <c r="N17" s="21" t="s">
        <v>2315</v>
      </c>
      <c r="O17" s="40"/>
    </row>
    <row r="18" ht="16.5" spans="2:15">
      <c r="B18" s="21" t="s">
        <v>32</v>
      </c>
      <c r="C18" s="10" t="s">
        <v>33</v>
      </c>
      <c r="D18" s="21"/>
      <c r="E18" s="21"/>
      <c r="F18" s="10" t="s">
        <v>678</v>
      </c>
      <c r="G18" s="11">
        <v>1</v>
      </c>
      <c r="H18" s="11">
        <v>2</v>
      </c>
      <c r="I18" s="10"/>
      <c r="J18" s="10"/>
      <c r="K18" s="10">
        <v>116</v>
      </c>
      <c r="L18" s="10">
        <v>32.5</v>
      </c>
      <c r="M18" s="23"/>
      <c r="N18" s="21"/>
      <c r="O18" s="40"/>
    </row>
    <row r="19" ht="115.5" customHeight="1" spans="2:15">
      <c r="B19" s="21" t="s">
        <v>34</v>
      </c>
      <c r="C19" s="10" t="s">
        <v>35</v>
      </c>
      <c r="D19" s="21"/>
      <c r="E19" s="21"/>
      <c r="F19" s="10" t="s">
        <v>675</v>
      </c>
      <c r="G19" s="11">
        <v>0.01</v>
      </c>
      <c r="H19" s="11">
        <v>1</v>
      </c>
      <c r="I19" s="10"/>
      <c r="J19" s="10"/>
      <c r="K19" s="10">
        <v>113</v>
      </c>
      <c r="L19" s="10">
        <v>25</v>
      </c>
      <c r="M19" s="23" t="s">
        <v>668</v>
      </c>
      <c r="N19" s="21" t="s">
        <v>1853</v>
      </c>
      <c r="O19" s="40"/>
    </row>
    <row r="20" ht="16.5" spans="2:15">
      <c r="B20" s="21" t="s">
        <v>34</v>
      </c>
      <c r="C20" s="10" t="s">
        <v>35</v>
      </c>
      <c r="D20" s="21"/>
      <c r="E20" s="21"/>
      <c r="F20" s="10" t="s">
        <v>678</v>
      </c>
      <c r="G20" s="11">
        <v>1</v>
      </c>
      <c r="H20" s="11">
        <v>2</v>
      </c>
      <c r="I20" s="10"/>
      <c r="J20" s="10"/>
      <c r="K20" s="10">
        <v>113</v>
      </c>
      <c r="L20" s="10">
        <v>25</v>
      </c>
      <c r="M20" s="23"/>
      <c r="N20" s="21"/>
      <c r="O20" s="40"/>
    </row>
    <row r="21" ht="115.5" customHeight="1" spans="2:15">
      <c r="B21" s="21" t="s">
        <v>62</v>
      </c>
      <c r="C21" s="10" t="s">
        <v>63</v>
      </c>
      <c r="D21" s="21"/>
      <c r="E21" s="21"/>
      <c r="F21" s="10" t="s">
        <v>675</v>
      </c>
      <c r="G21" s="11">
        <v>0.01</v>
      </c>
      <c r="H21" s="11">
        <v>1</v>
      </c>
      <c r="I21" s="10"/>
      <c r="J21" s="10"/>
      <c r="K21" s="10">
        <v>120</v>
      </c>
      <c r="L21" s="10">
        <v>25.5</v>
      </c>
      <c r="M21" s="23" t="s">
        <v>668</v>
      </c>
      <c r="N21" s="21" t="s">
        <v>2315</v>
      </c>
      <c r="O21" s="40"/>
    </row>
    <row r="22" ht="16.5" spans="2:15">
      <c r="B22" s="21" t="s">
        <v>62</v>
      </c>
      <c r="C22" s="10" t="s">
        <v>63</v>
      </c>
      <c r="D22" s="21"/>
      <c r="E22" s="21"/>
      <c r="F22" s="10" t="s">
        <v>678</v>
      </c>
      <c r="G22" s="11">
        <v>1</v>
      </c>
      <c r="H22" s="11">
        <v>2</v>
      </c>
      <c r="I22" s="10"/>
      <c r="J22" s="10"/>
      <c r="K22" s="10">
        <v>120</v>
      </c>
      <c r="L22" s="10">
        <v>25.5</v>
      </c>
      <c r="M22" s="23"/>
      <c r="N22" s="21"/>
      <c r="O22" s="40"/>
    </row>
    <row r="23" ht="115.5" customHeight="1" spans="2:15">
      <c r="B23" s="21" t="s">
        <v>92</v>
      </c>
      <c r="C23" s="10" t="s">
        <v>93</v>
      </c>
      <c r="D23" s="21"/>
      <c r="E23" s="21"/>
      <c r="F23" s="10" t="s">
        <v>675</v>
      </c>
      <c r="G23" s="11">
        <v>0.01</v>
      </c>
      <c r="H23" s="11">
        <v>1</v>
      </c>
      <c r="I23" s="10"/>
      <c r="J23" s="10"/>
      <c r="K23" s="10">
        <v>112</v>
      </c>
      <c r="L23" s="10">
        <v>39</v>
      </c>
      <c r="M23" s="23" t="s">
        <v>668</v>
      </c>
      <c r="N23" s="21" t="s">
        <v>1769</v>
      </c>
      <c r="O23" s="40"/>
    </row>
    <row r="24" ht="16.5" spans="2:15">
      <c r="B24" s="21" t="s">
        <v>92</v>
      </c>
      <c r="C24" s="10" t="s">
        <v>93</v>
      </c>
      <c r="D24" s="21"/>
      <c r="E24" s="21"/>
      <c r="F24" s="10" t="s">
        <v>678</v>
      </c>
      <c r="G24" s="11">
        <v>1</v>
      </c>
      <c r="H24" s="11">
        <v>2</v>
      </c>
      <c r="I24" s="10"/>
      <c r="J24" s="10"/>
      <c r="K24" s="10">
        <v>112</v>
      </c>
      <c r="L24" s="10">
        <v>39</v>
      </c>
      <c r="M24" s="23"/>
      <c r="N24" s="21"/>
      <c r="O24" s="40"/>
    </row>
    <row r="25" ht="115.5" customHeight="1" spans="2:15">
      <c r="B25" s="21" t="s">
        <v>36</v>
      </c>
      <c r="C25" s="10" t="s">
        <v>37</v>
      </c>
      <c r="D25" s="21"/>
      <c r="E25" s="21"/>
      <c r="F25" s="10" t="s">
        <v>675</v>
      </c>
      <c r="G25" s="11">
        <v>0.01</v>
      </c>
      <c r="H25" s="11">
        <v>1</v>
      </c>
      <c r="I25" s="10"/>
      <c r="J25" s="10"/>
      <c r="K25" s="10">
        <v>110</v>
      </c>
      <c r="L25" s="10">
        <v>28</v>
      </c>
      <c r="M25" s="23" t="s">
        <v>668</v>
      </c>
      <c r="N25" s="21" t="s">
        <v>1656</v>
      </c>
      <c r="O25" s="40"/>
    </row>
    <row r="26" ht="16.5" spans="2:15">
      <c r="B26" s="21" t="s">
        <v>36</v>
      </c>
      <c r="C26" s="10" t="s">
        <v>37</v>
      </c>
      <c r="D26" s="21"/>
      <c r="E26" s="21"/>
      <c r="F26" s="10" t="s">
        <v>678</v>
      </c>
      <c r="G26" s="11">
        <v>1</v>
      </c>
      <c r="H26" s="11">
        <v>2</v>
      </c>
      <c r="I26" s="10"/>
      <c r="J26" s="10"/>
      <c r="K26" s="10">
        <v>110</v>
      </c>
      <c r="L26" s="10">
        <v>28</v>
      </c>
      <c r="M26" s="23"/>
      <c r="N26" s="21"/>
      <c r="O26" s="40"/>
    </row>
    <row r="27" ht="115.5" customHeight="1" spans="2:15">
      <c r="B27" s="21" t="s">
        <v>40</v>
      </c>
      <c r="C27" s="10" t="s">
        <v>41</v>
      </c>
      <c r="D27" s="21"/>
      <c r="E27" s="21"/>
      <c r="F27" s="10" t="s">
        <v>675</v>
      </c>
      <c r="G27" s="11">
        <v>0.01</v>
      </c>
      <c r="H27" s="11">
        <v>1</v>
      </c>
      <c r="I27" s="10"/>
      <c r="J27" s="10"/>
      <c r="K27" s="10">
        <v>97</v>
      </c>
      <c r="L27" s="10">
        <v>29</v>
      </c>
      <c r="M27" s="23" t="s">
        <v>668</v>
      </c>
      <c r="N27" s="21" t="s">
        <v>1769</v>
      </c>
      <c r="O27" s="40"/>
    </row>
    <row r="28" ht="16.5" spans="2:15">
      <c r="B28" s="21" t="s">
        <v>40</v>
      </c>
      <c r="C28" s="10" t="s">
        <v>41</v>
      </c>
      <c r="D28" s="21"/>
      <c r="E28" s="21"/>
      <c r="F28" s="10" t="s">
        <v>678</v>
      </c>
      <c r="G28" s="11">
        <v>1</v>
      </c>
      <c r="H28" s="11">
        <v>2</v>
      </c>
      <c r="I28" s="10"/>
      <c r="J28" s="10"/>
      <c r="K28" s="10">
        <v>97</v>
      </c>
      <c r="L28" s="10">
        <v>29</v>
      </c>
      <c r="M28" s="23"/>
      <c r="N28" s="21"/>
      <c r="O28" s="40"/>
    </row>
    <row r="29" ht="115.5" customHeight="1" spans="2:15">
      <c r="B29" s="21" t="s">
        <v>70</v>
      </c>
      <c r="C29" s="10" t="s">
        <v>71</v>
      </c>
      <c r="D29" s="21"/>
      <c r="E29" s="21"/>
      <c r="F29" s="10" t="s">
        <v>675</v>
      </c>
      <c r="G29" s="11">
        <v>0.01</v>
      </c>
      <c r="H29" s="11">
        <v>1</v>
      </c>
      <c r="I29" s="10"/>
      <c r="J29" s="10"/>
      <c r="K29" s="10">
        <v>107</v>
      </c>
      <c r="L29" s="10">
        <v>44</v>
      </c>
      <c r="M29" s="23" t="s">
        <v>668</v>
      </c>
      <c r="N29" s="21" t="s">
        <v>682</v>
      </c>
      <c r="O29" s="40"/>
    </row>
    <row r="30" ht="16.5" spans="2:15">
      <c r="B30" s="21" t="s">
        <v>70</v>
      </c>
      <c r="C30" s="10" t="s">
        <v>71</v>
      </c>
      <c r="D30" s="21"/>
      <c r="E30" s="21"/>
      <c r="F30" s="10" t="s">
        <v>678</v>
      </c>
      <c r="G30" s="11">
        <v>1</v>
      </c>
      <c r="H30" s="11">
        <v>2</v>
      </c>
      <c r="I30" s="10"/>
      <c r="J30" s="10"/>
      <c r="K30" s="10">
        <v>107</v>
      </c>
      <c r="L30" s="10">
        <v>44</v>
      </c>
      <c r="M30" s="23"/>
      <c r="N30" s="21"/>
      <c r="O30" s="40"/>
    </row>
    <row r="31" ht="115.5" customHeight="1" spans="2:15">
      <c r="B31" s="21" t="s">
        <v>30</v>
      </c>
      <c r="C31" s="10" t="s">
        <v>31</v>
      </c>
      <c r="D31" s="21"/>
      <c r="E31" s="21"/>
      <c r="F31" s="10" t="s">
        <v>675</v>
      </c>
      <c r="G31" s="11">
        <v>0.01</v>
      </c>
      <c r="H31" s="11">
        <v>1</v>
      </c>
      <c r="I31" s="10"/>
      <c r="J31" s="10"/>
      <c r="K31" s="10">
        <v>102</v>
      </c>
      <c r="L31" s="10">
        <v>36</v>
      </c>
      <c r="M31" s="23" t="s">
        <v>668</v>
      </c>
      <c r="N31" s="21" t="s">
        <v>1853</v>
      </c>
      <c r="O31" s="40"/>
    </row>
    <row r="32" ht="16.5" spans="2:15">
      <c r="B32" s="21" t="s">
        <v>30</v>
      </c>
      <c r="C32" s="10" t="s">
        <v>31</v>
      </c>
      <c r="D32" s="21"/>
      <c r="E32" s="21"/>
      <c r="F32" s="10" t="s">
        <v>678</v>
      </c>
      <c r="G32" s="11">
        <v>1</v>
      </c>
      <c r="H32" s="11">
        <v>2</v>
      </c>
      <c r="I32" s="10"/>
      <c r="J32" s="10"/>
      <c r="K32" s="10">
        <v>102</v>
      </c>
      <c r="L32" s="10">
        <v>23</v>
      </c>
      <c r="M32" s="23"/>
      <c r="N32" s="21"/>
      <c r="O32" s="40"/>
    </row>
    <row r="33" ht="115.5" customHeight="1" spans="2:15">
      <c r="B33" s="21" t="s">
        <v>48</v>
      </c>
      <c r="C33" s="10" t="s">
        <v>49</v>
      </c>
      <c r="D33" s="21"/>
      <c r="E33" s="21"/>
      <c r="F33" s="10" t="s">
        <v>675</v>
      </c>
      <c r="G33" s="11">
        <v>0.01</v>
      </c>
      <c r="H33" s="11">
        <v>1</v>
      </c>
      <c r="I33" s="10"/>
      <c r="J33" s="10"/>
      <c r="K33" s="10">
        <v>114</v>
      </c>
      <c r="L33" s="10">
        <v>43</v>
      </c>
      <c r="M33" s="23" t="s">
        <v>668</v>
      </c>
      <c r="N33" s="21" t="s">
        <v>1853</v>
      </c>
      <c r="O33" s="40"/>
    </row>
    <row r="34" ht="16.5" spans="2:15">
      <c r="B34" s="21" t="s">
        <v>48</v>
      </c>
      <c r="C34" s="10" t="s">
        <v>49</v>
      </c>
      <c r="D34" s="21"/>
      <c r="E34" s="21"/>
      <c r="F34" s="10" t="s">
        <v>678</v>
      </c>
      <c r="G34" s="11">
        <v>1</v>
      </c>
      <c r="H34" s="11">
        <v>2</v>
      </c>
      <c r="I34" s="10"/>
      <c r="J34" s="10"/>
      <c r="K34" s="10">
        <v>114</v>
      </c>
      <c r="L34" s="10">
        <v>43</v>
      </c>
      <c r="M34" s="23"/>
      <c r="N34" s="21"/>
      <c r="O34" s="40"/>
    </row>
    <row r="35" ht="115.5" customHeight="1" spans="2:15">
      <c r="B35" s="21" t="s">
        <v>60</v>
      </c>
      <c r="C35" s="10" t="s">
        <v>61</v>
      </c>
      <c r="D35" s="21"/>
      <c r="E35" s="21"/>
      <c r="F35" s="10" t="s">
        <v>675</v>
      </c>
      <c r="G35" s="11">
        <v>0.01</v>
      </c>
      <c r="H35" s="11">
        <v>1</v>
      </c>
      <c r="I35" s="10"/>
      <c r="J35" s="10"/>
      <c r="K35" s="10">
        <v>109</v>
      </c>
      <c r="L35" s="10">
        <v>42</v>
      </c>
      <c r="M35" s="23" t="s">
        <v>668</v>
      </c>
      <c r="N35" s="21" t="s">
        <v>682</v>
      </c>
      <c r="O35" s="40"/>
    </row>
    <row r="36" ht="16.5" spans="2:15">
      <c r="B36" s="21" t="s">
        <v>60</v>
      </c>
      <c r="C36" s="10" t="s">
        <v>61</v>
      </c>
      <c r="D36" s="21"/>
      <c r="E36" s="21"/>
      <c r="F36" s="10" t="s">
        <v>678</v>
      </c>
      <c r="G36" s="11">
        <v>1</v>
      </c>
      <c r="H36" s="11">
        <v>2</v>
      </c>
      <c r="I36" s="10"/>
      <c r="J36" s="10"/>
      <c r="K36" s="10">
        <v>109</v>
      </c>
      <c r="L36" s="10">
        <v>32</v>
      </c>
      <c r="M36" s="23"/>
      <c r="N36" s="21"/>
      <c r="O36" s="40"/>
    </row>
    <row r="37" ht="115.5" customHeight="1" spans="2:15">
      <c r="B37" s="21" t="s">
        <v>66</v>
      </c>
      <c r="C37" s="10" t="s">
        <v>67</v>
      </c>
      <c r="D37" s="21"/>
      <c r="E37" s="21"/>
      <c r="F37" s="10" t="s">
        <v>675</v>
      </c>
      <c r="G37" s="11">
        <v>0.01</v>
      </c>
      <c r="H37" s="11">
        <v>1</v>
      </c>
      <c r="I37" s="10"/>
      <c r="J37" s="10"/>
      <c r="K37" s="10">
        <v>104</v>
      </c>
      <c r="L37" s="10">
        <v>31</v>
      </c>
      <c r="M37" s="23" t="s">
        <v>668</v>
      </c>
      <c r="N37" s="21" t="s">
        <v>2315</v>
      </c>
      <c r="O37" s="40"/>
    </row>
    <row r="38" ht="16.5" spans="2:15">
      <c r="B38" s="21" t="s">
        <v>66</v>
      </c>
      <c r="C38" s="10" t="s">
        <v>67</v>
      </c>
      <c r="D38" s="21"/>
      <c r="E38" s="21"/>
      <c r="F38" s="10" t="s">
        <v>678</v>
      </c>
      <c r="G38" s="11">
        <v>1</v>
      </c>
      <c r="H38" s="11">
        <v>2</v>
      </c>
      <c r="I38" s="10"/>
      <c r="J38" s="10"/>
      <c r="K38" s="10">
        <v>104</v>
      </c>
      <c r="L38" s="10">
        <v>31</v>
      </c>
      <c r="M38" s="23"/>
      <c r="N38" s="21"/>
      <c r="O38" s="40"/>
    </row>
    <row r="39" ht="115.5" customHeight="1" spans="2:15">
      <c r="B39" s="21" t="s">
        <v>68</v>
      </c>
      <c r="C39" s="10" t="s">
        <v>69</v>
      </c>
      <c r="D39" s="21"/>
      <c r="E39" s="21"/>
      <c r="F39" s="10" t="s">
        <v>675</v>
      </c>
      <c r="G39" s="11">
        <v>0.01</v>
      </c>
      <c r="H39" s="11">
        <v>1</v>
      </c>
      <c r="I39" s="10"/>
      <c r="J39" s="10"/>
      <c r="K39" s="10">
        <v>129</v>
      </c>
      <c r="L39" s="10">
        <v>72</v>
      </c>
      <c r="M39" s="23" t="s">
        <v>668</v>
      </c>
      <c r="N39" s="21" t="s">
        <v>1853</v>
      </c>
      <c r="O39" s="40"/>
    </row>
    <row r="40" ht="16.5" spans="2:15">
      <c r="B40" s="21" t="s">
        <v>68</v>
      </c>
      <c r="C40" s="10" t="s">
        <v>69</v>
      </c>
      <c r="D40" s="21"/>
      <c r="E40" s="21"/>
      <c r="F40" s="10" t="s">
        <v>678</v>
      </c>
      <c r="G40" s="11">
        <v>1</v>
      </c>
      <c r="H40" s="11">
        <v>2</v>
      </c>
      <c r="I40" s="10"/>
      <c r="J40" s="10"/>
      <c r="K40" s="10">
        <v>129</v>
      </c>
      <c r="L40" s="10">
        <v>44</v>
      </c>
      <c r="M40" s="23"/>
      <c r="N40" s="21"/>
      <c r="O40" s="40"/>
    </row>
    <row r="41" ht="115.5" customHeight="1" spans="2:15">
      <c r="B41" s="21" t="s">
        <v>42</v>
      </c>
      <c r="C41" s="10" t="s">
        <v>43</v>
      </c>
      <c r="D41" s="21"/>
      <c r="E41" s="21"/>
      <c r="F41" s="10" t="s">
        <v>675</v>
      </c>
      <c r="G41" s="11">
        <v>0.01</v>
      </c>
      <c r="H41" s="11">
        <v>1</v>
      </c>
      <c r="I41" s="10"/>
      <c r="J41" s="10"/>
      <c r="K41" s="10">
        <v>105</v>
      </c>
      <c r="L41" s="10">
        <v>34</v>
      </c>
      <c r="M41" s="23" t="s">
        <v>668</v>
      </c>
      <c r="N41" s="21" t="s">
        <v>2369</v>
      </c>
      <c r="O41" s="40"/>
    </row>
    <row r="42" ht="16.5" spans="2:15">
      <c r="B42" s="21" t="s">
        <v>42</v>
      </c>
      <c r="C42" s="10" t="s">
        <v>43</v>
      </c>
      <c r="D42" s="21"/>
      <c r="E42" s="21"/>
      <c r="F42" s="10" t="s">
        <v>678</v>
      </c>
      <c r="G42" s="11">
        <v>1</v>
      </c>
      <c r="H42" s="11">
        <v>2</v>
      </c>
      <c r="I42" s="10"/>
      <c r="J42" s="10"/>
      <c r="K42" s="10">
        <v>105</v>
      </c>
      <c r="L42" s="10">
        <v>34</v>
      </c>
      <c r="M42" s="23"/>
      <c r="N42" s="21"/>
      <c r="O42" s="40"/>
    </row>
    <row r="43" ht="115.5" customHeight="1" spans="2:15">
      <c r="B43" s="21" t="s">
        <v>54</v>
      </c>
      <c r="C43" s="10" t="s">
        <v>55</v>
      </c>
      <c r="D43" s="21"/>
      <c r="E43" s="21"/>
      <c r="F43" s="10" t="s">
        <v>675</v>
      </c>
      <c r="G43" s="11">
        <v>0.01</v>
      </c>
      <c r="H43" s="11">
        <v>1</v>
      </c>
      <c r="I43" s="10"/>
      <c r="J43" s="10"/>
      <c r="K43" s="10">
        <v>100</v>
      </c>
      <c r="L43" s="10">
        <v>25</v>
      </c>
      <c r="M43" s="23" t="s">
        <v>668</v>
      </c>
      <c r="N43" s="21" t="s">
        <v>682</v>
      </c>
      <c r="O43" s="40"/>
    </row>
    <row r="44" ht="16.5" spans="2:15">
      <c r="B44" s="21" t="s">
        <v>54</v>
      </c>
      <c r="C44" s="10" t="s">
        <v>55</v>
      </c>
      <c r="D44" s="21"/>
      <c r="E44" s="21"/>
      <c r="F44" s="10" t="s">
        <v>678</v>
      </c>
      <c r="G44" s="11">
        <v>1</v>
      </c>
      <c r="H44" s="11">
        <v>2</v>
      </c>
      <c r="I44" s="10"/>
      <c r="J44" s="10"/>
      <c r="K44" s="10">
        <v>100</v>
      </c>
      <c r="L44" s="10">
        <v>25</v>
      </c>
      <c r="M44" s="23"/>
      <c r="N44" s="21"/>
      <c r="O44" s="40"/>
    </row>
    <row r="45" ht="115.5" customHeight="1" spans="2:15">
      <c r="B45" s="21" t="s">
        <v>58</v>
      </c>
      <c r="C45" s="10" t="s">
        <v>59</v>
      </c>
      <c r="D45" s="21"/>
      <c r="E45" s="21"/>
      <c r="F45" s="10" t="s">
        <v>675</v>
      </c>
      <c r="G45" s="11">
        <v>0.01</v>
      </c>
      <c r="H45" s="11">
        <v>1</v>
      </c>
      <c r="I45" s="10"/>
      <c r="J45" s="10"/>
      <c r="K45" s="10">
        <v>122</v>
      </c>
      <c r="L45" s="10">
        <v>64</v>
      </c>
      <c r="M45" s="23" t="s">
        <v>668</v>
      </c>
      <c r="N45" s="21" t="s">
        <v>682</v>
      </c>
      <c r="O45" s="40"/>
    </row>
    <row r="46" ht="16.5" spans="2:15">
      <c r="B46" s="21" t="s">
        <v>58</v>
      </c>
      <c r="C46" s="10" t="s">
        <v>59</v>
      </c>
      <c r="D46" s="21"/>
      <c r="E46" s="21"/>
      <c r="F46" s="10" t="s">
        <v>678</v>
      </c>
      <c r="G46" s="11">
        <v>1</v>
      </c>
      <c r="H46" s="11">
        <v>2</v>
      </c>
      <c r="I46" s="10"/>
      <c r="J46" s="10"/>
      <c r="K46" s="10">
        <v>122</v>
      </c>
      <c r="L46" s="10">
        <v>48</v>
      </c>
      <c r="M46" s="23"/>
      <c r="N46" s="21"/>
      <c r="O46" s="40"/>
    </row>
    <row r="47" ht="16.5" spans="3:12">
      <c r="C47" s="1" t="s">
        <v>107</v>
      </c>
      <c r="F47" t="s">
        <v>2370</v>
      </c>
      <c r="G47">
        <v>0.1</v>
      </c>
      <c r="H47">
        <v>1</v>
      </c>
      <c r="K47" s="19">
        <v>91</v>
      </c>
      <c r="L47" s="19">
        <v>35</v>
      </c>
    </row>
    <row r="48" ht="16.5" spans="3:12">
      <c r="C48" s="1" t="s">
        <v>107</v>
      </c>
      <c r="F48" t="s">
        <v>678</v>
      </c>
      <c r="G48">
        <v>1</v>
      </c>
      <c r="H48">
        <v>2</v>
      </c>
      <c r="K48" s="19">
        <v>91</v>
      </c>
      <c r="L48" s="19">
        <v>35</v>
      </c>
    </row>
    <row r="49" ht="16.5" spans="3:12">
      <c r="C49" s="1" t="s">
        <v>107</v>
      </c>
      <c r="F49" t="s">
        <v>2371</v>
      </c>
      <c r="G49">
        <v>2</v>
      </c>
      <c r="H49">
        <v>5</v>
      </c>
      <c r="K49" s="19">
        <v>91</v>
      </c>
      <c r="L49" s="19">
        <v>35</v>
      </c>
    </row>
    <row r="50" spans="3:12">
      <c r="C50" s="1" t="s">
        <v>25</v>
      </c>
      <c r="F50" t="s">
        <v>2298</v>
      </c>
      <c r="G50">
        <v>0.05</v>
      </c>
      <c r="H50">
        <v>0.1</v>
      </c>
      <c r="K50">
        <v>111</v>
      </c>
      <c r="L50">
        <v>24</v>
      </c>
    </row>
    <row r="51" spans="3:12">
      <c r="C51" s="1" t="s">
        <v>25</v>
      </c>
      <c r="F51" t="s">
        <v>2301</v>
      </c>
      <c r="G51">
        <v>0.1</v>
      </c>
      <c r="H51">
        <v>0.2</v>
      </c>
      <c r="K51">
        <v>111</v>
      </c>
      <c r="L51">
        <v>24</v>
      </c>
    </row>
    <row r="52" spans="3:12">
      <c r="C52" s="1" t="s">
        <v>25</v>
      </c>
      <c r="F52" t="s">
        <v>2302</v>
      </c>
      <c r="G52">
        <v>0.2</v>
      </c>
      <c r="H52">
        <v>0.3</v>
      </c>
      <c r="K52">
        <v>111</v>
      </c>
      <c r="L52">
        <v>24</v>
      </c>
    </row>
    <row r="53" spans="3:12">
      <c r="C53" s="1" t="s">
        <v>25</v>
      </c>
      <c r="F53" t="s">
        <v>2303</v>
      </c>
      <c r="G53">
        <v>0.3</v>
      </c>
      <c r="H53">
        <v>0.453</v>
      </c>
      <c r="K53">
        <v>128</v>
      </c>
      <c r="L53">
        <v>19</v>
      </c>
    </row>
    <row r="54" spans="3:12">
      <c r="C54" s="1" t="s">
        <v>25</v>
      </c>
      <c r="F54" t="s">
        <v>2304</v>
      </c>
      <c r="G54">
        <v>0.453</v>
      </c>
      <c r="H54">
        <v>0.7</v>
      </c>
      <c r="K54">
        <v>132</v>
      </c>
      <c r="L54">
        <v>18</v>
      </c>
    </row>
    <row r="55" spans="3:12">
      <c r="C55" s="1" t="s">
        <v>25</v>
      </c>
      <c r="F55" t="s">
        <v>2305</v>
      </c>
      <c r="G55">
        <v>0.7</v>
      </c>
      <c r="H55">
        <v>1</v>
      </c>
      <c r="K55">
        <v>132</v>
      </c>
      <c r="L55">
        <v>14</v>
      </c>
    </row>
    <row r="56" spans="3:12">
      <c r="C56" s="1" t="s">
        <v>25</v>
      </c>
      <c r="F56" t="s">
        <v>678</v>
      </c>
      <c r="G56">
        <v>1</v>
      </c>
      <c r="H56">
        <v>2</v>
      </c>
      <c r="K56">
        <v>126</v>
      </c>
      <c r="L56">
        <v>12</v>
      </c>
    </row>
    <row r="57" ht="16.5" spans="3:12">
      <c r="C57" s="1" t="s">
        <v>85</v>
      </c>
      <c r="F57" t="s">
        <v>2372</v>
      </c>
      <c r="G57">
        <v>0</v>
      </c>
      <c r="H57">
        <v>1</v>
      </c>
      <c r="K57" s="43">
        <v>100</v>
      </c>
      <c r="L57" s="44">
        <v>26</v>
      </c>
    </row>
    <row r="58" ht="16.5" spans="3:12">
      <c r="C58" s="1" t="s">
        <v>85</v>
      </c>
      <c r="F58" t="s">
        <v>678</v>
      </c>
      <c r="G58">
        <v>1</v>
      </c>
      <c r="H58">
        <v>2</v>
      </c>
      <c r="K58" s="43">
        <v>100</v>
      </c>
      <c r="L58" s="44">
        <v>26</v>
      </c>
    </row>
  </sheetData>
  <sheetProtection formatCells="0" formatColumns="0" formatRows="0" insertRows="0" insertColumns="0" insertHyperlinks="0" deleteColumns="0" deleteRows="0" sort="0" autoFilter="0" pivotTables="0"/>
  <autoFilter xmlns:etc="http://www.wps.cn/officeDocument/2017/etCustomData" ref="B2:O58" etc:filterBottomFollowUsedRange="0">
    <extLst/>
  </autoFilter>
  <mergeCells count="41">
    <mergeCell ref="F1:M1"/>
    <mergeCell ref="M3:M4"/>
    <mergeCell ref="M5:M9"/>
    <mergeCell ref="M10:M12"/>
    <mergeCell ref="M13:M14"/>
    <mergeCell ref="M15:M16"/>
    <mergeCell ref="M17:M18"/>
    <mergeCell ref="M19:M20"/>
    <mergeCell ref="M21:M22"/>
    <mergeCell ref="M23:M24"/>
    <mergeCell ref="M25:M26"/>
    <mergeCell ref="M27:M28"/>
    <mergeCell ref="M29:M30"/>
    <mergeCell ref="M31:M32"/>
    <mergeCell ref="M33:M34"/>
    <mergeCell ref="M35:M36"/>
    <mergeCell ref="M37:M38"/>
    <mergeCell ref="M39:M40"/>
    <mergeCell ref="M41:M42"/>
    <mergeCell ref="M43:M44"/>
    <mergeCell ref="M45:M46"/>
    <mergeCell ref="N3:N4"/>
    <mergeCell ref="N5:N9"/>
    <mergeCell ref="N10:N12"/>
    <mergeCell ref="N13:N14"/>
    <mergeCell ref="N15:N16"/>
    <mergeCell ref="N17:N18"/>
    <mergeCell ref="N19:N20"/>
    <mergeCell ref="N21:N22"/>
    <mergeCell ref="N23:N24"/>
    <mergeCell ref="N25:N26"/>
    <mergeCell ref="N27:N28"/>
    <mergeCell ref="N29:N30"/>
    <mergeCell ref="N31:N32"/>
    <mergeCell ref="N33:N34"/>
    <mergeCell ref="N35:N36"/>
    <mergeCell ref="N37:N38"/>
    <mergeCell ref="N39:N40"/>
    <mergeCell ref="N41:N42"/>
    <mergeCell ref="N43:N44"/>
    <mergeCell ref="N45:N46"/>
  </mergeCells>
  <hyperlinks>
    <hyperlink ref="O1" location="产品目录!A1" display="返回目录"/>
  </hyperlink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2"/>
  <sheetViews>
    <sheetView workbookViewId="0">
      <selection activeCell="B3" sqref="B3:L52"/>
    </sheetView>
  </sheetViews>
  <sheetFormatPr defaultColWidth="9" defaultRowHeight="13.5"/>
  <sheetData>
    <row r="1" ht="33.75" customHeight="1" spans="1:6">
      <c r="A1" s="36" t="s">
        <v>2373</v>
      </c>
      <c r="B1" s="36"/>
      <c r="C1" s="36"/>
      <c r="D1" s="36"/>
      <c r="E1" s="36"/>
      <c r="F1" s="36"/>
    </row>
    <row r="2" ht="33.75" customHeight="1" spans="1:6">
      <c r="A2" s="36"/>
      <c r="B2" s="36"/>
      <c r="C2" s="36"/>
      <c r="D2" s="36"/>
      <c r="E2" s="36"/>
      <c r="F2" s="36"/>
    </row>
    <row r="3" spans="2:12">
      <c r="B3" t="s">
        <v>2374</v>
      </c>
      <c r="C3" t="s">
        <v>107</v>
      </c>
      <c r="G3">
        <v>0</v>
      </c>
      <c r="H3">
        <v>2</v>
      </c>
      <c r="K3">
        <v>85</v>
      </c>
      <c r="L3">
        <v>20</v>
      </c>
    </row>
    <row r="4" spans="2:12">
      <c r="B4" t="s">
        <v>2375</v>
      </c>
      <c r="C4" t="s">
        <v>107</v>
      </c>
      <c r="G4">
        <v>0</v>
      </c>
      <c r="H4">
        <v>2</v>
      </c>
      <c r="K4">
        <v>85</v>
      </c>
      <c r="L4">
        <v>25</v>
      </c>
    </row>
    <row r="5" spans="2:12">
      <c r="B5" t="s">
        <v>2376</v>
      </c>
      <c r="C5" t="s">
        <v>107</v>
      </c>
      <c r="G5">
        <v>0</v>
      </c>
      <c r="H5">
        <v>2</v>
      </c>
      <c r="K5">
        <v>85</v>
      </c>
      <c r="L5">
        <v>50</v>
      </c>
    </row>
    <row r="6" spans="2:12">
      <c r="B6" t="s">
        <v>2377</v>
      </c>
      <c r="C6" t="s">
        <v>107</v>
      </c>
      <c r="G6">
        <v>0</v>
      </c>
      <c r="H6">
        <v>2</v>
      </c>
      <c r="K6">
        <v>85</v>
      </c>
      <c r="L6">
        <v>60</v>
      </c>
    </row>
    <row r="7" spans="2:12">
      <c r="B7" t="s">
        <v>30</v>
      </c>
      <c r="C7" t="s">
        <v>31</v>
      </c>
      <c r="G7">
        <v>0</v>
      </c>
      <c r="H7">
        <v>2</v>
      </c>
      <c r="K7">
        <v>85</v>
      </c>
      <c r="L7">
        <v>27</v>
      </c>
    </row>
    <row r="8" spans="2:12">
      <c r="B8" t="s">
        <v>386</v>
      </c>
      <c r="C8" t="s">
        <v>387</v>
      </c>
      <c r="G8">
        <v>0</v>
      </c>
      <c r="H8">
        <v>2</v>
      </c>
      <c r="K8">
        <v>155</v>
      </c>
      <c r="L8">
        <v>10</v>
      </c>
    </row>
    <row r="9" spans="2:12">
      <c r="B9" t="s">
        <v>36</v>
      </c>
      <c r="C9" t="s">
        <v>37</v>
      </c>
      <c r="G9">
        <v>0</v>
      </c>
      <c r="H9">
        <v>2</v>
      </c>
      <c r="K9">
        <v>105</v>
      </c>
      <c r="L9">
        <v>20</v>
      </c>
    </row>
    <row r="10" spans="2:12">
      <c r="B10" t="s">
        <v>150</v>
      </c>
      <c r="C10" t="s">
        <v>151</v>
      </c>
      <c r="G10">
        <v>0</v>
      </c>
      <c r="H10">
        <v>2</v>
      </c>
      <c r="K10">
        <v>95</v>
      </c>
      <c r="L10">
        <v>30</v>
      </c>
    </row>
    <row r="11" spans="2:12">
      <c r="B11" t="s">
        <v>44</v>
      </c>
      <c r="C11" t="s">
        <v>45</v>
      </c>
      <c r="G11">
        <v>0</v>
      </c>
      <c r="H11">
        <v>2</v>
      </c>
      <c r="K11">
        <v>95</v>
      </c>
      <c r="L11">
        <v>19</v>
      </c>
    </row>
    <row r="12" spans="2:12">
      <c r="B12" t="s">
        <v>78</v>
      </c>
      <c r="C12" t="s">
        <v>79</v>
      </c>
      <c r="G12">
        <v>0</v>
      </c>
      <c r="H12">
        <v>2</v>
      </c>
      <c r="K12">
        <v>75</v>
      </c>
      <c r="L12">
        <v>25</v>
      </c>
    </row>
    <row r="13" spans="2:12">
      <c r="B13" t="s">
        <v>48</v>
      </c>
      <c r="C13" t="s">
        <v>49</v>
      </c>
      <c r="G13">
        <v>0</v>
      </c>
      <c r="H13">
        <v>2</v>
      </c>
      <c r="K13">
        <v>75</v>
      </c>
      <c r="L13">
        <v>19</v>
      </c>
    </row>
    <row r="14" spans="2:12">
      <c r="B14" t="s">
        <v>74</v>
      </c>
      <c r="C14" t="s">
        <v>75</v>
      </c>
      <c r="G14">
        <v>0</v>
      </c>
      <c r="H14">
        <v>2</v>
      </c>
      <c r="K14">
        <v>95</v>
      </c>
      <c r="L14">
        <v>28</v>
      </c>
    </row>
    <row r="15" spans="2:12">
      <c r="B15" t="s">
        <v>50</v>
      </c>
      <c r="C15" t="s">
        <v>51</v>
      </c>
      <c r="G15">
        <v>0</v>
      </c>
      <c r="H15">
        <v>2</v>
      </c>
      <c r="K15">
        <v>85</v>
      </c>
      <c r="L15">
        <v>12</v>
      </c>
    </row>
    <row r="16" spans="2:12">
      <c r="B16" t="s">
        <v>52</v>
      </c>
      <c r="C16" t="s">
        <v>53</v>
      </c>
      <c r="G16">
        <v>0</v>
      </c>
      <c r="H16">
        <v>2</v>
      </c>
      <c r="K16">
        <v>75</v>
      </c>
      <c r="L16">
        <v>33</v>
      </c>
    </row>
    <row r="17" spans="2:12">
      <c r="B17" t="s">
        <v>28</v>
      </c>
      <c r="C17" t="s">
        <v>29</v>
      </c>
      <c r="G17">
        <v>0</v>
      </c>
      <c r="H17">
        <v>2</v>
      </c>
      <c r="K17">
        <v>95</v>
      </c>
      <c r="L17">
        <v>19</v>
      </c>
    </row>
    <row r="18" spans="2:12">
      <c r="B18" t="s">
        <v>72</v>
      </c>
      <c r="C18" t="s">
        <v>73</v>
      </c>
      <c r="G18">
        <v>0</v>
      </c>
      <c r="H18">
        <v>2</v>
      </c>
      <c r="K18">
        <v>65</v>
      </c>
      <c r="L18">
        <v>24</v>
      </c>
    </row>
    <row r="19" spans="2:12">
      <c r="B19" t="s">
        <v>76</v>
      </c>
      <c r="C19" t="s">
        <v>77</v>
      </c>
      <c r="G19">
        <v>0</v>
      </c>
      <c r="H19">
        <v>10</v>
      </c>
      <c r="K19">
        <v>85</v>
      </c>
      <c r="L19">
        <v>17</v>
      </c>
    </row>
    <row r="20" spans="2:12">
      <c r="B20" t="s">
        <v>54</v>
      </c>
      <c r="C20" t="s">
        <v>55</v>
      </c>
      <c r="G20">
        <v>0</v>
      </c>
      <c r="H20">
        <v>2</v>
      </c>
      <c r="K20">
        <v>85</v>
      </c>
      <c r="L20">
        <v>17</v>
      </c>
    </row>
    <row r="21" spans="2:12">
      <c r="B21" t="s">
        <v>82</v>
      </c>
      <c r="C21" t="s">
        <v>83</v>
      </c>
      <c r="G21">
        <v>0</v>
      </c>
      <c r="H21">
        <v>2</v>
      </c>
      <c r="K21">
        <v>85</v>
      </c>
      <c r="L21">
        <v>18</v>
      </c>
    </row>
    <row r="22" spans="2:12">
      <c r="B22" t="s">
        <v>32</v>
      </c>
      <c r="C22" t="s">
        <v>33</v>
      </c>
      <c r="G22">
        <v>0</v>
      </c>
      <c r="H22">
        <v>2</v>
      </c>
      <c r="K22">
        <v>85</v>
      </c>
      <c r="L22">
        <v>24</v>
      </c>
    </row>
    <row r="23" spans="2:12">
      <c r="B23" t="s">
        <v>56</v>
      </c>
      <c r="C23" t="s">
        <v>57</v>
      </c>
      <c r="G23">
        <v>0</v>
      </c>
      <c r="H23">
        <v>2</v>
      </c>
      <c r="K23">
        <v>85</v>
      </c>
      <c r="L23">
        <v>12</v>
      </c>
    </row>
    <row r="24" spans="2:12">
      <c r="B24" t="s">
        <v>58</v>
      </c>
      <c r="C24" t="s">
        <v>59</v>
      </c>
      <c r="G24">
        <v>0</v>
      </c>
      <c r="H24">
        <v>2</v>
      </c>
      <c r="K24">
        <v>85</v>
      </c>
      <c r="L24">
        <v>12</v>
      </c>
    </row>
    <row r="25" spans="2:12">
      <c r="B25" t="s">
        <v>40</v>
      </c>
      <c r="C25" t="s">
        <v>41</v>
      </c>
      <c r="G25">
        <v>0</v>
      </c>
      <c r="H25">
        <v>2</v>
      </c>
      <c r="K25">
        <v>75</v>
      </c>
      <c r="L25">
        <v>27</v>
      </c>
    </row>
    <row r="26" spans="2:12">
      <c r="B26" t="s">
        <v>134</v>
      </c>
      <c r="C26" t="s">
        <v>135</v>
      </c>
      <c r="G26">
        <v>0</v>
      </c>
      <c r="H26">
        <v>30</v>
      </c>
      <c r="K26">
        <v>45</v>
      </c>
      <c r="L26">
        <v>20</v>
      </c>
    </row>
    <row r="27" spans="2:12">
      <c r="B27" t="s">
        <v>94</v>
      </c>
      <c r="C27" t="s">
        <v>95</v>
      </c>
      <c r="G27">
        <v>0</v>
      </c>
      <c r="H27">
        <v>2</v>
      </c>
      <c r="K27">
        <v>105</v>
      </c>
      <c r="L27">
        <v>25</v>
      </c>
    </row>
    <row r="28" spans="2:12">
      <c r="B28" t="s">
        <v>92</v>
      </c>
      <c r="C28" t="s">
        <v>93</v>
      </c>
      <c r="G28">
        <v>0</v>
      </c>
      <c r="H28">
        <v>2</v>
      </c>
      <c r="K28">
        <v>75</v>
      </c>
      <c r="L28">
        <v>25</v>
      </c>
    </row>
    <row r="29" spans="2:12">
      <c r="B29" t="s">
        <v>84</v>
      </c>
      <c r="C29" t="s">
        <v>85</v>
      </c>
      <c r="G29">
        <v>0</v>
      </c>
      <c r="H29">
        <v>25</v>
      </c>
      <c r="K29">
        <v>85</v>
      </c>
      <c r="L29">
        <v>21</v>
      </c>
    </row>
    <row r="30" spans="2:12">
      <c r="B30" t="s">
        <v>80</v>
      </c>
      <c r="C30" t="s">
        <v>81</v>
      </c>
      <c r="G30">
        <v>0</v>
      </c>
      <c r="H30">
        <v>2</v>
      </c>
      <c r="K30">
        <v>85</v>
      </c>
      <c r="L30">
        <v>38</v>
      </c>
    </row>
    <row r="31" spans="2:12">
      <c r="B31" t="s">
        <v>60</v>
      </c>
      <c r="C31" t="s">
        <v>61</v>
      </c>
      <c r="G31">
        <v>0</v>
      </c>
      <c r="H31">
        <v>2</v>
      </c>
      <c r="K31">
        <v>75</v>
      </c>
      <c r="L31">
        <v>17</v>
      </c>
    </row>
    <row r="32" spans="2:12">
      <c r="B32" t="s">
        <v>62</v>
      </c>
      <c r="C32" t="s">
        <v>63</v>
      </c>
      <c r="G32">
        <v>0</v>
      </c>
      <c r="H32">
        <v>2</v>
      </c>
      <c r="K32">
        <v>75</v>
      </c>
      <c r="L32">
        <v>23</v>
      </c>
    </row>
    <row r="33" spans="2:12">
      <c r="B33" t="s">
        <v>64</v>
      </c>
      <c r="C33" t="s">
        <v>65</v>
      </c>
      <c r="G33">
        <v>0</v>
      </c>
      <c r="H33">
        <v>2</v>
      </c>
      <c r="K33">
        <v>95</v>
      </c>
      <c r="L33">
        <v>18</v>
      </c>
    </row>
    <row r="34" spans="2:12">
      <c r="B34" t="s">
        <v>266</v>
      </c>
      <c r="C34" t="s">
        <v>267</v>
      </c>
      <c r="G34">
        <v>0</v>
      </c>
      <c r="H34">
        <v>2</v>
      </c>
      <c r="K34">
        <v>85</v>
      </c>
      <c r="L34">
        <v>27</v>
      </c>
    </row>
    <row r="35" spans="2:12">
      <c r="B35" t="s">
        <v>66</v>
      </c>
      <c r="C35" t="s">
        <v>67</v>
      </c>
      <c r="G35">
        <v>0</v>
      </c>
      <c r="H35">
        <v>2</v>
      </c>
      <c r="K35">
        <v>115</v>
      </c>
      <c r="L35">
        <v>14</v>
      </c>
    </row>
    <row r="36" spans="2:12">
      <c r="B36" t="s">
        <v>68</v>
      </c>
      <c r="C36" t="s">
        <v>69</v>
      </c>
      <c r="G36">
        <v>0</v>
      </c>
      <c r="H36">
        <v>2</v>
      </c>
      <c r="K36">
        <v>105</v>
      </c>
      <c r="L36">
        <v>20</v>
      </c>
    </row>
    <row r="37" spans="2:12">
      <c r="B37" t="s">
        <v>34</v>
      </c>
      <c r="C37" t="s">
        <v>35</v>
      </c>
      <c r="G37">
        <v>0</v>
      </c>
      <c r="H37">
        <v>2</v>
      </c>
      <c r="K37">
        <v>65</v>
      </c>
      <c r="L37">
        <v>18</v>
      </c>
    </row>
    <row r="38" spans="2:12">
      <c r="B38" t="s">
        <v>70</v>
      </c>
      <c r="C38" t="s">
        <v>1064</v>
      </c>
      <c r="G38">
        <v>0</v>
      </c>
      <c r="H38">
        <v>2</v>
      </c>
      <c r="K38">
        <v>85</v>
      </c>
      <c r="L38">
        <v>19</v>
      </c>
    </row>
    <row r="39" spans="2:12">
      <c r="B39" t="s">
        <v>38</v>
      </c>
      <c r="C39" t="s">
        <v>39</v>
      </c>
      <c r="G39">
        <v>0</v>
      </c>
      <c r="H39">
        <v>2</v>
      </c>
      <c r="K39">
        <v>85</v>
      </c>
      <c r="L39">
        <v>26</v>
      </c>
    </row>
    <row r="40" spans="2:12">
      <c r="B40" t="s">
        <v>182</v>
      </c>
      <c r="C40" t="s">
        <v>183</v>
      </c>
      <c r="G40">
        <v>0</v>
      </c>
      <c r="H40">
        <v>2</v>
      </c>
      <c r="K40">
        <v>115</v>
      </c>
      <c r="L40">
        <v>11</v>
      </c>
    </row>
    <row r="41" spans="2:12">
      <c r="B41" t="s">
        <v>26</v>
      </c>
      <c r="C41" s="1" t="s">
        <v>27</v>
      </c>
      <c r="G41">
        <v>0</v>
      </c>
      <c r="H41">
        <v>2</v>
      </c>
      <c r="K41">
        <v>65</v>
      </c>
      <c r="L41">
        <v>15</v>
      </c>
    </row>
    <row r="42" spans="2:12">
      <c r="B42" t="s">
        <v>24</v>
      </c>
      <c r="C42" t="s">
        <v>25</v>
      </c>
      <c r="G42">
        <v>0</v>
      </c>
      <c r="H42">
        <v>2</v>
      </c>
      <c r="K42">
        <v>115</v>
      </c>
      <c r="L42">
        <v>26</v>
      </c>
    </row>
  </sheetData>
  <sheetProtection formatCells="0" formatColumns="0" formatRows="0" insertRows="0" insertColumns="0" insertHyperlinks="0" deleteColumns="0" deleteRows="0" sort="0" autoFilter="0" pivotTables="0"/>
  <mergeCells count="1">
    <mergeCell ref="A1:F1"/>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82"/>
  <sheetViews>
    <sheetView topLeftCell="H3" workbookViewId="0">
      <selection activeCell="D170" sqref="D170"/>
    </sheetView>
  </sheetViews>
  <sheetFormatPr defaultColWidth="9" defaultRowHeight="13.5"/>
  <sheetData>
    <row r="1" spans="2:2">
      <c r="B1" t="s">
        <v>2378</v>
      </c>
    </row>
    <row r="2" spans="1:17">
      <c r="A2" t="s">
        <v>2379</v>
      </c>
      <c r="B2" t="s">
        <v>661</v>
      </c>
      <c r="D2" t="s">
        <v>2380</v>
      </c>
      <c r="I2" t="s">
        <v>2381</v>
      </c>
      <c r="J2" t="s">
        <v>2382</v>
      </c>
      <c r="M2" t="s">
        <v>2383</v>
      </c>
      <c r="N2" t="s">
        <v>2384</v>
      </c>
      <c r="P2" t="s">
        <v>2385</v>
      </c>
      <c r="Q2" t="s">
        <v>2386</v>
      </c>
    </row>
    <row r="3" spans="2:17">
      <c r="B3" t="s">
        <v>72</v>
      </c>
      <c r="C3" t="e">
        <f>VLOOKUP(B3,#REF!,2,0)</f>
        <v>#REF!</v>
      </c>
      <c r="D3" t="s">
        <v>1760</v>
      </c>
      <c r="G3" s="2">
        <v>0</v>
      </c>
      <c r="H3" s="2">
        <v>0.4</v>
      </c>
      <c r="I3">
        <v>56.5</v>
      </c>
      <c r="J3">
        <v>28</v>
      </c>
      <c r="K3">
        <v>56.5</v>
      </c>
      <c r="L3">
        <v>28</v>
      </c>
      <c r="M3" t="s">
        <v>2387</v>
      </c>
      <c r="N3" t="s">
        <v>2388</v>
      </c>
      <c r="P3" t="s">
        <v>2389</v>
      </c>
      <c r="Q3" t="s">
        <v>2390</v>
      </c>
    </row>
    <row r="4" spans="2:12">
      <c r="B4" t="s">
        <v>72</v>
      </c>
      <c r="C4" t="e">
        <f>VLOOKUP(B4,#REF!,2,0)</f>
        <v>#REF!</v>
      </c>
      <c r="D4" t="s">
        <v>2391</v>
      </c>
      <c r="G4" s="2">
        <v>0.401</v>
      </c>
      <c r="H4" s="2">
        <v>1</v>
      </c>
      <c r="I4">
        <v>57.5</v>
      </c>
      <c r="K4">
        <v>57.5</v>
      </c>
      <c r="L4">
        <v>28</v>
      </c>
    </row>
    <row r="5" spans="2:16">
      <c r="B5" t="s">
        <v>72</v>
      </c>
      <c r="C5" t="e">
        <f>VLOOKUP(B5,#REF!,2,0)</f>
        <v>#REF!</v>
      </c>
      <c r="D5" t="s">
        <v>1579</v>
      </c>
      <c r="G5" s="2">
        <v>1.001</v>
      </c>
      <c r="H5" s="2">
        <v>30</v>
      </c>
      <c r="I5">
        <v>57</v>
      </c>
      <c r="K5">
        <v>57</v>
      </c>
      <c r="L5">
        <v>28</v>
      </c>
      <c r="N5" t="s">
        <v>2392</v>
      </c>
      <c r="P5" t="s">
        <v>2393</v>
      </c>
    </row>
    <row r="6" spans="2:14">
      <c r="B6" t="s">
        <v>28</v>
      </c>
      <c r="C6" t="e">
        <f>VLOOKUP(B6,#REF!,2,0)</f>
        <v>#REF!</v>
      </c>
      <c r="D6" t="s">
        <v>1760</v>
      </c>
      <c r="G6" s="2">
        <v>0</v>
      </c>
      <c r="H6" s="2">
        <v>0.4</v>
      </c>
      <c r="I6">
        <v>63.5</v>
      </c>
      <c r="J6">
        <v>29</v>
      </c>
      <c r="K6">
        <v>63.5</v>
      </c>
      <c r="L6">
        <v>29</v>
      </c>
      <c r="M6" t="s">
        <v>2394</v>
      </c>
      <c r="N6" t="s">
        <v>2395</v>
      </c>
    </row>
    <row r="7" spans="2:12">
      <c r="B7" t="s">
        <v>28</v>
      </c>
      <c r="C7" t="e">
        <f>VLOOKUP(B7,#REF!,2,0)</f>
        <v>#REF!</v>
      </c>
      <c r="D7" t="s">
        <v>2391</v>
      </c>
      <c r="G7" s="2">
        <v>0.401</v>
      </c>
      <c r="H7" s="2">
        <v>1</v>
      </c>
      <c r="I7">
        <v>64.5</v>
      </c>
      <c r="K7">
        <v>64.5</v>
      </c>
      <c r="L7">
        <v>29</v>
      </c>
    </row>
    <row r="8" spans="2:12">
      <c r="B8" t="s">
        <v>28</v>
      </c>
      <c r="C8" t="e">
        <f>VLOOKUP(B8,#REF!,2,0)</f>
        <v>#REF!</v>
      </c>
      <c r="D8" t="s">
        <v>1704</v>
      </c>
      <c r="G8" s="2">
        <v>1.001</v>
      </c>
      <c r="H8" s="2">
        <v>2</v>
      </c>
      <c r="I8">
        <v>64</v>
      </c>
      <c r="K8">
        <v>64</v>
      </c>
      <c r="L8">
        <v>29</v>
      </c>
    </row>
    <row r="9" spans="2:14">
      <c r="B9" t="s">
        <v>60</v>
      </c>
      <c r="C9" t="e">
        <f>VLOOKUP(B9,#REF!,2,0)</f>
        <v>#REF!</v>
      </c>
      <c r="D9" t="s">
        <v>1760</v>
      </c>
      <c r="G9" s="2">
        <v>0</v>
      </c>
      <c r="H9" s="2">
        <v>0.4</v>
      </c>
      <c r="I9">
        <v>62.5</v>
      </c>
      <c r="J9">
        <v>16</v>
      </c>
      <c r="K9">
        <v>62.5</v>
      </c>
      <c r="L9">
        <v>16</v>
      </c>
      <c r="M9" t="s">
        <v>2396</v>
      </c>
      <c r="N9" t="s">
        <v>2397</v>
      </c>
    </row>
    <row r="10" spans="2:12">
      <c r="B10" t="s">
        <v>60</v>
      </c>
      <c r="C10" t="e">
        <f>VLOOKUP(B10,#REF!,2,0)</f>
        <v>#REF!</v>
      </c>
      <c r="D10" t="s">
        <v>2391</v>
      </c>
      <c r="G10" s="2">
        <v>0.401</v>
      </c>
      <c r="H10" s="2">
        <v>1</v>
      </c>
      <c r="I10">
        <v>63.5</v>
      </c>
      <c r="K10">
        <v>63.5</v>
      </c>
      <c r="L10">
        <v>16</v>
      </c>
    </row>
    <row r="11" spans="2:14">
      <c r="B11" t="s">
        <v>60</v>
      </c>
      <c r="C11" t="e">
        <f>VLOOKUP(B11,#REF!,2,0)</f>
        <v>#REF!</v>
      </c>
      <c r="D11" t="s">
        <v>1579</v>
      </c>
      <c r="G11" s="2">
        <v>1.001</v>
      </c>
      <c r="H11" s="2">
        <v>30</v>
      </c>
      <c r="I11">
        <v>63</v>
      </c>
      <c r="J11">
        <v>21</v>
      </c>
      <c r="K11">
        <v>63</v>
      </c>
      <c r="L11">
        <v>21</v>
      </c>
      <c r="M11" t="s">
        <v>2398</v>
      </c>
      <c r="N11" t="s">
        <v>2399</v>
      </c>
    </row>
    <row r="12" spans="2:14">
      <c r="B12" t="s">
        <v>34</v>
      </c>
      <c r="C12" t="e">
        <f>VLOOKUP(B12,#REF!,2,0)</f>
        <v>#REF!</v>
      </c>
      <c r="D12" t="s">
        <v>1577</v>
      </c>
      <c r="G12" s="2">
        <v>0</v>
      </c>
      <c r="H12" s="2">
        <v>1</v>
      </c>
      <c r="I12">
        <v>63.5</v>
      </c>
      <c r="J12">
        <v>23</v>
      </c>
      <c r="K12">
        <v>63.5</v>
      </c>
      <c r="L12">
        <v>23</v>
      </c>
      <c r="M12" t="s">
        <v>2400</v>
      </c>
      <c r="N12" t="s">
        <v>2401</v>
      </c>
    </row>
    <row r="13" spans="2:12">
      <c r="B13" t="s">
        <v>34</v>
      </c>
      <c r="C13" t="e">
        <f>VLOOKUP(B13,#REF!,2,0)</f>
        <v>#REF!</v>
      </c>
      <c r="D13" t="s">
        <v>1704</v>
      </c>
      <c r="G13" s="2">
        <v>1.001</v>
      </c>
      <c r="H13" s="2">
        <v>2</v>
      </c>
      <c r="I13">
        <v>64.5</v>
      </c>
      <c r="J13">
        <v>28</v>
      </c>
      <c r="K13">
        <v>64.5</v>
      </c>
      <c r="L13">
        <v>28</v>
      </c>
    </row>
    <row r="14" spans="2:12">
      <c r="B14" t="s">
        <v>34</v>
      </c>
      <c r="C14" t="e">
        <f>VLOOKUP(B14,#REF!,2,0)</f>
        <v>#REF!</v>
      </c>
      <c r="D14" t="s">
        <v>1743</v>
      </c>
      <c r="G14" s="2">
        <v>2.001</v>
      </c>
      <c r="H14" s="2">
        <v>30</v>
      </c>
      <c r="I14">
        <v>64</v>
      </c>
      <c r="K14">
        <v>64</v>
      </c>
      <c r="L14">
        <v>28</v>
      </c>
    </row>
    <row r="15" spans="2:14">
      <c r="B15" t="s">
        <v>62</v>
      </c>
      <c r="C15" t="e">
        <f>VLOOKUP(B15,#REF!,2,0)</f>
        <v>#REF!</v>
      </c>
      <c r="D15" t="s">
        <v>1577</v>
      </c>
      <c r="G15" s="2">
        <v>0</v>
      </c>
      <c r="H15" s="2">
        <v>1</v>
      </c>
      <c r="I15">
        <v>65</v>
      </c>
      <c r="J15">
        <v>23</v>
      </c>
      <c r="K15">
        <v>65</v>
      </c>
      <c r="L15">
        <v>23</v>
      </c>
      <c r="M15" t="s">
        <v>2400</v>
      </c>
      <c r="N15" t="s">
        <v>2401</v>
      </c>
    </row>
    <row r="16" spans="2:12">
      <c r="B16" t="s">
        <v>62</v>
      </c>
      <c r="C16" t="e">
        <f>VLOOKUP(B16,#REF!,2,0)</f>
        <v>#REF!</v>
      </c>
      <c r="D16" t="s">
        <v>2402</v>
      </c>
      <c r="G16" s="2">
        <v>1.001</v>
      </c>
      <c r="H16" s="2">
        <v>15</v>
      </c>
      <c r="I16">
        <v>66</v>
      </c>
      <c r="J16">
        <v>25</v>
      </c>
      <c r="K16">
        <v>66</v>
      </c>
      <c r="L16">
        <v>25</v>
      </c>
    </row>
    <row r="17" spans="2:14">
      <c r="B17" t="s">
        <v>32</v>
      </c>
      <c r="C17" t="e">
        <f>VLOOKUP(B17,#REF!,2,0)</f>
        <v>#REF!</v>
      </c>
      <c r="D17" t="s">
        <v>1760</v>
      </c>
      <c r="G17" s="2">
        <v>0</v>
      </c>
      <c r="H17" s="2">
        <v>0.4</v>
      </c>
      <c r="I17">
        <v>60</v>
      </c>
      <c r="J17">
        <v>67.5</v>
      </c>
      <c r="K17">
        <v>60</v>
      </c>
      <c r="L17">
        <v>67.5</v>
      </c>
      <c r="M17" t="s">
        <v>2403</v>
      </c>
      <c r="N17" t="s">
        <v>2404</v>
      </c>
    </row>
    <row r="18" spans="2:12">
      <c r="B18" t="s">
        <v>32</v>
      </c>
      <c r="C18" t="e">
        <f>VLOOKUP(B18,#REF!,2,0)</f>
        <v>#REF!</v>
      </c>
      <c r="D18" t="s">
        <v>2391</v>
      </c>
      <c r="G18" s="2">
        <v>0.401</v>
      </c>
      <c r="H18" s="2">
        <v>1</v>
      </c>
      <c r="I18">
        <v>60.5</v>
      </c>
      <c r="K18">
        <v>60.5</v>
      </c>
      <c r="L18">
        <v>67.5</v>
      </c>
    </row>
    <row r="19" spans="2:12">
      <c r="B19" t="s">
        <v>32</v>
      </c>
      <c r="C19" t="e">
        <f>VLOOKUP(B19,#REF!,2,0)</f>
        <v>#REF!</v>
      </c>
      <c r="D19" t="s">
        <v>1579</v>
      </c>
      <c r="G19" s="2">
        <v>1.001</v>
      </c>
      <c r="H19" s="2">
        <v>30</v>
      </c>
      <c r="I19">
        <v>60.5</v>
      </c>
      <c r="K19">
        <v>60.5</v>
      </c>
      <c r="L19">
        <v>67.5</v>
      </c>
    </row>
    <row r="20" spans="2:12">
      <c r="B20" t="s">
        <v>92</v>
      </c>
      <c r="C20" t="e">
        <f>VLOOKUP(B20,#REF!,2,0)</f>
        <v>#REF!</v>
      </c>
      <c r="D20" t="s">
        <v>1760</v>
      </c>
      <c r="G20" s="2">
        <v>0</v>
      </c>
      <c r="H20" s="2">
        <v>0.4</v>
      </c>
      <c r="I20">
        <v>59.5</v>
      </c>
      <c r="J20">
        <v>49</v>
      </c>
      <c r="K20">
        <v>59.5</v>
      </c>
      <c r="L20">
        <v>49</v>
      </c>
    </row>
    <row r="21" spans="2:12">
      <c r="B21" t="s">
        <v>92</v>
      </c>
      <c r="C21" t="e">
        <f>VLOOKUP(B21,#REF!,2,0)</f>
        <v>#REF!</v>
      </c>
      <c r="D21" t="s">
        <v>2391</v>
      </c>
      <c r="G21" s="2">
        <v>0.401</v>
      </c>
      <c r="H21" s="2">
        <v>1</v>
      </c>
      <c r="I21">
        <v>60.5</v>
      </c>
      <c r="K21">
        <v>60.5</v>
      </c>
      <c r="L21">
        <v>49</v>
      </c>
    </row>
    <row r="22" spans="2:12">
      <c r="B22" t="s">
        <v>92</v>
      </c>
      <c r="C22" t="e">
        <f>VLOOKUP(B22,#REF!,2,0)</f>
        <v>#REF!</v>
      </c>
      <c r="D22" t="s">
        <v>1579</v>
      </c>
      <c r="G22" s="2">
        <v>1.001</v>
      </c>
      <c r="H22" s="2">
        <v>30</v>
      </c>
      <c r="I22">
        <v>60</v>
      </c>
      <c r="K22">
        <v>60</v>
      </c>
      <c r="L22">
        <v>49</v>
      </c>
    </row>
    <row r="23" spans="2:12">
      <c r="B23" t="s">
        <v>36</v>
      </c>
      <c r="C23" t="e">
        <f>VLOOKUP(B23,#REF!,2,0)</f>
        <v>#REF!</v>
      </c>
      <c r="D23" t="s">
        <v>1760</v>
      </c>
      <c r="G23" s="2">
        <v>0</v>
      </c>
      <c r="H23" s="2">
        <v>0.4</v>
      </c>
      <c r="I23">
        <v>59.5</v>
      </c>
      <c r="J23">
        <v>51.5</v>
      </c>
      <c r="K23">
        <v>59.5</v>
      </c>
      <c r="L23">
        <v>51.5</v>
      </c>
    </row>
    <row r="24" spans="2:12">
      <c r="B24" t="s">
        <v>36</v>
      </c>
      <c r="C24" t="e">
        <f>VLOOKUP(B24,#REF!,2,0)</f>
        <v>#REF!</v>
      </c>
      <c r="D24" t="s">
        <v>2391</v>
      </c>
      <c r="G24" s="2">
        <v>0.401</v>
      </c>
      <c r="H24" s="2">
        <v>1</v>
      </c>
      <c r="I24">
        <v>60.5</v>
      </c>
      <c r="K24">
        <v>60.5</v>
      </c>
      <c r="L24">
        <v>51.5</v>
      </c>
    </row>
    <row r="25" spans="2:12">
      <c r="B25" t="s">
        <v>36</v>
      </c>
      <c r="C25" t="e">
        <f>VLOOKUP(B25,#REF!,2,0)</f>
        <v>#REF!</v>
      </c>
      <c r="D25" t="s">
        <v>1579</v>
      </c>
      <c r="G25" s="2">
        <v>1.001</v>
      </c>
      <c r="H25" s="2">
        <v>30</v>
      </c>
      <c r="I25">
        <v>60</v>
      </c>
      <c r="K25">
        <v>60</v>
      </c>
      <c r="L25">
        <v>51.5</v>
      </c>
    </row>
    <row r="26" spans="2:12">
      <c r="B26" t="s">
        <v>42</v>
      </c>
      <c r="C26" t="e">
        <f>VLOOKUP(B26,#REF!,2,0)</f>
        <v>#REF!</v>
      </c>
      <c r="D26" t="s">
        <v>1760</v>
      </c>
      <c r="G26" s="2">
        <v>0</v>
      </c>
      <c r="H26" s="2">
        <v>0.4</v>
      </c>
      <c r="I26">
        <v>65</v>
      </c>
      <c r="J26">
        <v>52</v>
      </c>
      <c r="K26">
        <v>65</v>
      </c>
      <c r="L26">
        <v>52</v>
      </c>
    </row>
    <row r="27" spans="2:12">
      <c r="B27" t="s">
        <v>42</v>
      </c>
      <c r="C27" t="e">
        <f>VLOOKUP(B27,#REF!,2,0)</f>
        <v>#REF!</v>
      </c>
      <c r="D27" t="s">
        <v>2391</v>
      </c>
      <c r="G27" s="2">
        <v>0.401</v>
      </c>
      <c r="H27" s="2">
        <v>1</v>
      </c>
      <c r="I27">
        <v>66</v>
      </c>
      <c r="K27">
        <v>66</v>
      </c>
      <c r="L27">
        <v>52</v>
      </c>
    </row>
    <row r="28" spans="2:12">
      <c r="B28" t="s">
        <v>42</v>
      </c>
      <c r="C28" t="e">
        <f>VLOOKUP(B28,#REF!,2,0)</f>
        <v>#REF!</v>
      </c>
      <c r="D28" t="s">
        <v>1579</v>
      </c>
      <c r="G28" s="2">
        <v>1.001</v>
      </c>
      <c r="H28" s="2">
        <v>30</v>
      </c>
      <c r="I28">
        <v>65.5</v>
      </c>
      <c r="K28">
        <v>65.5</v>
      </c>
      <c r="L28">
        <v>52</v>
      </c>
    </row>
    <row r="29" spans="2:12">
      <c r="B29" t="s">
        <v>54</v>
      </c>
      <c r="C29" t="e">
        <f>VLOOKUP(B29,#REF!,2,0)</f>
        <v>#REF!</v>
      </c>
      <c r="D29" t="s">
        <v>1760</v>
      </c>
      <c r="G29" s="2">
        <v>0</v>
      </c>
      <c r="H29" s="2">
        <v>0.4</v>
      </c>
      <c r="I29">
        <v>60.5</v>
      </c>
      <c r="J29">
        <v>42</v>
      </c>
      <c r="K29">
        <v>60.5</v>
      </c>
      <c r="L29">
        <v>42</v>
      </c>
    </row>
    <row r="30" spans="2:12">
      <c r="B30" t="s">
        <v>54</v>
      </c>
      <c r="C30" t="e">
        <f>VLOOKUP(B30,#REF!,2,0)</f>
        <v>#REF!</v>
      </c>
      <c r="D30" t="s">
        <v>2391</v>
      </c>
      <c r="G30" s="2">
        <v>0.401</v>
      </c>
      <c r="H30" s="2">
        <v>1</v>
      </c>
      <c r="I30">
        <v>61.5</v>
      </c>
      <c r="K30">
        <v>61.5</v>
      </c>
      <c r="L30">
        <v>42</v>
      </c>
    </row>
    <row r="31" spans="2:12">
      <c r="B31" t="s">
        <v>54</v>
      </c>
      <c r="C31" t="e">
        <f>VLOOKUP(B31,#REF!,2,0)</f>
        <v>#REF!</v>
      </c>
      <c r="D31" t="s">
        <v>1579</v>
      </c>
      <c r="G31" s="2">
        <v>1.001</v>
      </c>
      <c r="H31" s="2">
        <v>30</v>
      </c>
      <c r="I31">
        <v>61</v>
      </c>
      <c r="K31">
        <v>61</v>
      </c>
      <c r="L31">
        <v>42</v>
      </c>
    </row>
    <row r="32" spans="2:12">
      <c r="B32" t="s">
        <v>70</v>
      </c>
      <c r="C32" t="e">
        <f>VLOOKUP(B32,#REF!,2,0)</f>
        <v>#REF!</v>
      </c>
      <c r="D32" t="s">
        <v>1760</v>
      </c>
      <c r="G32" s="2">
        <v>0</v>
      </c>
      <c r="H32" s="2">
        <v>0.4</v>
      </c>
      <c r="I32">
        <v>60</v>
      </c>
      <c r="J32">
        <v>102</v>
      </c>
      <c r="K32">
        <v>60</v>
      </c>
      <c r="L32">
        <v>102</v>
      </c>
    </row>
    <row r="33" spans="2:12">
      <c r="B33" t="s">
        <v>70</v>
      </c>
      <c r="C33" t="e">
        <f>VLOOKUP(B33,#REF!,2,0)</f>
        <v>#REF!</v>
      </c>
      <c r="D33" t="s">
        <v>2391</v>
      </c>
      <c r="G33" s="2">
        <v>0.401</v>
      </c>
      <c r="H33" s="2">
        <v>1</v>
      </c>
      <c r="I33">
        <v>61</v>
      </c>
      <c r="K33">
        <v>61</v>
      </c>
      <c r="L33">
        <v>102</v>
      </c>
    </row>
    <row r="34" spans="2:12">
      <c r="B34" t="s">
        <v>70</v>
      </c>
      <c r="C34" t="e">
        <f>VLOOKUP(B34,#REF!,2,0)</f>
        <v>#REF!</v>
      </c>
      <c r="D34" t="s">
        <v>1579</v>
      </c>
      <c r="G34" s="2">
        <v>1.001</v>
      </c>
      <c r="H34" s="2">
        <v>30</v>
      </c>
      <c r="I34">
        <v>60.5</v>
      </c>
      <c r="K34">
        <v>60.5</v>
      </c>
      <c r="L34">
        <v>102</v>
      </c>
    </row>
    <row r="35" spans="2:12">
      <c r="B35" t="s">
        <v>30</v>
      </c>
      <c r="C35" t="e">
        <f>VLOOKUP(B35,#REF!,2,0)</f>
        <v>#REF!</v>
      </c>
      <c r="D35" t="s">
        <v>1760</v>
      </c>
      <c r="G35" s="2">
        <v>0</v>
      </c>
      <c r="H35" s="2">
        <v>0.4</v>
      </c>
      <c r="I35">
        <v>60</v>
      </c>
      <c r="J35">
        <v>48</v>
      </c>
      <c r="K35">
        <v>60</v>
      </c>
      <c r="L35">
        <v>48</v>
      </c>
    </row>
    <row r="36" spans="2:12">
      <c r="B36" t="s">
        <v>30</v>
      </c>
      <c r="C36" t="e">
        <f>VLOOKUP(B36,#REF!,2,0)</f>
        <v>#REF!</v>
      </c>
      <c r="D36" t="s">
        <v>2391</v>
      </c>
      <c r="G36" s="2">
        <v>0.401</v>
      </c>
      <c r="H36" s="2">
        <v>1</v>
      </c>
      <c r="I36">
        <v>61</v>
      </c>
      <c r="K36">
        <v>61</v>
      </c>
      <c r="L36">
        <v>48</v>
      </c>
    </row>
    <row r="37" spans="2:12">
      <c r="B37" t="s">
        <v>30</v>
      </c>
      <c r="C37" t="e">
        <f>VLOOKUP(B37,#REF!,2,0)</f>
        <v>#REF!</v>
      </c>
      <c r="D37" t="s">
        <v>1579</v>
      </c>
      <c r="G37" s="2">
        <v>1.001</v>
      </c>
      <c r="H37" s="2">
        <v>30</v>
      </c>
      <c r="I37">
        <v>60.5</v>
      </c>
      <c r="K37">
        <v>60.5</v>
      </c>
      <c r="L37">
        <v>48</v>
      </c>
    </row>
    <row r="38" spans="2:12">
      <c r="B38" t="s">
        <v>44</v>
      </c>
      <c r="C38" t="e">
        <f>VLOOKUP(B38,#REF!,2,0)</f>
        <v>#REF!</v>
      </c>
      <c r="D38" t="s">
        <v>1760</v>
      </c>
      <c r="G38" s="2">
        <v>0</v>
      </c>
      <c r="H38" s="2">
        <v>0.4</v>
      </c>
      <c r="I38">
        <v>63.5</v>
      </c>
      <c r="J38">
        <v>47.5</v>
      </c>
      <c r="K38">
        <v>63.5</v>
      </c>
      <c r="L38">
        <v>47.5</v>
      </c>
    </row>
    <row r="39" spans="2:12">
      <c r="B39" t="s">
        <v>44</v>
      </c>
      <c r="C39" t="e">
        <f>VLOOKUP(B39,#REF!,2,0)</f>
        <v>#REF!</v>
      </c>
      <c r="D39" t="s">
        <v>2391</v>
      </c>
      <c r="G39" s="2">
        <v>0.401</v>
      </c>
      <c r="H39" s="2">
        <v>1</v>
      </c>
      <c r="I39">
        <v>64.5</v>
      </c>
      <c r="K39">
        <v>64.5</v>
      </c>
      <c r="L39">
        <v>47.5</v>
      </c>
    </row>
    <row r="40" spans="2:12">
      <c r="B40" t="s">
        <v>44</v>
      </c>
      <c r="C40" t="e">
        <f>VLOOKUP(B40,#REF!,2,0)</f>
        <v>#REF!</v>
      </c>
      <c r="D40" t="s">
        <v>1579</v>
      </c>
      <c r="G40" s="2">
        <v>1.001</v>
      </c>
      <c r="H40" s="2">
        <v>30</v>
      </c>
      <c r="I40">
        <v>64</v>
      </c>
      <c r="K40">
        <v>64</v>
      </c>
      <c r="L40">
        <v>47.5</v>
      </c>
    </row>
    <row r="41" spans="2:12">
      <c r="B41" t="s">
        <v>52</v>
      </c>
      <c r="C41" t="e">
        <f>VLOOKUP(B41,#REF!,2,0)</f>
        <v>#REF!</v>
      </c>
      <c r="D41" t="s">
        <v>1760</v>
      </c>
      <c r="G41" s="2">
        <v>0</v>
      </c>
      <c r="H41" s="2">
        <v>0.4</v>
      </c>
      <c r="I41">
        <v>61</v>
      </c>
      <c r="J41">
        <v>95</v>
      </c>
      <c r="K41">
        <v>61</v>
      </c>
      <c r="L41">
        <v>95</v>
      </c>
    </row>
    <row r="42" spans="2:12">
      <c r="B42" t="s">
        <v>52</v>
      </c>
      <c r="C42" t="e">
        <f>VLOOKUP(B42,#REF!,2,0)</f>
        <v>#REF!</v>
      </c>
      <c r="D42" t="s">
        <v>2391</v>
      </c>
      <c r="G42" s="2">
        <v>0.401</v>
      </c>
      <c r="H42" s="2">
        <v>1</v>
      </c>
      <c r="I42">
        <v>62</v>
      </c>
      <c r="K42">
        <v>62</v>
      </c>
      <c r="L42">
        <v>95</v>
      </c>
    </row>
    <row r="43" spans="2:12">
      <c r="B43" t="s">
        <v>52</v>
      </c>
      <c r="C43" t="e">
        <f>VLOOKUP(B43,#REF!,2,0)</f>
        <v>#REF!</v>
      </c>
      <c r="D43" t="s">
        <v>1579</v>
      </c>
      <c r="G43" s="2">
        <v>1.001</v>
      </c>
      <c r="H43" s="2">
        <v>30</v>
      </c>
      <c r="I43">
        <v>61.5</v>
      </c>
      <c r="K43">
        <v>61.5</v>
      </c>
      <c r="L43">
        <v>95</v>
      </c>
    </row>
    <row r="44" spans="2:12">
      <c r="B44" t="s">
        <v>74</v>
      </c>
      <c r="C44" t="e">
        <f>VLOOKUP(B44,#REF!,2,0)</f>
        <v>#REF!</v>
      </c>
      <c r="D44" t="s">
        <v>1760</v>
      </c>
      <c r="G44" s="2">
        <v>0</v>
      </c>
      <c r="H44" s="2">
        <v>0.4</v>
      </c>
      <c r="I44">
        <v>59.5</v>
      </c>
      <c r="J44">
        <v>80.5</v>
      </c>
      <c r="K44">
        <v>59.5</v>
      </c>
      <c r="L44">
        <v>80.5</v>
      </c>
    </row>
    <row r="45" spans="2:12">
      <c r="B45" t="s">
        <v>74</v>
      </c>
      <c r="C45" t="e">
        <f>VLOOKUP(B45,#REF!,2,0)</f>
        <v>#REF!</v>
      </c>
      <c r="D45" t="s">
        <v>2391</v>
      </c>
      <c r="G45" s="2">
        <v>0.401</v>
      </c>
      <c r="H45" s="2">
        <v>1</v>
      </c>
      <c r="I45">
        <v>60.5</v>
      </c>
      <c r="K45">
        <v>60.5</v>
      </c>
      <c r="L45">
        <v>80.5</v>
      </c>
    </row>
    <row r="46" spans="2:12">
      <c r="B46" t="s">
        <v>74</v>
      </c>
      <c r="C46" t="e">
        <f>VLOOKUP(B46,#REF!,2,0)</f>
        <v>#REF!</v>
      </c>
      <c r="D46" t="s">
        <v>1579</v>
      </c>
      <c r="G46" s="2">
        <v>1.001</v>
      </c>
      <c r="H46" s="2">
        <v>30</v>
      </c>
      <c r="I46">
        <v>60</v>
      </c>
      <c r="K46">
        <v>60</v>
      </c>
      <c r="L46">
        <v>80.5</v>
      </c>
    </row>
    <row r="47" spans="2:12">
      <c r="B47" t="s">
        <v>64</v>
      </c>
      <c r="C47" t="e">
        <f>VLOOKUP(B47,#REF!,2,0)</f>
        <v>#REF!</v>
      </c>
      <c r="D47" t="s">
        <v>1760</v>
      </c>
      <c r="G47" s="2">
        <v>0</v>
      </c>
      <c r="H47" s="2">
        <v>0.4</v>
      </c>
      <c r="I47">
        <v>61.5</v>
      </c>
      <c r="J47">
        <v>57</v>
      </c>
      <c r="K47">
        <v>61.5</v>
      </c>
      <c r="L47">
        <v>57</v>
      </c>
    </row>
    <row r="48" spans="2:12">
      <c r="B48" t="s">
        <v>64</v>
      </c>
      <c r="C48" t="e">
        <f>VLOOKUP(B48,#REF!,2,0)</f>
        <v>#REF!</v>
      </c>
      <c r="D48" t="s">
        <v>2391</v>
      </c>
      <c r="G48" s="2">
        <v>0.401</v>
      </c>
      <c r="H48" s="2">
        <v>1</v>
      </c>
      <c r="I48">
        <v>62.5</v>
      </c>
      <c r="K48">
        <v>62.5</v>
      </c>
      <c r="L48">
        <v>57</v>
      </c>
    </row>
    <row r="49" spans="2:12">
      <c r="B49" t="s">
        <v>64</v>
      </c>
      <c r="C49" t="e">
        <f>VLOOKUP(B49,#REF!,2,0)</f>
        <v>#REF!</v>
      </c>
      <c r="D49" t="s">
        <v>1579</v>
      </c>
      <c r="G49" s="2">
        <v>1.001</v>
      </c>
      <c r="H49" s="2">
        <v>30</v>
      </c>
      <c r="I49">
        <v>62</v>
      </c>
      <c r="K49">
        <v>62</v>
      </c>
      <c r="L49">
        <v>57</v>
      </c>
    </row>
    <row r="50" spans="2:12">
      <c r="B50" t="s">
        <v>58</v>
      </c>
      <c r="C50" t="e">
        <f>VLOOKUP(B50,#REF!,2,0)</f>
        <v>#REF!</v>
      </c>
      <c r="D50" t="s">
        <v>1760</v>
      </c>
      <c r="G50" s="2">
        <v>0</v>
      </c>
      <c r="H50" s="2">
        <v>0.4</v>
      </c>
      <c r="I50">
        <v>61.5</v>
      </c>
      <c r="J50">
        <v>57.5</v>
      </c>
      <c r="K50">
        <v>61.5</v>
      </c>
      <c r="L50">
        <v>57.5</v>
      </c>
    </row>
    <row r="51" spans="2:12">
      <c r="B51" t="s">
        <v>58</v>
      </c>
      <c r="C51" t="e">
        <f>VLOOKUP(B51,#REF!,2,0)</f>
        <v>#REF!</v>
      </c>
      <c r="D51" t="s">
        <v>2391</v>
      </c>
      <c r="G51" s="2">
        <v>0.401</v>
      </c>
      <c r="H51" s="2">
        <v>1</v>
      </c>
      <c r="I51">
        <v>62.5</v>
      </c>
      <c r="K51">
        <v>62.5</v>
      </c>
      <c r="L51">
        <v>57.5</v>
      </c>
    </row>
    <row r="52" spans="2:12">
      <c r="B52" t="s">
        <v>58</v>
      </c>
      <c r="C52" t="e">
        <f>VLOOKUP(B52,#REF!,2,0)</f>
        <v>#REF!</v>
      </c>
      <c r="D52" t="s">
        <v>1579</v>
      </c>
      <c r="G52" s="2">
        <v>1.001</v>
      </c>
      <c r="H52" s="2">
        <v>30</v>
      </c>
      <c r="I52">
        <v>62</v>
      </c>
      <c r="K52">
        <v>62</v>
      </c>
      <c r="L52">
        <v>57.5</v>
      </c>
    </row>
    <row r="53" spans="2:12">
      <c r="B53" s="1" t="s">
        <v>48</v>
      </c>
      <c r="C53" t="e">
        <f>VLOOKUP(B53,#REF!,2,0)</f>
        <v>#REF!</v>
      </c>
      <c r="D53" t="s">
        <v>1760</v>
      </c>
      <c r="G53" s="2">
        <v>0</v>
      </c>
      <c r="H53" s="2">
        <v>0.4</v>
      </c>
      <c r="I53">
        <v>62</v>
      </c>
      <c r="J53">
        <v>36.5</v>
      </c>
      <c r="K53">
        <v>62</v>
      </c>
      <c r="L53">
        <v>36.5</v>
      </c>
    </row>
    <row r="54" spans="2:12">
      <c r="B54" s="1" t="s">
        <v>48</v>
      </c>
      <c r="C54" t="e">
        <f>VLOOKUP(B54,#REF!,2,0)</f>
        <v>#REF!</v>
      </c>
      <c r="D54" t="s">
        <v>2391</v>
      </c>
      <c r="G54" s="2">
        <v>0.401</v>
      </c>
      <c r="H54" s="2">
        <v>1</v>
      </c>
      <c r="I54">
        <v>63</v>
      </c>
      <c r="K54">
        <v>63</v>
      </c>
      <c r="L54">
        <v>36.5</v>
      </c>
    </row>
    <row r="55" spans="2:12">
      <c r="B55" s="1" t="s">
        <v>48</v>
      </c>
      <c r="C55" t="e">
        <f>VLOOKUP(B55,#REF!,2,0)</f>
        <v>#REF!</v>
      </c>
      <c r="D55" t="s">
        <v>1579</v>
      </c>
      <c r="G55" s="2">
        <v>1.001</v>
      </c>
      <c r="H55" s="2">
        <v>30</v>
      </c>
      <c r="I55">
        <v>62.5</v>
      </c>
      <c r="K55">
        <v>62.5</v>
      </c>
      <c r="L55">
        <v>36.5</v>
      </c>
    </row>
    <row r="56" spans="2:12">
      <c r="B56" t="s">
        <v>76</v>
      </c>
      <c r="C56" t="e">
        <f>VLOOKUP(B56,#REF!,2,0)</f>
        <v>#REF!</v>
      </c>
      <c r="D56" t="s">
        <v>1760</v>
      </c>
      <c r="G56" s="2">
        <v>0</v>
      </c>
      <c r="H56" s="2">
        <v>0.4</v>
      </c>
      <c r="I56">
        <v>68.5</v>
      </c>
      <c r="J56">
        <v>56</v>
      </c>
      <c r="K56">
        <v>68.5</v>
      </c>
      <c r="L56">
        <v>56</v>
      </c>
    </row>
    <row r="57" spans="2:12">
      <c r="B57" t="s">
        <v>76</v>
      </c>
      <c r="C57" t="e">
        <f>VLOOKUP(B57,#REF!,2,0)</f>
        <v>#REF!</v>
      </c>
      <c r="D57" t="s">
        <v>2391</v>
      </c>
      <c r="G57" s="2">
        <v>0.401</v>
      </c>
      <c r="H57" s="2">
        <v>1</v>
      </c>
      <c r="I57">
        <v>69.5</v>
      </c>
      <c r="K57">
        <v>69.5</v>
      </c>
      <c r="L57">
        <v>56</v>
      </c>
    </row>
    <row r="58" spans="2:12">
      <c r="B58" t="s">
        <v>76</v>
      </c>
      <c r="C58" t="e">
        <f>VLOOKUP(B58,#REF!,2,0)</f>
        <v>#REF!</v>
      </c>
      <c r="D58" t="s">
        <v>1579</v>
      </c>
      <c r="G58" s="2">
        <v>1.001</v>
      </c>
      <c r="H58" s="2">
        <v>30</v>
      </c>
      <c r="I58">
        <v>69</v>
      </c>
      <c r="K58">
        <v>69</v>
      </c>
      <c r="L58">
        <v>56</v>
      </c>
    </row>
    <row r="59" spans="2:12">
      <c r="B59" t="s">
        <v>66</v>
      </c>
      <c r="C59" t="e">
        <f>VLOOKUP(B59,#REF!,2,0)</f>
        <v>#REF!</v>
      </c>
      <c r="D59" t="s">
        <v>1760</v>
      </c>
      <c r="G59" s="2">
        <v>0</v>
      </c>
      <c r="H59" s="2">
        <v>0.4</v>
      </c>
      <c r="I59">
        <v>61</v>
      </c>
      <c r="J59">
        <v>42</v>
      </c>
      <c r="K59">
        <v>61</v>
      </c>
      <c r="L59">
        <v>42</v>
      </c>
    </row>
    <row r="60" spans="2:12">
      <c r="B60" t="s">
        <v>66</v>
      </c>
      <c r="C60" t="e">
        <f>VLOOKUP(B60,#REF!,2,0)</f>
        <v>#REF!</v>
      </c>
      <c r="D60" t="s">
        <v>2391</v>
      </c>
      <c r="G60" s="2">
        <v>0.401</v>
      </c>
      <c r="H60" s="2">
        <v>1</v>
      </c>
      <c r="I60">
        <v>62</v>
      </c>
      <c r="K60">
        <v>62</v>
      </c>
      <c r="L60">
        <v>42</v>
      </c>
    </row>
    <row r="61" spans="2:12">
      <c r="B61" t="s">
        <v>66</v>
      </c>
      <c r="C61" t="e">
        <f>VLOOKUP(B61,#REF!,2,0)</f>
        <v>#REF!</v>
      </c>
      <c r="D61" t="s">
        <v>1579</v>
      </c>
      <c r="G61" s="2">
        <v>1.001</v>
      </c>
      <c r="H61" s="2">
        <v>30</v>
      </c>
      <c r="I61">
        <v>61.5</v>
      </c>
      <c r="K61">
        <v>61.5</v>
      </c>
      <c r="L61">
        <v>42</v>
      </c>
    </row>
    <row r="62" spans="2:12">
      <c r="B62" t="s">
        <v>46</v>
      </c>
      <c r="C62" t="e">
        <f>VLOOKUP(B62,#REF!,2,0)</f>
        <v>#REF!</v>
      </c>
      <c r="D62" t="s">
        <v>1760</v>
      </c>
      <c r="G62" s="2">
        <v>0</v>
      </c>
      <c r="H62" s="2">
        <v>0.4</v>
      </c>
      <c r="I62">
        <v>65</v>
      </c>
      <c r="J62">
        <v>35</v>
      </c>
      <c r="K62">
        <v>65</v>
      </c>
      <c r="L62">
        <v>35</v>
      </c>
    </row>
    <row r="63" spans="2:12">
      <c r="B63" t="s">
        <v>46</v>
      </c>
      <c r="C63" t="e">
        <f>VLOOKUP(B63,#REF!,2,0)</f>
        <v>#REF!</v>
      </c>
      <c r="D63" t="s">
        <v>2391</v>
      </c>
      <c r="G63" s="2">
        <v>0.401</v>
      </c>
      <c r="H63" s="2">
        <v>1</v>
      </c>
      <c r="I63">
        <v>66</v>
      </c>
      <c r="K63">
        <v>66</v>
      </c>
      <c r="L63">
        <v>35</v>
      </c>
    </row>
    <row r="64" spans="2:12">
      <c r="B64" t="s">
        <v>46</v>
      </c>
      <c r="C64" t="e">
        <f>VLOOKUP(B64,#REF!,2,0)</f>
        <v>#REF!</v>
      </c>
      <c r="D64" t="s">
        <v>1579</v>
      </c>
      <c r="G64" s="2">
        <v>1.001</v>
      </c>
      <c r="H64" s="2">
        <v>30</v>
      </c>
      <c r="I64">
        <v>65.5</v>
      </c>
      <c r="K64">
        <v>65.5</v>
      </c>
      <c r="L64">
        <v>35</v>
      </c>
    </row>
    <row r="65" spans="2:12">
      <c r="B65" t="s">
        <v>40</v>
      </c>
      <c r="C65" t="e">
        <f>VLOOKUP(B65,#REF!,2,0)</f>
        <v>#REF!</v>
      </c>
      <c r="D65" t="s">
        <v>1760</v>
      </c>
      <c r="G65" s="2">
        <v>0</v>
      </c>
      <c r="H65" s="2">
        <v>0.4</v>
      </c>
      <c r="I65">
        <v>60</v>
      </c>
      <c r="J65">
        <v>50</v>
      </c>
      <c r="K65">
        <v>60</v>
      </c>
      <c r="L65">
        <v>50</v>
      </c>
    </row>
    <row r="66" spans="2:12">
      <c r="B66" t="s">
        <v>40</v>
      </c>
      <c r="C66" t="e">
        <f>VLOOKUP(B66,#REF!,2,0)</f>
        <v>#REF!</v>
      </c>
      <c r="D66" t="s">
        <v>2391</v>
      </c>
      <c r="G66" s="2">
        <v>0.401</v>
      </c>
      <c r="H66" s="2">
        <v>1</v>
      </c>
      <c r="I66">
        <v>61</v>
      </c>
      <c r="K66">
        <v>61</v>
      </c>
      <c r="L66">
        <v>50</v>
      </c>
    </row>
    <row r="67" spans="2:12">
      <c r="B67" t="s">
        <v>40</v>
      </c>
      <c r="C67" t="e">
        <f>VLOOKUP(B67,#REF!,2,0)</f>
        <v>#REF!</v>
      </c>
      <c r="D67" t="s">
        <v>1579</v>
      </c>
      <c r="G67" s="2">
        <v>1.001</v>
      </c>
      <c r="H67" s="2">
        <v>30</v>
      </c>
      <c r="I67">
        <v>60.5</v>
      </c>
      <c r="K67">
        <v>60.5</v>
      </c>
      <c r="L67">
        <v>50</v>
      </c>
    </row>
    <row r="68" spans="2:12">
      <c r="B68" t="s">
        <v>68</v>
      </c>
      <c r="C68" t="e">
        <f>VLOOKUP(B68,#REF!,2,0)</f>
        <v>#REF!</v>
      </c>
      <c r="D68" t="s">
        <v>1760</v>
      </c>
      <c r="G68" s="2">
        <v>0</v>
      </c>
      <c r="H68" s="2">
        <v>0.4</v>
      </c>
      <c r="I68">
        <v>60</v>
      </c>
      <c r="J68">
        <v>44</v>
      </c>
      <c r="K68">
        <v>60</v>
      </c>
      <c r="L68">
        <v>44</v>
      </c>
    </row>
    <row r="69" spans="2:12">
      <c r="B69" t="s">
        <v>68</v>
      </c>
      <c r="C69" t="e">
        <f>VLOOKUP(B69,#REF!,2,0)</f>
        <v>#REF!</v>
      </c>
      <c r="D69" t="s">
        <v>2391</v>
      </c>
      <c r="G69" s="2">
        <v>0.401</v>
      </c>
      <c r="H69" s="2">
        <v>1</v>
      </c>
      <c r="I69">
        <v>61</v>
      </c>
      <c r="K69">
        <v>61</v>
      </c>
      <c r="L69">
        <v>44</v>
      </c>
    </row>
    <row r="70" spans="2:12">
      <c r="B70" t="s">
        <v>68</v>
      </c>
      <c r="C70" t="e">
        <f>VLOOKUP(B70,#REF!,2,0)</f>
        <v>#REF!</v>
      </c>
      <c r="D70" t="s">
        <v>1579</v>
      </c>
      <c r="G70" s="2">
        <v>1.001</v>
      </c>
      <c r="H70" s="2">
        <v>30</v>
      </c>
      <c r="I70">
        <v>60.5</v>
      </c>
      <c r="K70">
        <v>60.5</v>
      </c>
      <c r="L70">
        <v>44</v>
      </c>
    </row>
    <row r="71" spans="2:12">
      <c r="B71" t="s">
        <v>56</v>
      </c>
      <c r="C71" t="e">
        <f>VLOOKUP(B71,#REF!,2,0)</f>
        <v>#REF!</v>
      </c>
      <c r="D71" t="s">
        <v>1760</v>
      </c>
      <c r="G71" s="2">
        <v>0</v>
      </c>
      <c r="H71" s="2">
        <v>0.4</v>
      </c>
      <c r="I71">
        <v>61.5</v>
      </c>
      <c r="J71">
        <v>64.5</v>
      </c>
      <c r="K71">
        <v>61.5</v>
      </c>
      <c r="L71">
        <v>64.5</v>
      </c>
    </row>
    <row r="72" spans="2:12">
      <c r="B72" t="s">
        <v>56</v>
      </c>
      <c r="C72" t="e">
        <f>VLOOKUP(B72,#REF!,2,0)</f>
        <v>#REF!</v>
      </c>
      <c r="D72" t="s">
        <v>2391</v>
      </c>
      <c r="G72" s="2">
        <v>0.401</v>
      </c>
      <c r="H72" s="2">
        <v>1</v>
      </c>
      <c r="I72">
        <v>62.5</v>
      </c>
      <c r="K72">
        <v>62.5</v>
      </c>
      <c r="L72">
        <v>64.5</v>
      </c>
    </row>
    <row r="73" spans="2:12">
      <c r="B73" t="s">
        <v>56</v>
      </c>
      <c r="C73" t="e">
        <f>VLOOKUP(B73,#REF!,2,0)</f>
        <v>#REF!</v>
      </c>
      <c r="D73" t="s">
        <v>1579</v>
      </c>
      <c r="G73" s="2">
        <v>1.001</v>
      </c>
      <c r="H73" s="2">
        <v>30</v>
      </c>
      <c r="I73">
        <v>62</v>
      </c>
      <c r="K73">
        <v>62</v>
      </c>
      <c r="L73">
        <v>64.5</v>
      </c>
    </row>
    <row r="74" spans="2:12">
      <c r="B74" t="s">
        <v>50</v>
      </c>
      <c r="C74" t="e">
        <f>VLOOKUP(B74,#REF!,2,0)</f>
        <v>#REF!</v>
      </c>
      <c r="D74" t="s">
        <v>1760</v>
      </c>
      <c r="G74" s="2">
        <v>0</v>
      </c>
      <c r="H74" s="2">
        <v>0.4</v>
      </c>
      <c r="I74">
        <v>61.5</v>
      </c>
      <c r="J74">
        <v>66.5</v>
      </c>
      <c r="K74">
        <v>61.5</v>
      </c>
      <c r="L74">
        <v>66.5</v>
      </c>
    </row>
    <row r="75" spans="2:12">
      <c r="B75" t="s">
        <v>50</v>
      </c>
      <c r="C75" t="e">
        <f>VLOOKUP(B75,#REF!,2,0)</f>
        <v>#REF!</v>
      </c>
      <c r="D75" t="s">
        <v>2391</v>
      </c>
      <c r="G75" s="2">
        <v>0.401</v>
      </c>
      <c r="H75" s="2">
        <v>1</v>
      </c>
      <c r="I75">
        <v>62.5</v>
      </c>
      <c r="K75">
        <v>62.5</v>
      </c>
      <c r="L75">
        <v>66.5</v>
      </c>
    </row>
    <row r="76" spans="2:12">
      <c r="B76" t="s">
        <v>50</v>
      </c>
      <c r="C76" t="e">
        <f>VLOOKUP(B76,#REF!,2,0)</f>
        <v>#REF!</v>
      </c>
      <c r="D76" t="s">
        <v>1579</v>
      </c>
      <c r="G76" s="2">
        <v>1.001</v>
      </c>
      <c r="H76" s="2">
        <v>30</v>
      </c>
      <c r="I76">
        <v>62</v>
      </c>
      <c r="K76">
        <v>62</v>
      </c>
      <c r="L76">
        <v>66.5</v>
      </c>
    </row>
    <row r="77" spans="2:12">
      <c r="B77" t="s">
        <v>142</v>
      </c>
      <c r="C77" t="e">
        <f>VLOOKUP(B77,#REF!,2,0)</f>
        <v>#REF!</v>
      </c>
      <c r="D77" t="s">
        <v>1760</v>
      </c>
      <c r="G77" s="2">
        <v>0</v>
      </c>
      <c r="H77" s="2">
        <v>0.4</v>
      </c>
      <c r="I77">
        <v>77</v>
      </c>
      <c r="J77">
        <v>102.5</v>
      </c>
      <c r="K77">
        <v>77</v>
      </c>
      <c r="L77">
        <v>102.5</v>
      </c>
    </row>
    <row r="78" spans="2:12">
      <c r="B78" t="s">
        <v>142</v>
      </c>
      <c r="C78" t="e">
        <f>VLOOKUP(B78,#REF!,2,0)</f>
        <v>#REF!</v>
      </c>
      <c r="D78" t="s">
        <v>2391</v>
      </c>
      <c r="G78" s="2">
        <v>0.401</v>
      </c>
      <c r="H78" s="2">
        <v>1</v>
      </c>
      <c r="I78">
        <v>78</v>
      </c>
      <c r="K78">
        <v>78</v>
      </c>
      <c r="L78">
        <v>102.5</v>
      </c>
    </row>
    <row r="79" spans="2:12">
      <c r="B79" t="s">
        <v>142</v>
      </c>
      <c r="C79" t="e">
        <f>VLOOKUP(B79,#REF!,2,0)</f>
        <v>#REF!</v>
      </c>
      <c r="D79" t="s">
        <v>1579</v>
      </c>
      <c r="G79" s="2">
        <v>1.001</v>
      </c>
      <c r="H79" s="2">
        <v>30</v>
      </c>
      <c r="I79">
        <v>77.5</v>
      </c>
      <c r="K79">
        <v>77.5</v>
      </c>
      <c r="L79">
        <v>102.5</v>
      </c>
    </row>
    <row r="80" spans="2:12">
      <c r="B80" t="s">
        <v>108</v>
      </c>
      <c r="C80" t="e">
        <f>VLOOKUP(B80,#REF!,2,0)</f>
        <v>#REF!</v>
      </c>
      <c r="D80" t="s">
        <v>1760</v>
      </c>
      <c r="G80" s="2">
        <v>0</v>
      </c>
      <c r="H80" s="2">
        <v>0.4</v>
      </c>
      <c r="I80">
        <v>82</v>
      </c>
      <c r="J80">
        <v>145</v>
      </c>
      <c r="K80">
        <v>82</v>
      </c>
      <c r="L80">
        <v>145</v>
      </c>
    </row>
    <row r="81" spans="2:12">
      <c r="B81" t="s">
        <v>108</v>
      </c>
      <c r="C81" t="e">
        <f>VLOOKUP(B81,#REF!,2,0)</f>
        <v>#REF!</v>
      </c>
      <c r="D81" t="s">
        <v>2391</v>
      </c>
      <c r="G81" s="2">
        <v>0.401</v>
      </c>
      <c r="H81" s="2">
        <v>1</v>
      </c>
      <c r="I81">
        <v>82</v>
      </c>
      <c r="K81">
        <v>82</v>
      </c>
      <c r="L81">
        <v>145</v>
      </c>
    </row>
    <row r="82" spans="2:12">
      <c r="B82" t="s">
        <v>108</v>
      </c>
      <c r="C82" t="e">
        <f>VLOOKUP(B82,#REF!,2,0)</f>
        <v>#REF!</v>
      </c>
      <c r="D82" t="s">
        <v>1579</v>
      </c>
      <c r="G82" s="2">
        <v>1.001</v>
      </c>
      <c r="H82" s="2">
        <v>30</v>
      </c>
      <c r="I82">
        <v>82</v>
      </c>
      <c r="K82">
        <v>82</v>
      </c>
      <c r="L82">
        <v>145</v>
      </c>
    </row>
  </sheetData>
  <sheetProtection formatCells="0" formatColumns="0" formatRows="0" insertRows="0" insertColumns="0" insertHyperlinks="0" deleteColumns="0" deleteRows="0" sort="0" autoFilter="0" pivotTables="0"/>
  <autoFilter xmlns:etc="http://www.wps.cn/officeDocument/2017/etCustomData" ref="A2:Q82" etc:filterBottomFollowUsedRange="1">
    <extLst/>
  </autoFilter>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30"/>
  <sheetViews>
    <sheetView workbookViewId="0">
      <selection activeCell="H3" sqref="H3:H30"/>
    </sheetView>
  </sheetViews>
  <sheetFormatPr defaultColWidth="9" defaultRowHeight="13.5"/>
  <cols>
    <col min="14" max="14" width="25.625" customWidth="1"/>
  </cols>
  <sheetData>
    <row r="1" ht="73.5" customHeight="1" spans="2:15">
      <c r="B1" s="24"/>
      <c r="C1" s="24"/>
      <c r="D1" s="24"/>
      <c r="E1" s="24"/>
      <c r="F1" s="6" t="s">
        <v>2312</v>
      </c>
      <c r="G1" s="6"/>
      <c r="H1" s="6"/>
      <c r="I1" s="6"/>
      <c r="J1" s="6"/>
      <c r="K1" s="6"/>
      <c r="L1" s="6"/>
      <c r="M1" s="6"/>
      <c r="N1" s="28" t="s">
        <v>2366</v>
      </c>
      <c r="O1" s="29" t="s">
        <v>660</v>
      </c>
    </row>
    <row r="2" ht="16.5" spans="2:15">
      <c r="B2" s="25" t="s">
        <v>661</v>
      </c>
      <c r="C2" s="26"/>
      <c r="D2" s="26"/>
      <c r="E2" s="26"/>
      <c r="F2" s="27" t="s">
        <v>662</v>
      </c>
      <c r="G2" s="27"/>
      <c r="H2" s="27"/>
      <c r="I2" s="27"/>
      <c r="J2" s="27"/>
      <c r="K2" s="27" t="s">
        <v>663</v>
      </c>
      <c r="L2" s="30" t="s">
        <v>664</v>
      </c>
      <c r="M2" s="30" t="s">
        <v>665</v>
      </c>
      <c r="N2" s="31" t="s">
        <v>666</v>
      </c>
      <c r="O2" s="32"/>
    </row>
    <row r="3" ht="66" customHeight="1" spans="2:15">
      <c r="B3" s="10" t="s">
        <v>78</v>
      </c>
      <c r="C3" s="10" t="s">
        <v>79</v>
      </c>
      <c r="D3" s="10"/>
      <c r="E3" s="10"/>
      <c r="F3" s="10" t="s">
        <v>667</v>
      </c>
      <c r="G3" s="11">
        <v>0.05</v>
      </c>
      <c r="H3" s="11">
        <v>0.3</v>
      </c>
      <c r="I3" s="10"/>
      <c r="J3" s="10"/>
      <c r="K3" s="19">
        <v>104</v>
      </c>
      <c r="L3" s="10">
        <v>30</v>
      </c>
      <c r="M3" s="23" t="s">
        <v>668</v>
      </c>
      <c r="N3" s="21" t="s">
        <v>669</v>
      </c>
      <c r="O3" s="32"/>
    </row>
    <row r="4" ht="16.5" spans="2:15">
      <c r="B4" s="10" t="s">
        <v>78</v>
      </c>
      <c r="C4" s="10" t="s">
        <v>79</v>
      </c>
      <c r="D4" s="10"/>
      <c r="E4" s="10"/>
      <c r="F4" s="10" t="s">
        <v>670</v>
      </c>
      <c r="G4" s="11">
        <v>0.3</v>
      </c>
      <c r="H4" s="11">
        <v>0.75</v>
      </c>
      <c r="I4" s="10"/>
      <c r="J4" s="10"/>
      <c r="K4" s="19">
        <v>104</v>
      </c>
      <c r="L4" s="10">
        <v>30</v>
      </c>
      <c r="M4" s="23"/>
      <c r="N4" s="21"/>
      <c r="O4" s="32"/>
    </row>
    <row r="5" ht="16.5" spans="2:15">
      <c r="B5" s="10" t="s">
        <v>78</v>
      </c>
      <c r="C5" s="10" t="s">
        <v>79</v>
      </c>
      <c r="D5" s="10"/>
      <c r="E5" s="10"/>
      <c r="F5" s="10" t="s">
        <v>671</v>
      </c>
      <c r="G5" s="11">
        <v>0.75</v>
      </c>
      <c r="H5" s="11">
        <v>1</v>
      </c>
      <c r="I5" s="10"/>
      <c r="J5" s="10"/>
      <c r="K5" s="19">
        <v>104</v>
      </c>
      <c r="L5" s="10">
        <v>30</v>
      </c>
      <c r="M5" s="23"/>
      <c r="N5" s="21"/>
      <c r="O5" s="32"/>
    </row>
    <row r="6" ht="16.5" spans="2:15">
      <c r="B6" s="10" t="s">
        <v>78</v>
      </c>
      <c r="C6" s="10" t="s">
        <v>79</v>
      </c>
      <c r="D6" s="10"/>
      <c r="E6" s="10"/>
      <c r="F6" s="10" t="s">
        <v>672</v>
      </c>
      <c r="G6" s="11">
        <v>1</v>
      </c>
      <c r="H6" s="11">
        <v>1.5</v>
      </c>
      <c r="I6" s="10"/>
      <c r="J6" s="10"/>
      <c r="K6" s="19">
        <v>104</v>
      </c>
      <c r="L6" s="10">
        <v>30</v>
      </c>
      <c r="M6" s="23"/>
      <c r="N6" s="21"/>
      <c r="O6" s="32"/>
    </row>
    <row r="7" ht="16.5" spans="2:15">
      <c r="B7" s="10" t="s">
        <v>78</v>
      </c>
      <c r="C7" s="10" t="s">
        <v>79</v>
      </c>
      <c r="D7" s="10"/>
      <c r="E7" s="10"/>
      <c r="F7" s="10" t="s">
        <v>673</v>
      </c>
      <c r="G7" s="11">
        <v>1.5</v>
      </c>
      <c r="H7" s="11">
        <v>2</v>
      </c>
      <c r="I7" s="10"/>
      <c r="J7" s="10"/>
      <c r="K7" s="19">
        <v>95</v>
      </c>
      <c r="L7" s="10">
        <v>30</v>
      </c>
      <c r="M7" s="23"/>
      <c r="N7" s="21"/>
      <c r="O7" s="32"/>
    </row>
    <row r="8" ht="82.5" customHeight="1" spans="2:15">
      <c r="B8" s="10" t="s">
        <v>26</v>
      </c>
      <c r="C8" s="10" t="s">
        <v>27</v>
      </c>
      <c r="D8" s="10"/>
      <c r="E8" s="10"/>
      <c r="F8" s="10" t="s">
        <v>675</v>
      </c>
      <c r="G8" s="11">
        <v>0.01</v>
      </c>
      <c r="H8" s="11">
        <v>1</v>
      </c>
      <c r="I8" s="10"/>
      <c r="J8" s="10"/>
      <c r="K8" s="10">
        <v>128</v>
      </c>
      <c r="L8" s="10">
        <v>19</v>
      </c>
      <c r="M8" s="23" t="s">
        <v>676</v>
      </c>
      <c r="N8" s="21" t="s">
        <v>677</v>
      </c>
      <c r="O8" s="22"/>
    </row>
    <row r="9" ht="16.5" spans="2:15">
      <c r="B9" s="10" t="s">
        <v>26</v>
      </c>
      <c r="C9" s="10" t="s">
        <v>27</v>
      </c>
      <c r="D9" s="10"/>
      <c r="E9" s="10"/>
      <c r="F9" s="10" t="s">
        <v>678</v>
      </c>
      <c r="G9" s="11">
        <v>1</v>
      </c>
      <c r="H9" s="11">
        <v>2</v>
      </c>
      <c r="I9" s="10"/>
      <c r="J9" s="10"/>
      <c r="K9" s="10">
        <v>117</v>
      </c>
      <c r="L9" s="10">
        <v>19</v>
      </c>
      <c r="M9" s="23"/>
      <c r="N9" s="21"/>
      <c r="O9" s="33" t="s">
        <v>2310</v>
      </c>
    </row>
    <row r="10" ht="16.5" spans="2:15">
      <c r="B10" s="10" t="s">
        <v>26</v>
      </c>
      <c r="C10" s="10" t="s">
        <v>27</v>
      </c>
      <c r="D10" s="10"/>
      <c r="E10" s="10"/>
      <c r="F10" s="10" t="s">
        <v>680</v>
      </c>
      <c r="G10" s="11">
        <v>2</v>
      </c>
      <c r="H10" s="11">
        <v>10</v>
      </c>
      <c r="I10" s="10"/>
      <c r="J10" s="10"/>
      <c r="K10" s="10">
        <v>117</v>
      </c>
      <c r="L10" s="10">
        <v>19</v>
      </c>
      <c r="M10" s="23"/>
      <c r="N10" s="21"/>
      <c r="O10" s="34"/>
    </row>
    <row r="11" ht="115.5" customHeight="1" spans="2:15">
      <c r="B11" s="21" t="s">
        <v>72</v>
      </c>
      <c r="C11" s="10" t="s">
        <v>73</v>
      </c>
      <c r="D11" s="10"/>
      <c r="E11" s="10"/>
      <c r="F11" s="10" t="s">
        <v>2314</v>
      </c>
      <c r="G11" s="11">
        <v>0.05</v>
      </c>
      <c r="H11" s="11">
        <v>1</v>
      </c>
      <c r="I11" s="10"/>
      <c r="J11" s="10"/>
      <c r="K11" s="10">
        <v>123</v>
      </c>
      <c r="L11" s="10">
        <v>25</v>
      </c>
      <c r="M11" s="23" t="s">
        <v>668</v>
      </c>
      <c r="N11" s="21" t="s">
        <v>1769</v>
      </c>
      <c r="O11" s="32"/>
    </row>
    <row r="12" ht="16.5" spans="2:15">
      <c r="B12" s="21" t="s">
        <v>72</v>
      </c>
      <c r="C12" s="10" t="s">
        <v>73</v>
      </c>
      <c r="D12" s="10"/>
      <c r="E12" s="10"/>
      <c r="F12" s="10" t="s">
        <v>678</v>
      </c>
      <c r="G12" s="11">
        <v>1</v>
      </c>
      <c r="H12" s="11">
        <v>2</v>
      </c>
      <c r="I12" s="10"/>
      <c r="J12" s="10"/>
      <c r="K12" s="10">
        <v>123</v>
      </c>
      <c r="L12" s="10">
        <v>25</v>
      </c>
      <c r="M12" s="23"/>
      <c r="N12" s="21"/>
      <c r="O12" s="32"/>
    </row>
    <row r="13" ht="115.5" customHeight="1" spans="2:15">
      <c r="B13" s="21" t="s">
        <v>28</v>
      </c>
      <c r="C13" s="10" t="s">
        <v>29</v>
      </c>
      <c r="D13" s="10"/>
      <c r="E13" s="10"/>
      <c r="F13" s="10" t="s">
        <v>2314</v>
      </c>
      <c r="G13" s="11">
        <v>0.05</v>
      </c>
      <c r="H13" s="11">
        <v>1</v>
      </c>
      <c r="I13" s="10"/>
      <c r="J13" s="10"/>
      <c r="K13" s="10">
        <v>148</v>
      </c>
      <c r="L13" s="10">
        <v>34</v>
      </c>
      <c r="M13" s="23" t="s">
        <v>668</v>
      </c>
      <c r="N13" s="21" t="s">
        <v>1656</v>
      </c>
      <c r="O13" s="32"/>
    </row>
    <row r="14" ht="16.5" spans="2:15">
      <c r="B14" s="21" t="s">
        <v>28</v>
      </c>
      <c r="C14" s="10" t="s">
        <v>29</v>
      </c>
      <c r="D14" s="10"/>
      <c r="E14" s="10"/>
      <c r="F14" s="10" t="s">
        <v>678</v>
      </c>
      <c r="G14" s="11">
        <v>1</v>
      </c>
      <c r="H14" s="11">
        <v>2</v>
      </c>
      <c r="I14" s="10"/>
      <c r="J14" s="10"/>
      <c r="K14" s="10">
        <v>148</v>
      </c>
      <c r="L14" s="10">
        <v>34</v>
      </c>
      <c r="M14" s="23"/>
      <c r="N14" s="21"/>
      <c r="O14" s="32"/>
    </row>
    <row r="15" ht="115.5" customHeight="1" spans="2:15">
      <c r="B15" s="21" t="s">
        <v>32</v>
      </c>
      <c r="C15" s="10" t="s">
        <v>33</v>
      </c>
      <c r="D15" s="10"/>
      <c r="E15" s="10"/>
      <c r="F15" s="10" t="s">
        <v>2314</v>
      </c>
      <c r="G15" s="11">
        <v>0.05</v>
      </c>
      <c r="H15" s="11">
        <v>1</v>
      </c>
      <c r="I15" s="10"/>
      <c r="J15" s="10"/>
      <c r="K15" s="10">
        <v>136</v>
      </c>
      <c r="L15" s="10">
        <v>34</v>
      </c>
      <c r="M15" s="23" t="s">
        <v>668</v>
      </c>
      <c r="N15" s="21" t="s">
        <v>2315</v>
      </c>
      <c r="O15" s="32"/>
    </row>
    <row r="16" ht="16.5" spans="2:15">
      <c r="B16" s="21" t="s">
        <v>32</v>
      </c>
      <c r="C16" s="10" t="s">
        <v>33</v>
      </c>
      <c r="D16" s="10"/>
      <c r="E16" s="10"/>
      <c r="F16" s="10" t="s">
        <v>678</v>
      </c>
      <c r="G16" s="11">
        <v>1</v>
      </c>
      <c r="H16" s="11">
        <v>2</v>
      </c>
      <c r="I16" s="10"/>
      <c r="J16" s="10"/>
      <c r="K16" s="10">
        <v>136</v>
      </c>
      <c r="L16" s="10">
        <v>34</v>
      </c>
      <c r="M16" s="23"/>
      <c r="N16" s="21"/>
      <c r="O16" s="32"/>
    </row>
    <row r="17" ht="115.5" customHeight="1" spans="2:15">
      <c r="B17" s="21" t="s">
        <v>34</v>
      </c>
      <c r="C17" s="10" t="s">
        <v>35</v>
      </c>
      <c r="D17" s="10"/>
      <c r="E17" s="10"/>
      <c r="F17" s="10" t="s">
        <v>2314</v>
      </c>
      <c r="G17" s="11">
        <v>0.05</v>
      </c>
      <c r="H17" s="11">
        <v>1</v>
      </c>
      <c r="I17" s="10"/>
      <c r="J17" s="10"/>
      <c r="K17" s="10">
        <v>131</v>
      </c>
      <c r="L17" s="10">
        <v>28</v>
      </c>
      <c r="M17" s="23" t="s">
        <v>668</v>
      </c>
      <c r="N17" s="21" t="s">
        <v>1853</v>
      </c>
      <c r="O17" s="32"/>
    </row>
    <row r="18" ht="16.5" spans="2:15">
      <c r="B18" s="21" t="s">
        <v>34</v>
      </c>
      <c r="C18" s="10" t="s">
        <v>35</v>
      </c>
      <c r="D18" s="10"/>
      <c r="E18" s="10"/>
      <c r="F18" s="10" t="s">
        <v>678</v>
      </c>
      <c r="G18" s="11">
        <v>1</v>
      </c>
      <c r="H18" s="11">
        <v>2</v>
      </c>
      <c r="I18" s="10"/>
      <c r="J18" s="10"/>
      <c r="K18" s="10">
        <v>131</v>
      </c>
      <c r="L18" s="10">
        <v>28</v>
      </c>
      <c r="M18" s="23"/>
      <c r="N18" s="21"/>
      <c r="O18" s="32"/>
    </row>
    <row r="19" ht="115.5" customHeight="1" spans="2:15">
      <c r="B19" s="21" t="s">
        <v>62</v>
      </c>
      <c r="C19" s="10" t="s">
        <v>63</v>
      </c>
      <c r="D19" s="10"/>
      <c r="E19" s="10"/>
      <c r="F19" s="10" t="s">
        <v>2314</v>
      </c>
      <c r="G19" s="11">
        <v>0.05</v>
      </c>
      <c r="H19" s="11">
        <v>1</v>
      </c>
      <c r="I19" s="10"/>
      <c r="J19" s="10"/>
      <c r="K19" s="10">
        <v>135</v>
      </c>
      <c r="L19" s="10">
        <v>27</v>
      </c>
      <c r="M19" s="23" t="s">
        <v>668</v>
      </c>
      <c r="N19" s="21" t="s">
        <v>2315</v>
      </c>
      <c r="O19" s="32"/>
    </row>
    <row r="20" ht="16.5" spans="2:15">
      <c r="B20" s="21" t="s">
        <v>62</v>
      </c>
      <c r="C20" s="10" t="s">
        <v>63</v>
      </c>
      <c r="D20" s="10"/>
      <c r="E20" s="10"/>
      <c r="F20" s="10" t="s">
        <v>678</v>
      </c>
      <c r="G20" s="11">
        <v>1</v>
      </c>
      <c r="H20" s="11">
        <v>2</v>
      </c>
      <c r="I20" s="10"/>
      <c r="J20" s="10"/>
      <c r="K20" s="10">
        <v>135</v>
      </c>
      <c r="L20" s="10">
        <v>27</v>
      </c>
      <c r="M20" s="23"/>
      <c r="N20" s="21"/>
      <c r="O20" s="32"/>
    </row>
    <row r="21" ht="99" customHeight="1" spans="2:15">
      <c r="B21" s="10" t="s">
        <v>94</v>
      </c>
      <c r="C21" s="10" t="s">
        <v>95</v>
      </c>
      <c r="D21" s="10"/>
      <c r="E21" s="10"/>
      <c r="F21" s="10" t="s">
        <v>2306</v>
      </c>
      <c r="G21" s="11">
        <v>0.05</v>
      </c>
      <c r="H21" s="11">
        <v>0.5</v>
      </c>
      <c r="I21" s="10"/>
      <c r="J21" s="10"/>
      <c r="K21" s="10">
        <v>136</v>
      </c>
      <c r="L21" s="10">
        <v>22</v>
      </c>
      <c r="M21" s="23" t="s">
        <v>2316</v>
      </c>
      <c r="N21" s="21" t="s">
        <v>1741</v>
      </c>
      <c r="O21" s="22"/>
    </row>
    <row r="22" ht="16.5" spans="2:15">
      <c r="B22" s="10" t="s">
        <v>94</v>
      </c>
      <c r="C22" s="10" t="s">
        <v>95</v>
      </c>
      <c r="D22" s="10"/>
      <c r="E22" s="10"/>
      <c r="F22" s="10" t="s">
        <v>2308</v>
      </c>
      <c r="G22" s="11">
        <v>0.5</v>
      </c>
      <c r="H22" s="11">
        <v>1</v>
      </c>
      <c r="I22" s="10"/>
      <c r="J22" s="10"/>
      <c r="K22" s="10">
        <v>136</v>
      </c>
      <c r="L22" s="10">
        <v>22</v>
      </c>
      <c r="M22" s="23"/>
      <c r="N22" s="21"/>
      <c r="O22" s="22"/>
    </row>
    <row r="23" ht="16.5" spans="2:15">
      <c r="B23" s="10" t="s">
        <v>94</v>
      </c>
      <c r="C23" s="10" t="s">
        <v>95</v>
      </c>
      <c r="D23" s="10"/>
      <c r="E23" s="10"/>
      <c r="F23" s="10" t="s">
        <v>2309</v>
      </c>
      <c r="G23" s="11">
        <v>1</v>
      </c>
      <c r="H23" s="11">
        <v>5</v>
      </c>
      <c r="I23" s="10"/>
      <c r="J23" s="10"/>
      <c r="K23" s="10">
        <v>136</v>
      </c>
      <c r="L23" s="10">
        <v>22</v>
      </c>
      <c r="M23" s="23"/>
      <c r="N23" s="21"/>
      <c r="O23" s="22"/>
    </row>
    <row r="24" ht="16.5" spans="2:12">
      <c r="B24" t="s">
        <v>24</v>
      </c>
      <c r="C24" s="1" t="s">
        <v>25</v>
      </c>
      <c r="F24" s="10" t="s">
        <v>2298</v>
      </c>
      <c r="G24">
        <v>0.05</v>
      </c>
      <c r="H24" s="11">
        <v>0.1</v>
      </c>
      <c r="K24" s="35">
        <v>128</v>
      </c>
      <c r="L24" s="35">
        <v>29</v>
      </c>
    </row>
    <row r="25" ht="16.5" spans="2:12">
      <c r="B25" t="s">
        <v>24</v>
      </c>
      <c r="C25" s="1" t="s">
        <v>25</v>
      </c>
      <c r="F25" s="10" t="s">
        <v>2301</v>
      </c>
      <c r="G25">
        <v>0.1</v>
      </c>
      <c r="H25" s="11">
        <v>0.2</v>
      </c>
      <c r="K25" s="35">
        <v>128</v>
      </c>
      <c r="L25" s="35">
        <v>29</v>
      </c>
    </row>
    <row r="26" ht="16.5" spans="2:12">
      <c r="B26" t="s">
        <v>24</v>
      </c>
      <c r="C26" s="1" t="s">
        <v>25</v>
      </c>
      <c r="F26" s="10" t="s">
        <v>2302</v>
      </c>
      <c r="G26">
        <v>0.2</v>
      </c>
      <c r="H26" s="11">
        <v>0.3</v>
      </c>
      <c r="K26" s="35">
        <v>128</v>
      </c>
      <c r="L26" s="35">
        <v>29</v>
      </c>
    </row>
    <row r="27" ht="16.5" spans="2:12">
      <c r="B27" t="s">
        <v>24</v>
      </c>
      <c r="C27" s="1" t="s">
        <v>25</v>
      </c>
      <c r="F27" s="10" t="s">
        <v>2303</v>
      </c>
      <c r="G27">
        <v>0.3</v>
      </c>
      <c r="H27" s="11">
        <v>0.453</v>
      </c>
      <c r="K27" s="35">
        <v>145</v>
      </c>
      <c r="L27" s="35">
        <v>24</v>
      </c>
    </row>
    <row r="28" ht="16.5" spans="2:12">
      <c r="B28" t="s">
        <v>24</v>
      </c>
      <c r="C28" s="1" t="s">
        <v>25</v>
      </c>
      <c r="F28" s="10" t="s">
        <v>2304</v>
      </c>
      <c r="G28">
        <v>0.453</v>
      </c>
      <c r="H28" s="11">
        <v>0.7</v>
      </c>
      <c r="K28" s="35">
        <v>161</v>
      </c>
      <c r="L28" s="35">
        <v>24</v>
      </c>
    </row>
    <row r="29" ht="16.5" spans="2:12">
      <c r="B29" t="s">
        <v>24</v>
      </c>
      <c r="C29" s="1" t="s">
        <v>25</v>
      </c>
      <c r="F29" s="10" t="s">
        <v>2305</v>
      </c>
      <c r="G29">
        <v>0.7</v>
      </c>
      <c r="H29" s="11">
        <v>1</v>
      </c>
      <c r="K29" s="35">
        <v>161</v>
      </c>
      <c r="L29" s="35">
        <v>24</v>
      </c>
    </row>
    <row r="30" ht="16.5" spans="2:12">
      <c r="B30" t="s">
        <v>24</v>
      </c>
      <c r="C30" s="1" t="s">
        <v>25</v>
      </c>
      <c r="F30" s="10" t="s">
        <v>678</v>
      </c>
      <c r="G30">
        <v>1</v>
      </c>
      <c r="H30" s="11">
        <v>2</v>
      </c>
      <c r="K30" s="35">
        <v>161</v>
      </c>
      <c r="L30" s="35">
        <v>17</v>
      </c>
    </row>
  </sheetData>
  <sheetProtection formatCells="0" formatColumns="0" formatRows="0" insertRows="0" insertColumns="0" insertHyperlinks="0" deleteColumns="0" deleteRows="0" sort="0" autoFilter="0" pivotTables="0"/>
  <autoFilter xmlns:etc="http://www.wps.cn/officeDocument/2017/etCustomData" ref="B2:O30" etc:filterBottomFollowUsedRange="1">
    <extLst/>
  </autoFilter>
  <mergeCells count="17">
    <mergeCell ref="F1:M1"/>
    <mergeCell ref="M3:M7"/>
    <mergeCell ref="M8:M10"/>
    <mergeCell ref="M11:M12"/>
    <mergeCell ref="M13:M14"/>
    <mergeCell ref="M15:M16"/>
    <mergeCell ref="M17:M18"/>
    <mergeCell ref="M19:M20"/>
    <mergeCell ref="M21:M23"/>
    <mergeCell ref="N3:N7"/>
    <mergeCell ref="N8:N10"/>
    <mergeCell ref="N11:N12"/>
    <mergeCell ref="N13:N14"/>
    <mergeCell ref="N15:N16"/>
    <mergeCell ref="N17:N18"/>
    <mergeCell ref="N19:N20"/>
    <mergeCell ref="N21:N23"/>
  </mergeCells>
  <hyperlinks>
    <hyperlink ref="O1" location="产品目录!A1" display="返回目录"/>
    <hyperlink ref="O9" location="'英国-EVRI偏远邮编'!A1" display="英国-EVRI偏远邮编"/>
  </hyperlink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O56"/>
  <sheetViews>
    <sheetView topLeftCell="B19" workbookViewId="0">
      <selection activeCell="G3" sqref="G3:H56"/>
    </sheetView>
  </sheetViews>
  <sheetFormatPr defaultColWidth="9" defaultRowHeight="13.5"/>
  <sheetData>
    <row r="1" ht="110.25" customHeight="1" spans="2:15">
      <c r="B1" s="5"/>
      <c r="C1" s="5"/>
      <c r="D1" s="5"/>
      <c r="E1" s="5"/>
      <c r="F1" s="6" t="s">
        <v>2405</v>
      </c>
      <c r="G1" s="6"/>
      <c r="H1" s="6"/>
      <c r="I1" s="6"/>
      <c r="J1" s="6"/>
      <c r="K1" s="6"/>
      <c r="L1" s="6"/>
      <c r="M1" s="6"/>
      <c r="N1" s="12" t="s">
        <v>2295</v>
      </c>
      <c r="O1" s="13" t="s">
        <v>660</v>
      </c>
    </row>
    <row r="2" ht="16.5" spans="2:15">
      <c r="B2" s="7" t="s">
        <v>661</v>
      </c>
      <c r="C2" s="8"/>
      <c r="D2" s="8"/>
      <c r="E2" s="8"/>
      <c r="F2" s="9" t="s">
        <v>662</v>
      </c>
      <c r="G2" s="9"/>
      <c r="H2" s="9"/>
      <c r="I2" s="9"/>
      <c r="J2" s="9"/>
      <c r="K2" s="14" t="s">
        <v>663</v>
      </c>
      <c r="L2" s="15" t="s">
        <v>664</v>
      </c>
      <c r="M2" s="16" t="s">
        <v>665</v>
      </c>
      <c r="N2" s="17" t="s">
        <v>666</v>
      </c>
      <c r="O2" s="18"/>
    </row>
    <row r="3" ht="115.5" customHeight="1" spans="2:15">
      <c r="B3" s="10" t="s">
        <v>72</v>
      </c>
      <c r="C3" s="10" t="s">
        <v>73</v>
      </c>
      <c r="D3" s="10"/>
      <c r="E3" s="10"/>
      <c r="F3" s="10" t="s">
        <v>675</v>
      </c>
      <c r="G3" s="11">
        <v>0.01</v>
      </c>
      <c r="H3" s="11">
        <v>1</v>
      </c>
      <c r="I3" s="11"/>
      <c r="J3" s="11"/>
      <c r="K3" s="19">
        <v>111</v>
      </c>
      <c r="L3" s="10">
        <v>27</v>
      </c>
      <c r="M3" s="20" t="s">
        <v>668</v>
      </c>
      <c r="N3" s="21" t="s">
        <v>682</v>
      </c>
      <c r="O3" s="22"/>
    </row>
    <row r="4" ht="16.5" spans="2:15">
      <c r="B4" s="10" t="s">
        <v>72</v>
      </c>
      <c r="C4" s="10" t="s">
        <v>73</v>
      </c>
      <c r="D4" s="10"/>
      <c r="E4" s="10"/>
      <c r="F4" s="10" t="s">
        <v>678</v>
      </c>
      <c r="G4" s="11">
        <v>1</v>
      </c>
      <c r="H4" s="11">
        <v>2</v>
      </c>
      <c r="I4" s="11"/>
      <c r="J4" s="11"/>
      <c r="K4" s="19">
        <v>111</v>
      </c>
      <c r="L4" s="10">
        <v>27</v>
      </c>
      <c r="M4" s="20"/>
      <c r="N4" s="21"/>
      <c r="O4" s="22"/>
    </row>
    <row r="5" ht="115.5" customHeight="1" spans="2:15">
      <c r="B5" s="10" t="s">
        <v>28</v>
      </c>
      <c r="C5" s="10" t="s">
        <v>29</v>
      </c>
      <c r="D5" s="10"/>
      <c r="E5" s="10"/>
      <c r="F5" s="10" t="s">
        <v>675</v>
      </c>
      <c r="G5" s="11">
        <v>0.01</v>
      </c>
      <c r="H5" s="11">
        <v>1</v>
      </c>
      <c r="I5" s="11"/>
      <c r="J5" s="11"/>
      <c r="K5" s="19">
        <v>137</v>
      </c>
      <c r="L5" s="10">
        <v>35</v>
      </c>
      <c r="M5" s="20" t="s">
        <v>668</v>
      </c>
      <c r="N5" s="21" t="s">
        <v>682</v>
      </c>
      <c r="O5" s="22"/>
    </row>
    <row r="6" ht="16.5" spans="2:15">
      <c r="B6" s="10" t="s">
        <v>28</v>
      </c>
      <c r="C6" s="10" t="s">
        <v>29</v>
      </c>
      <c r="D6" s="10"/>
      <c r="E6" s="10"/>
      <c r="F6" s="10" t="s">
        <v>678</v>
      </c>
      <c r="G6" s="11">
        <v>1</v>
      </c>
      <c r="H6" s="11">
        <v>2</v>
      </c>
      <c r="I6" s="11"/>
      <c r="J6" s="11"/>
      <c r="K6" s="19">
        <v>137</v>
      </c>
      <c r="L6" s="10">
        <v>35</v>
      </c>
      <c r="M6" s="20"/>
      <c r="N6" s="21"/>
      <c r="O6" s="22"/>
    </row>
    <row r="7" ht="115.5" customHeight="1" spans="2:15">
      <c r="B7" s="10" t="s">
        <v>32</v>
      </c>
      <c r="C7" s="10" t="s">
        <v>33</v>
      </c>
      <c r="D7" s="10"/>
      <c r="E7" s="10"/>
      <c r="F7" s="10" t="s">
        <v>675</v>
      </c>
      <c r="G7" s="11">
        <v>0.01</v>
      </c>
      <c r="H7" s="11">
        <v>1</v>
      </c>
      <c r="I7" s="11"/>
      <c r="J7" s="11"/>
      <c r="K7" s="19">
        <v>126</v>
      </c>
      <c r="L7" s="10">
        <v>36</v>
      </c>
      <c r="M7" s="20" t="s">
        <v>668</v>
      </c>
      <c r="N7" s="21" t="s">
        <v>682</v>
      </c>
      <c r="O7" s="22"/>
    </row>
    <row r="8" ht="16.5" spans="2:15">
      <c r="B8" s="10" t="s">
        <v>32</v>
      </c>
      <c r="C8" s="10" t="s">
        <v>33</v>
      </c>
      <c r="D8" s="10"/>
      <c r="E8" s="10"/>
      <c r="F8" s="10" t="s">
        <v>678</v>
      </c>
      <c r="G8" s="11">
        <v>1</v>
      </c>
      <c r="H8" s="11">
        <v>2</v>
      </c>
      <c r="I8" s="11"/>
      <c r="J8" s="11"/>
      <c r="K8" s="19">
        <v>126</v>
      </c>
      <c r="L8" s="10">
        <v>36</v>
      </c>
      <c r="M8" s="20"/>
      <c r="N8" s="21"/>
      <c r="O8" s="22"/>
    </row>
    <row r="9" ht="115.5" customHeight="1" spans="2:15">
      <c r="B9" s="10" t="s">
        <v>34</v>
      </c>
      <c r="C9" s="10" t="s">
        <v>35</v>
      </c>
      <c r="D9" s="10"/>
      <c r="E9" s="10"/>
      <c r="F9" s="10" t="s">
        <v>675</v>
      </c>
      <c r="G9" s="11">
        <v>0.01</v>
      </c>
      <c r="H9" s="11">
        <v>1</v>
      </c>
      <c r="I9" s="11"/>
      <c r="J9" s="11"/>
      <c r="K9" s="19">
        <v>122</v>
      </c>
      <c r="L9" s="10">
        <v>29</v>
      </c>
      <c r="M9" s="20" t="s">
        <v>668</v>
      </c>
      <c r="N9" s="21" t="s">
        <v>682</v>
      </c>
      <c r="O9" s="22"/>
    </row>
    <row r="10" ht="16.5" spans="2:15">
      <c r="B10" s="10" t="s">
        <v>34</v>
      </c>
      <c r="C10" s="10" t="s">
        <v>35</v>
      </c>
      <c r="D10" s="10"/>
      <c r="E10" s="10"/>
      <c r="F10" s="10" t="s">
        <v>678</v>
      </c>
      <c r="G10" s="11">
        <v>1</v>
      </c>
      <c r="H10" s="11">
        <v>2</v>
      </c>
      <c r="I10" s="11"/>
      <c r="J10" s="11"/>
      <c r="K10" s="19">
        <v>122</v>
      </c>
      <c r="L10" s="10">
        <v>29</v>
      </c>
      <c r="M10" s="20"/>
      <c r="N10" s="21"/>
      <c r="O10" s="22"/>
    </row>
    <row r="11" ht="115.5" customHeight="1" spans="2:15">
      <c r="B11" s="10" t="s">
        <v>62</v>
      </c>
      <c r="C11" s="10" t="s">
        <v>63</v>
      </c>
      <c r="D11" s="10"/>
      <c r="E11" s="10"/>
      <c r="F11" s="10" t="s">
        <v>675</v>
      </c>
      <c r="G11" s="11">
        <v>0.01</v>
      </c>
      <c r="H11" s="11">
        <v>1</v>
      </c>
      <c r="I11" s="11"/>
      <c r="J11" s="11"/>
      <c r="K11" s="19">
        <v>124</v>
      </c>
      <c r="L11" s="10">
        <v>29</v>
      </c>
      <c r="M11" s="20" t="s">
        <v>668</v>
      </c>
      <c r="N11" s="21" t="s">
        <v>682</v>
      </c>
      <c r="O11" s="22"/>
    </row>
    <row r="12" ht="16.5" spans="2:15">
      <c r="B12" s="10" t="s">
        <v>62</v>
      </c>
      <c r="C12" s="10" t="s">
        <v>63</v>
      </c>
      <c r="D12" s="10"/>
      <c r="E12" s="10"/>
      <c r="F12" s="10" t="s">
        <v>678</v>
      </c>
      <c r="G12" s="11">
        <v>1</v>
      </c>
      <c r="H12" s="11">
        <v>2</v>
      </c>
      <c r="I12" s="11"/>
      <c r="J12" s="11"/>
      <c r="K12" s="19">
        <v>124</v>
      </c>
      <c r="L12" s="10">
        <v>29</v>
      </c>
      <c r="M12" s="20"/>
      <c r="N12" s="21"/>
      <c r="O12" s="22"/>
    </row>
    <row r="13" ht="115.5" customHeight="1" spans="2:15">
      <c r="B13" s="10" t="s">
        <v>92</v>
      </c>
      <c r="C13" s="10" t="s">
        <v>93</v>
      </c>
      <c r="D13" s="10"/>
      <c r="E13" s="10"/>
      <c r="F13" s="10" t="s">
        <v>675</v>
      </c>
      <c r="G13" s="11">
        <v>0.01</v>
      </c>
      <c r="H13" s="11">
        <v>1</v>
      </c>
      <c r="I13" s="11"/>
      <c r="J13" s="11"/>
      <c r="K13" s="19">
        <v>127</v>
      </c>
      <c r="L13" s="10">
        <v>46</v>
      </c>
      <c r="M13" s="20" t="s">
        <v>668</v>
      </c>
      <c r="N13" s="21" t="s">
        <v>682</v>
      </c>
      <c r="O13" s="22"/>
    </row>
    <row r="14" ht="16.5" spans="2:15">
      <c r="B14" s="10" t="s">
        <v>92</v>
      </c>
      <c r="C14" s="10" t="s">
        <v>93</v>
      </c>
      <c r="D14" s="10"/>
      <c r="E14" s="10"/>
      <c r="F14" s="10" t="s">
        <v>678</v>
      </c>
      <c r="G14" s="11">
        <v>1</v>
      </c>
      <c r="H14" s="11">
        <v>2</v>
      </c>
      <c r="I14" s="11"/>
      <c r="J14" s="11"/>
      <c r="K14" s="19">
        <v>127</v>
      </c>
      <c r="L14" s="10">
        <v>46</v>
      </c>
      <c r="M14" s="20"/>
      <c r="N14" s="21"/>
      <c r="O14" s="22"/>
    </row>
    <row r="15" ht="115.5" customHeight="1" spans="2:15">
      <c r="B15" s="10" t="s">
        <v>36</v>
      </c>
      <c r="C15" s="10" t="s">
        <v>37</v>
      </c>
      <c r="D15" s="10"/>
      <c r="E15" s="10"/>
      <c r="F15" s="10" t="s">
        <v>675</v>
      </c>
      <c r="G15" s="11">
        <v>0.01</v>
      </c>
      <c r="H15" s="11">
        <v>1</v>
      </c>
      <c r="I15" s="11"/>
      <c r="J15" s="11"/>
      <c r="K15" s="19">
        <v>119</v>
      </c>
      <c r="L15" s="10">
        <v>32</v>
      </c>
      <c r="M15" s="20" t="s">
        <v>668</v>
      </c>
      <c r="N15" s="21" t="s">
        <v>682</v>
      </c>
      <c r="O15" s="22"/>
    </row>
    <row r="16" ht="16.5" spans="2:15">
      <c r="B16" s="10" t="s">
        <v>36</v>
      </c>
      <c r="C16" s="10" t="s">
        <v>37</v>
      </c>
      <c r="D16" s="10"/>
      <c r="E16" s="10"/>
      <c r="F16" s="10" t="s">
        <v>678</v>
      </c>
      <c r="G16" s="11">
        <v>1</v>
      </c>
      <c r="H16" s="11">
        <v>2</v>
      </c>
      <c r="I16" s="11"/>
      <c r="J16" s="11"/>
      <c r="K16" s="19">
        <v>119</v>
      </c>
      <c r="L16" s="10">
        <v>32</v>
      </c>
      <c r="M16" s="20"/>
      <c r="N16" s="21"/>
      <c r="O16" s="22"/>
    </row>
    <row r="17" ht="115.5" customHeight="1" spans="2:15">
      <c r="B17" s="10" t="s">
        <v>40</v>
      </c>
      <c r="C17" s="10" t="s">
        <v>41</v>
      </c>
      <c r="D17" s="10"/>
      <c r="E17" s="10"/>
      <c r="F17" s="10" t="s">
        <v>675</v>
      </c>
      <c r="G17" s="11">
        <v>0.01</v>
      </c>
      <c r="H17" s="11">
        <v>1</v>
      </c>
      <c r="I17" s="11"/>
      <c r="J17" s="11"/>
      <c r="K17" s="10">
        <v>104</v>
      </c>
      <c r="L17" s="10">
        <v>32</v>
      </c>
      <c r="M17" s="20" t="s">
        <v>668</v>
      </c>
      <c r="N17" s="21" t="s">
        <v>682</v>
      </c>
      <c r="O17" s="22"/>
    </row>
    <row r="18" ht="16.5" spans="2:15">
      <c r="B18" s="10" t="s">
        <v>40</v>
      </c>
      <c r="C18" s="10" t="s">
        <v>41</v>
      </c>
      <c r="D18" s="10"/>
      <c r="E18" s="10"/>
      <c r="F18" s="10" t="s">
        <v>678</v>
      </c>
      <c r="G18" s="11">
        <v>1</v>
      </c>
      <c r="H18" s="11">
        <v>2</v>
      </c>
      <c r="I18" s="11"/>
      <c r="J18" s="11"/>
      <c r="K18" s="10">
        <v>104</v>
      </c>
      <c r="L18" s="10">
        <v>32</v>
      </c>
      <c r="M18" s="20"/>
      <c r="N18" s="21"/>
      <c r="O18" s="22"/>
    </row>
    <row r="19" ht="115.5" customHeight="1" spans="2:15">
      <c r="B19" s="10" t="s">
        <v>70</v>
      </c>
      <c r="C19" s="10" t="s">
        <v>71</v>
      </c>
      <c r="D19" s="10"/>
      <c r="E19" s="10"/>
      <c r="F19" s="10" t="s">
        <v>675</v>
      </c>
      <c r="G19" s="11">
        <v>0.01</v>
      </c>
      <c r="H19" s="11">
        <v>1</v>
      </c>
      <c r="I19" s="11"/>
      <c r="J19" s="11"/>
      <c r="K19" s="10">
        <v>115</v>
      </c>
      <c r="L19" s="10">
        <v>48</v>
      </c>
      <c r="M19" s="20" t="s">
        <v>668</v>
      </c>
      <c r="N19" s="21" t="s">
        <v>682</v>
      </c>
      <c r="O19" s="22"/>
    </row>
    <row r="20" ht="16.5" spans="2:15">
      <c r="B20" s="10" t="s">
        <v>70</v>
      </c>
      <c r="C20" s="10" t="s">
        <v>71</v>
      </c>
      <c r="D20" s="10"/>
      <c r="E20" s="10"/>
      <c r="F20" s="10" t="s">
        <v>678</v>
      </c>
      <c r="G20" s="11">
        <v>1</v>
      </c>
      <c r="H20" s="11">
        <v>2</v>
      </c>
      <c r="I20" s="11"/>
      <c r="J20" s="11"/>
      <c r="K20" s="10">
        <v>115</v>
      </c>
      <c r="L20" s="10">
        <v>48</v>
      </c>
      <c r="M20" s="20"/>
      <c r="N20" s="21"/>
      <c r="O20" s="22"/>
    </row>
    <row r="21" ht="115.5" customHeight="1" spans="2:15">
      <c r="B21" s="10" t="s">
        <v>30</v>
      </c>
      <c r="C21" s="10" t="s">
        <v>31</v>
      </c>
      <c r="D21" s="10"/>
      <c r="E21" s="10"/>
      <c r="F21" s="10" t="s">
        <v>675</v>
      </c>
      <c r="G21" s="11">
        <v>0.01</v>
      </c>
      <c r="H21" s="11">
        <v>1</v>
      </c>
      <c r="I21" s="11"/>
      <c r="J21" s="11"/>
      <c r="K21" s="10">
        <v>109</v>
      </c>
      <c r="L21" s="10">
        <v>40</v>
      </c>
      <c r="M21" s="20" t="s">
        <v>668</v>
      </c>
      <c r="N21" s="21" t="s">
        <v>682</v>
      </c>
      <c r="O21" s="22"/>
    </row>
    <row r="22" ht="16.5" spans="2:15">
      <c r="B22" s="10" t="s">
        <v>30</v>
      </c>
      <c r="C22" s="10" t="s">
        <v>31</v>
      </c>
      <c r="D22" s="10"/>
      <c r="E22" s="10"/>
      <c r="F22" s="10" t="s">
        <v>678</v>
      </c>
      <c r="G22" s="11">
        <v>1</v>
      </c>
      <c r="H22" s="11">
        <v>2</v>
      </c>
      <c r="I22" s="11"/>
      <c r="J22" s="11"/>
      <c r="K22" s="10">
        <v>109</v>
      </c>
      <c r="L22" s="10">
        <v>26</v>
      </c>
      <c r="M22" s="20"/>
      <c r="N22" s="21"/>
      <c r="O22" s="22"/>
    </row>
    <row r="23" ht="115.5" customHeight="1" spans="2:15">
      <c r="B23" s="10" t="s">
        <v>48</v>
      </c>
      <c r="C23" s="10" t="s">
        <v>49</v>
      </c>
      <c r="D23" s="10"/>
      <c r="E23" s="10"/>
      <c r="F23" s="10" t="s">
        <v>675</v>
      </c>
      <c r="G23" s="11">
        <v>0.01</v>
      </c>
      <c r="H23" s="11">
        <v>1</v>
      </c>
      <c r="I23" s="11"/>
      <c r="J23" s="11"/>
      <c r="K23" s="10">
        <v>121</v>
      </c>
      <c r="L23" s="10">
        <v>46</v>
      </c>
      <c r="M23" s="20" t="s">
        <v>668</v>
      </c>
      <c r="N23" s="21" t="s">
        <v>682</v>
      </c>
      <c r="O23" s="22"/>
    </row>
    <row r="24" ht="16.5" spans="2:15">
      <c r="B24" s="10" t="s">
        <v>48</v>
      </c>
      <c r="C24" s="10" t="s">
        <v>49</v>
      </c>
      <c r="D24" s="10"/>
      <c r="E24" s="10"/>
      <c r="F24" s="10" t="s">
        <v>678</v>
      </c>
      <c r="G24" s="11">
        <v>1</v>
      </c>
      <c r="H24" s="11">
        <v>2</v>
      </c>
      <c r="I24" s="11"/>
      <c r="J24" s="11"/>
      <c r="K24" s="10">
        <v>121</v>
      </c>
      <c r="L24" s="10">
        <v>46</v>
      </c>
      <c r="M24" s="20"/>
      <c r="N24" s="21"/>
      <c r="O24" s="22"/>
    </row>
    <row r="25" ht="115.5" customHeight="1" spans="2:15">
      <c r="B25" s="10" t="s">
        <v>60</v>
      </c>
      <c r="C25" s="10" t="s">
        <v>61</v>
      </c>
      <c r="D25" s="10"/>
      <c r="E25" s="10"/>
      <c r="F25" s="10" t="s">
        <v>675</v>
      </c>
      <c r="G25" s="11">
        <v>0.01</v>
      </c>
      <c r="H25" s="11">
        <v>1</v>
      </c>
      <c r="I25" s="11"/>
      <c r="J25" s="11"/>
      <c r="K25" s="10">
        <v>117</v>
      </c>
      <c r="L25" s="10">
        <v>47</v>
      </c>
      <c r="M25" s="20" t="s">
        <v>668</v>
      </c>
      <c r="N25" s="21" t="s">
        <v>682</v>
      </c>
      <c r="O25" s="22"/>
    </row>
    <row r="26" ht="16.5" spans="2:15">
      <c r="B26" s="10" t="s">
        <v>60</v>
      </c>
      <c r="C26" s="10" t="s">
        <v>61</v>
      </c>
      <c r="D26" s="10"/>
      <c r="E26" s="10"/>
      <c r="F26" s="10" t="s">
        <v>678</v>
      </c>
      <c r="G26" s="11">
        <v>1</v>
      </c>
      <c r="H26" s="11">
        <v>2</v>
      </c>
      <c r="I26" s="11"/>
      <c r="J26" s="11"/>
      <c r="K26" s="10">
        <v>117</v>
      </c>
      <c r="L26" s="10">
        <v>34</v>
      </c>
      <c r="M26" s="20"/>
      <c r="N26" s="21"/>
      <c r="O26" s="22"/>
    </row>
    <row r="27" ht="115.5" customHeight="1" spans="2:15">
      <c r="B27" s="10" t="s">
        <v>66</v>
      </c>
      <c r="C27" s="10" t="s">
        <v>67</v>
      </c>
      <c r="D27" s="10"/>
      <c r="E27" s="10"/>
      <c r="F27" s="10" t="s">
        <v>675</v>
      </c>
      <c r="G27" s="11">
        <v>0.01</v>
      </c>
      <c r="H27" s="11">
        <v>1</v>
      </c>
      <c r="I27" s="11"/>
      <c r="J27" s="11"/>
      <c r="K27" s="10">
        <v>112</v>
      </c>
      <c r="L27" s="10">
        <v>34</v>
      </c>
      <c r="M27" s="20" t="s">
        <v>668</v>
      </c>
      <c r="N27" s="21" t="s">
        <v>684</v>
      </c>
      <c r="O27" s="22"/>
    </row>
    <row r="28" ht="16.5" spans="2:15">
      <c r="B28" s="10" t="s">
        <v>66</v>
      </c>
      <c r="C28" s="10" t="s">
        <v>67</v>
      </c>
      <c r="D28" s="10"/>
      <c r="E28" s="10"/>
      <c r="F28" s="10" t="s">
        <v>678</v>
      </c>
      <c r="G28" s="11">
        <v>1</v>
      </c>
      <c r="H28" s="11">
        <v>2</v>
      </c>
      <c r="I28" s="11"/>
      <c r="J28" s="11"/>
      <c r="K28" s="10">
        <v>112</v>
      </c>
      <c r="L28" s="10">
        <v>34</v>
      </c>
      <c r="M28" s="20"/>
      <c r="N28" s="21"/>
      <c r="O28" s="22"/>
    </row>
    <row r="29" ht="115.5" customHeight="1" spans="2:15">
      <c r="B29" s="10" t="s">
        <v>68</v>
      </c>
      <c r="C29" s="10" t="s">
        <v>69</v>
      </c>
      <c r="D29" s="10"/>
      <c r="E29" s="10"/>
      <c r="F29" s="10" t="s">
        <v>675</v>
      </c>
      <c r="G29" s="11">
        <v>0.01</v>
      </c>
      <c r="H29" s="11">
        <v>1</v>
      </c>
      <c r="I29" s="11"/>
      <c r="J29" s="11"/>
      <c r="K29" s="10">
        <v>138</v>
      </c>
      <c r="L29" s="10">
        <v>77</v>
      </c>
      <c r="M29" s="20" t="s">
        <v>668</v>
      </c>
      <c r="N29" s="21" t="s">
        <v>682</v>
      </c>
      <c r="O29" s="22"/>
    </row>
    <row r="30" ht="16.5" spans="2:15">
      <c r="B30" s="10" t="s">
        <v>68</v>
      </c>
      <c r="C30" s="10" t="s">
        <v>69</v>
      </c>
      <c r="D30" s="10"/>
      <c r="E30" s="10"/>
      <c r="F30" s="10" t="s">
        <v>678</v>
      </c>
      <c r="G30" s="11">
        <v>1</v>
      </c>
      <c r="H30" s="11">
        <v>2</v>
      </c>
      <c r="I30" s="11"/>
      <c r="J30" s="11"/>
      <c r="K30" s="10">
        <v>138</v>
      </c>
      <c r="L30" s="10">
        <v>48</v>
      </c>
      <c r="M30" s="20"/>
      <c r="N30" s="21"/>
      <c r="O30" s="22"/>
    </row>
    <row r="31" ht="115.5" customHeight="1" spans="2:15">
      <c r="B31" s="10" t="s">
        <v>42</v>
      </c>
      <c r="C31" s="10" t="s">
        <v>43</v>
      </c>
      <c r="D31" s="10"/>
      <c r="E31" s="10"/>
      <c r="F31" s="10" t="s">
        <v>675</v>
      </c>
      <c r="G31" s="11">
        <v>0.01</v>
      </c>
      <c r="H31" s="11">
        <v>1</v>
      </c>
      <c r="I31" s="11"/>
      <c r="J31" s="11"/>
      <c r="K31" s="10">
        <v>115</v>
      </c>
      <c r="L31" s="10">
        <v>37</v>
      </c>
      <c r="M31" s="20" t="s">
        <v>668</v>
      </c>
      <c r="N31" s="21" t="s">
        <v>684</v>
      </c>
      <c r="O31" s="22"/>
    </row>
    <row r="32" ht="16.5" spans="2:15">
      <c r="B32" s="10" t="s">
        <v>42</v>
      </c>
      <c r="C32" s="10" t="s">
        <v>43</v>
      </c>
      <c r="D32" s="10"/>
      <c r="E32" s="10"/>
      <c r="F32" s="10" t="s">
        <v>678</v>
      </c>
      <c r="G32" s="11">
        <v>1</v>
      </c>
      <c r="H32" s="11">
        <v>2</v>
      </c>
      <c r="I32" s="11"/>
      <c r="J32" s="11"/>
      <c r="K32" s="10">
        <v>115</v>
      </c>
      <c r="L32" s="10">
        <v>37</v>
      </c>
      <c r="M32" s="20"/>
      <c r="N32" s="21"/>
      <c r="O32" s="22"/>
    </row>
    <row r="33" ht="115.5" customHeight="1" spans="2:15">
      <c r="B33" s="10" t="s">
        <v>54</v>
      </c>
      <c r="C33" s="10" t="s">
        <v>55</v>
      </c>
      <c r="D33" s="10"/>
      <c r="E33" s="10"/>
      <c r="F33" s="10" t="s">
        <v>675</v>
      </c>
      <c r="G33" s="11">
        <v>0.01</v>
      </c>
      <c r="H33" s="11">
        <v>1</v>
      </c>
      <c r="I33" s="11"/>
      <c r="J33" s="11"/>
      <c r="K33" s="10">
        <v>109</v>
      </c>
      <c r="L33" s="10">
        <v>28</v>
      </c>
      <c r="M33" s="20" t="s">
        <v>668</v>
      </c>
      <c r="N33" s="21" t="s">
        <v>682</v>
      </c>
      <c r="O33" s="22"/>
    </row>
    <row r="34" ht="16.5" spans="2:15">
      <c r="B34" s="10" t="s">
        <v>54</v>
      </c>
      <c r="C34" s="10" t="s">
        <v>55</v>
      </c>
      <c r="D34" s="10"/>
      <c r="E34" s="10"/>
      <c r="F34" s="10" t="s">
        <v>678</v>
      </c>
      <c r="G34" s="11">
        <v>1</v>
      </c>
      <c r="H34" s="11">
        <v>2</v>
      </c>
      <c r="I34" s="11"/>
      <c r="J34" s="11"/>
      <c r="K34" s="10">
        <v>109</v>
      </c>
      <c r="L34" s="10">
        <v>28</v>
      </c>
      <c r="M34" s="20"/>
      <c r="N34" s="21"/>
      <c r="O34" s="22"/>
    </row>
    <row r="35" ht="115.5" customHeight="1" spans="2:15">
      <c r="B35" s="10" t="s">
        <v>58</v>
      </c>
      <c r="C35" s="10" t="s">
        <v>59</v>
      </c>
      <c r="D35" s="10"/>
      <c r="E35" s="10"/>
      <c r="F35" s="10" t="s">
        <v>675</v>
      </c>
      <c r="G35" s="11">
        <v>0.01</v>
      </c>
      <c r="H35" s="11">
        <v>1</v>
      </c>
      <c r="I35" s="11"/>
      <c r="J35" s="11"/>
      <c r="K35" s="10">
        <v>131</v>
      </c>
      <c r="L35" s="10">
        <v>67</v>
      </c>
      <c r="M35" s="20" t="s">
        <v>668</v>
      </c>
      <c r="N35" s="21" t="s">
        <v>684</v>
      </c>
      <c r="O35" s="22"/>
    </row>
    <row r="36" ht="16.5" spans="2:15">
      <c r="B36" s="10" t="s">
        <v>58</v>
      </c>
      <c r="C36" s="10" t="s">
        <v>59</v>
      </c>
      <c r="D36" s="10"/>
      <c r="E36" s="10"/>
      <c r="F36" s="10" t="s">
        <v>678</v>
      </c>
      <c r="G36" s="11">
        <v>1</v>
      </c>
      <c r="H36" s="11">
        <v>2</v>
      </c>
      <c r="I36" s="11"/>
      <c r="J36" s="11"/>
      <c r="K36" s="10">
        <v>131</v>
      </c>
      <c r="L36" s="10">
        <v>51</v>
      </c>
      <c r="M36" s="20"/>
      <c r="N36" s="21"/>
      <c r="O36" s="22"/>
    </row>
    <row r="37" ht="115.5" customHeight="1" spans="2:15">
      <c r="B37" s="10" t="s">
        <v>74</v>
      </c>
      <c r="C37" s="10" t="s">
        <v>75</v>
      </c>
      <c r="D37" s="10"/>
      <c r="E37" s="10"/>
      <c r="F37" s="10" t="s">
        <v>675</v>
      </c>
      <c r="G37" s="11">
        <v>0.01</v>
      </c>
      <c r="H37" s="11">
        <v>1</v>
      </c>
      <c r="I37" s="11"/>
      <c r="J37" s="11"/>
      <c r="K37" s="10">
        <v>113</v>
      </c>
      <c r="L37" s="10">
        <v>40</v>
      </c>
      <c r="M37" s="20" t="s">
        <v>668</v>
      </c>
      <c r="N37" s="21" t="s">
        <v>682</v>
      </c>
      <c r="O37" s="22"/>
    </row>
    <row r="38" ht="16.5" spans="2:15">
      <c r="B38" s="10" t="s">
        <v>74</v>
      </c>
      <c r="C38" s="10" t="s">
        <v>75</v>
      </c>
      <c r="D38" s="10"/>
      <c r="E38" s="10"/>
      <c r="F38" s="10" t="s">
        <v>678</v>
      </c>
      <c r="G38" s="11">
        <v>1</v>
      </c>
      <c r="H38" s="11">
        <v>2</v>
      </c>
      <c r="I38" s="11"/>
      <c r="J38" s="11"/>
      <c r="K38" s="10">
        <v>113</v>
      </c>
      <c r="L38" s="10">
        <v>30</v>
      </c>
      <c r="M38" s="20"/>
      <c r="N38" s="21"/>
      <c r="O38" s="22"/>
    </row>
    <row r="39" ht="115.5" customHeight="1" spans="2:15">
      <c r="B39" s="10" t="s">
        <v>46</v>
      </c>
      <c r="C39" s="10" t="s">
        <v>47</v>
      </c>
      <c r="D39" s="10"/>
      <c r="E39" s="10"/>
      <c r="F39" s="10" t="s">
        <v>675</v>
      </c>
      <c r="G39" s="11">
        <v>0.01</v>
      </c>
      <c r="H39" s="11">
        <v>1</v>
      </c>
      <c r="I39" s="11"/>
      <c r="J39" s="11"/>
      <c r="K39" s="10">
        <v>139</v>
      </c>
      <c r="L39" s="10">
        <v>119</v>
      </c>
      <c r="M39" s="20" t="s">
        <v>668</v>
      </c>
      <c r="N39" s="21" t="s">
        <v>682</v>
      </c>
      <c r="O39" s="22"/>
    </row>
    <row r="40" ht="16.5" spans="2:15">
      <c r="B40" s="10" t="s">
        <v>46</v>
      </c>
      <c r="C40" s="10" t="s">
        <v>47</v>
      </c>
      <c r="D40" s="10"/>
      <c r="E40" s="10"/>
      <c r="F40" s="10" t="s">
        <v>678</v>
      </c>
      <c r="G40" s="11">
        <v>1</v>
      </c>
      <c r="H40" s="11">
        <v>2</v>
      </c>
      <c r="I40" s="11"/>
      <c r="J40" s="11"/>
      <c r="K40" s="10">
        <v>139</v>
      </c>
      <c r="L40" s="10">
        <v>102</v>
      </c>
      <c r="M40" s="20"/>
      <c r="N40" s="21"/>
      <c r="O40" s="22"/>
    </row>
    <row r="41" ht="115.5" customHeight="1" spans="2:15">
      <c r="B41" s="10" t="s">
        <v>64</v>
      </c>
      <c r="C41" s="10" t="s">
        <v>65</v>
      </c>
      <c r="D41" s="10"/>
      <c r="E41" s="10"/>
      <c r="F41" s="10" t="s">
        <v>675</v>
      </c>
      <c r="G41" s="11">
        <v>0.01</v>
      </c>
      <c r="H41" s="11">
        <v>1</v>
      </c>
      <c r="I41" s="11"/>
      <c r="J41" s="11"/>
      <c r="K41" s="10">
        <v>108</v>
      </c>
      <c r="L41" s="10">
        <v>30</v>
      </c>
      <c r="M41" s="20" t="s">
        <v>668</v>
      </c>
      <c r="N41" s="21" t="s">
        <v>682</v>
      </c>
      <c r="O41" s="22"/>
    </row>
    <row r="42" ht="16.5" spans="2:15">
      <c r="B42" s="10" t="s">
        <v>64</v>
      </c>
      <c r="C42" s="10" t="s">
        <v>65</v>
      </c>
      <c r="D42" s="10"/>
      <c r="E42" s="10"/>
      <c r="F42" s="10" t="s">
        <v>678</v>
      </c>
      <c r="G42" s="11">
        <v>1</v>
      </c>
      <c r="H42" s="11">
        <v>2</v>
      </c>
      <c r="I42" s="11"/>
      <c r="J42" s="11"/>
      <c r="K42" s="10">
        <v>108</v>
      </c>
      <c r="L42" s="10">
        <v>30</v>
      </c>
      <c r="M42" s="20"/>
      <c r="N42" s="21"/>
      <c r="O42" s="22"/>
    </row>
    <row r="43" ht="115.5" customHeight="1" spans="2:15">
      <c r="B43" s="10" t="s">
        <v>56</v>
      </c>
      <c r="C43" s="10" t="s">
        <v>57</v>
      </c>
      <c r="D43" s="10"/>
      <c r="E43" s="10"/>
      <c r="F43" s="10" t="s">
        <v>675</v>
      </c>
      <c r="G43" s="11">
        <v>0.01</v>
      </c>
      <c r="H43" s="11">
        <v>1</v>
      </c>
      <c r="I43" s="11"/>
      <c r="J43" s="11"/>
      <c r="K43" s="10">
        <v>139</v>
      </c>
      <c r="L43" s="10">
        <v>87</v>
      </c>
      <c r="M43" s="20" t="s">
        <v>668</v>
      </c>
      <c r="N43" s="21" t="s">
        <v>682</v>
      </c>
      <c r="O43" s="22"/>
    </row>
    <row r="44" ht="16.5" spans="2:15">
      <c r="B44" s="10" t="s">
        <v>56</v>
      </c>
      <c r="C44" s="10" t="s">
        <v>57</v>
      </c>
      <c r="D44" s="10"/>
      <c r="E44" s="10"/>
      <c r="F44" s="10" t="s">
        <v>678</v>
      </c>
      <c r="G44" s="11">
        <v>1</v>
      </c>
      <c r="H44" s="11">
        <v>2</v>
      </c>
      <c r="I44" s="11"/>
      <c r="J44" s="11"/>
      <c r="K44" s="10">
        <v>145</v>
      </c>
      <c r="L44" s="10">
        <v>64</v>
      </c>
      <c r="M44" s="20"/>
      <c r="N44" s="21"/>
      <c r="O44" s="22"/>
    </row>
    <row r="45" ht="115.5" customHeight="1" spans="2:15">
      <c r="B45" s="10" t="s">
        <v>50</v>
      </c>
      <c r="C45" s="10" t="s">
        <v>51</v>
      </c>
      <c r="D45" s="10"/>
      <c r="E45" s="10"/>
      <c r="F45" s="10" t="s">
        <v>675</v>
      </c>
      <c r="G45" s="11">
        <v>0.01</v>
      </c>
      <c r="H45" s="11">
        <v>1</v>
      </c>
      <c r="I45" s="11"/>
      <c r="J45" s="11"/>
      <c r="K45" s="10">
        <v>129</v>
      </c>
      <c r="L45" s="10">
        <v>94</v>
      </c>
      <c r="M45" s="20" t="s">
        <v>668</v>
      </c>
      <c r="N45" s="21" t="s">
        <v>682</v>
      </c>
      <c r="O45" s="22"/>
    </row>
    <row r="46" ht="16.5" spans="2:15">
      <c r="B46" s="10" t="s">
        <v>50</v>
      </c>
      <c r="C46" s="10" t="s">
        <v>51</v>
      </c>
      <c r="D46" s="10"/>
      <c r="E46" s="10"/>
      <c r="F46" s="10" t="s">
        <v>678</v>
      </c>
      <c r="G46" s="11">
        <v>1</v>
      </c>
      <c r="H46" s="11">
        <v>2</v>
      </c>
      <c r="I46" s="11"/>
      <c r="J46" s="11"/>
      <c r="K46" s="10">
        <v>145</v>
      </c>
      <c r="L46" s="10">
        <v>61</v>
      </c>
      <c r="M46" s="20"/>
      <c r="N46" s="21"/>
      <c r="O46" s="22"/>
    </row>
    <row r="47" ht="115.5" customHeight="1" spans="2:15">
      <c r="B47" s="10" t="s">
        <v>52</v>
      </c>
      <c r="C47" s="10" t="s">
        <v>53</v>
      </c>
      <c r="D47" s="10"/>
      <c r="E47" s="10"/>
      <c r="F47" s="10" t="s">
        <v>675</v>
      </c>
      <c r="G47" s="11">
        <v>0.01</v>
      </c>
      <c r="H47" s="11">
        <v>1</v>
      </c>
      <c r="I47" s="11"/>
      <c r="J47" s="11"/>
      <c r="K47" s="10">
        <v>134</v>
      </c>
      <c r="L47" s="10">
        <v>65</v>
      </c>
      <c r="M47" s="20" t="s">
        <v>668</v>
      </c>
      <c r="N47" s="21" t="s">
        <v>684</v>
      </c>
      <c r="O47" s="22"/>
    </row>
    <row r="48" ht="16.5" spans="2:15">
      <c r="B48" s="10" t="s">
        <v>52</v>
      </c>
      <c r="C48" s="10" t="s">
        <v>53</v>
      </c>
      <c r="D48" s="10"/>
      <c r="E48" s="10"/>
      <c r="F48" s="10" t="s">
        <v>678</v>
      </c>
      <c r="G48" s="11">
        <v>1</v>
      </c>
      <c r="H48" s="11">
        <v>2</v>
      </c>
      <c r="I48" s="11"/>
      <c r="J48" s="11"/>
      <c r="K48" s="10">
        <v>134</v>
      </c>
      <c r="L48" s="10">
        <v>50</v>
      </c>
      <c r="M48" s="20"/>
      <c r="N48" s="21"/>
      <c r="O48" s="22"/>
    </row>
    <row r="49" ht="115.5" customHeight="1" spans="2:15">
      <c r="B49" s="10" t="s">
        <v>44</v>
      </c>
      <c r="C49" s="10" t="s">
        <v>45</v>
      </c>
      <c r="D49" s="10"/>
      <c r="E49" s="10"/>
      <c r="F49" s="10" t="s">
        <v>675</v>
      </c>
      <c r="G49" s="11">
        <v>0.01</v>
      </c>
      <c r="H49" s="11">
        <v>1</v>
      </c>
      <c r="I49" s="11"/>
      <c r="J49" s="11"/>
      <c r="K49" s="10">
        <v>111</v>
      </c>
      <c r="L49" s="10">
        <v>30</v>
      </c>
      <c r="M49" s="20" t="s">
        <v>668</v>
      </c>
      <c r="N49" s="21" t="s">
        <v>684</v>
      </c>
      <c r="O49" s="22"/>
    </row>
    <row r="50" ht="16.5" spans="2:15">
      <c r="B50" s="10" t="s">
        <v>44</v>
      </c>
      <c r="C50" s="10" t="s">
        <v>45</v>
      </c>
      <c r="D50" s="10"/>
      <c r="E50" s="10"/>
      <c r="F50" s="10" t="s">
        <v>678</v>
      </c>
      <c r="G50" s="11">
        <v>1</v>
      </c>
      <c r="H50" s="11">
        <v>2</v>
      </c>
      <c r="I50" s="11"/>
      <c r="J50" s="11"/>
      <c r="K50" s="10">
        <v>111</v>
      </c>
      <c r="L50" s="10">
        <v>26</v>
      </c>
      <c r="M50" s="20"/>
      <c r="N50" s="21"/>
      <c r="O50" s="22"/>
    </row>
    <row r="51" ht="115.5" customHeight="1" spans="2:15">
      <c r="B51" s="10" t="s">
        <v>76</v>
      </c>
      <c r="C51" s="10" t="s">
        <v>77</v>
      </c>
      <c r="D51" s="10"/>
      <c r="E51" s="10"/>
      <c r="F51" s="10" t="s">
        <v>675</v>
      </c>
      <c r="G51" s="11">
        <v>0.01</v>
      </c>
      <c r="H51" s="11">
        <v>1</v>
      </c>
      <c r="I51" s="11"/>
      <c r="J51" s="11"/>
      <c r="K51" s="10">
        <v>116</v>
      </c>
      <c r="L51" s="10">
        <v>30</v>
      </c>
      <c r="M51" s="20" t="s">
        <v>668</v>
      </c>
      <c r="N51" s="21" t="s">
        <v>684</v>
      </c>
      <c r="O51" s="22"/>
    </row>
    <row r="52" ht="16.5" spans="2:15">
      <c r="B52" s="10" t="s">
        <v>76</v>
      </c>
      <c r="C52" s="10" t="s">
        <v>77</v>
      </c>
      <c r="D52" s="10"/>
      <c r="E52" s="10"/>
      <c r="F52" s="10" t="s">
        <v>678</v>
      </c>
      <c r="G52" s="11">
        <v>1</v>
      </c>
      <c r="H52" s="11">
        <v>2</v>
      </c>
      <c r="I52" s="11"/>
      <c r="J52" s="11"/>
      <c r="K52" s="10">
        <v>116</v>
      </c>
      <c r="L52" s="10">
        <v>30</v>
      </c>
      <c r="M52" s="20"/>
      <c r="N52" s="21"/>
      <c r="O52" s="22"/>
    </row>
    <row r="53" ht="115.5" customHeight="1" spans="2:15">
      <c r="B53" s="10" t="s">
        <v>142</v>
      </c>
      <c r="C53" s="10" t="s">
        <v>143</v>
      </c>
      <c r="D53" s="10"/>
      <c r="E53" s="10"/>
      <c r="F53" s="10" t="s">
        <v>675</v>
      </c>
      <c r="G53" s="11">
        <v>0.01</v>
      </c>
      <c r="H53" s="11">
        <v>1</v>
      </c>
      <c r="I53" s="11"/>
      <c r="J53" s="11"/>
      <c r="K53" s="10">
        <v>150</v>
      </c>
      <c r="L53" s="10">
        <v>54</v>
      </c>
      <c r="M53" s="20" t="s">
        <v>668</v>
      </c>
      <c r="N53" s="21" t="s">
        <v>684</v>
      </c>
      <c r="O53" s="22"/>
    </row>
    <row r="54" ht="16.5" spans="2:15">
      <c r="B54" s="10" t="s">
        <v>142</v>
      </c>
      <c r="C54" s="10" t="s">
        <v>143</v>
      </c>
      <c r="D54" s="10"/>
      <c r="E54" s="10"/>
      <c r="F54" s="10" t="s">
        <v>678</v>
      </c>
      <c r="G54" s="11">
        <v>1</v>
      </c>
      <c r="H54" s="11">
        <v>2</v>
      </c>
      <c r="I54" s="11"/>
      <c r="J54" s="11"/>
      <c r="K54" s="10">
        <v>150</v>
      </c>
      <c r="L54" s="10">
        <v>43</v>
      </c>
      <c r="M54" s="20"/>
      <c r="N54" s="21"/>
      <c r="O54" s="22"/>
    </row>
    <row r="55" ht="115.5" customHeight="1" spans="2:15">
      <c r="B55" s="10" t="s">
        <v>108</v>
      </c>
      <c r="C55" s="10" t="s">
        <v>109</v>
      </c>
      <c r="D55" s="10"/>
      <c r="E55" s="10"/>
      <c r="F55" s="10" t="s">
        <v>675</v>
      </c>
      <c r="G55" s="11">
        <v>0.01</v>
      </c>
      <c r="H55" s="11">
        <v>1</v>
      </c>
      <c r="I55" s="11"/>
      <c r="J55" s="11"/>
      <c r="K55" s="10">
        <v>156</v>
      </c>
      <c r="L55" s="10">
        <v>83</v>
      </c>
      <c r="M55" s="23" t="s">
        <v>668</v>
      </c>
      <c r="N55" s="21" t="s">
        <v>684</v>
      </c>
      <c r="O55" s="22"/>
    </row>
    <row r="56" ht="16.5" spans="2:15">
      <c r="B56" s="10" t="s">
        <v>108</v>
      </c>
      <c r="C56" s="10" t="s">
        <v>109</v>
      </c>
      <c r="D56" s="10"/>
      <c r="E56" s="10"/>
      <c r="F56" s="10" t="s">
        <v>678</v>
      </c>
      <c r="G56" s="11">
        <v>1</v>
      </c>
      <c r="H56" s="11">
        <v>2</v>
      </c>
      <c r="I56" s="11"/>
      <c r="J56" s="11"/>
      <c r="K56" s="10">
        <v>156</v>
      </c>
      <c r="L56" s="10">
        <v>66</v>
      </c>
      <c r="M56" s="23"/>
      <c r="N56" s="21"/>
      <c r="O56" s="22"/>
    </row>
  </sheetData>
  <sheetProtection formatCells="0" formatColumns="0" formatRows="0" insertRows="0" insertColumns="0" insertHyperlinks="0" deleteColumns="0" deleteRows="0" sort="0" autoFilter="0" pivotTables="0"/>
  <autoFilter xmlns:etc="http://www.wps.cn/officeDocument/2017/etCustomData" ref="B2:O56" etc:filterBottomFollowUsedRange="1">
    <extLst/>
  </autoFilter>
  <mergeCells count="55">
    <mergeCell ref="F1:M1"/>
    <mergeCell ref="M3:M4"/>
    <mergeCell ref="M5:M6"/>
    <mergeCell ref="M7:M8"/>
    <mergeCell ref="M9:M10"/>
    <mergeCell ref="M11:M12"/>
    <mergeCell ref="M13:M14"/>
    <mergeCell ref="M15:M16"/>
    <mergeCell ref="M17:M18"/>
    <mergeCell ref="M19:M20"/>
    <mergeCell ref="M21:M22"/>
    <mergeCell ref="M23:M24"/>
    <mergeCell ref="M25:M26"/>
    <mergeCell ref="M27:M28"/>
    <mergeCell ref="M29:M30"/>
    <mergeCell ref="M31:M32"/>
    <mergeCell ref="M33:M34"/>
    <mergeCell ref="M35:M36"/>
    <mergeCell ref="M37:M38"/>
    <mergeCell ref="M39:M40"/>
    <mergeCell ref="M41:M42"/>
    <mergeCell ref="M43:M44"/>
    <mergeCell ref="M45:M46"/>
    <mergeCell ref="M47:M48"/>
    <mergeCell ref="M49:M50"/>
    <mergeCell ref="M51:M52"/>
    <mergeCell ref="M53:M54"/>
    <mergeCell ref="M55:M56"/>
    <mergeCell ref="N3:N4"/>
    <mergeCell ref="N5:N6"/>
    <mergeCell ref="N7:N8"/>
    <mergeCell ref="N9:N10"/>
    <mergeCell ref="N11:N12"/>
    <mergeCell ref="N13:N14"/>
    <mergeCell ref="N15:N16"/>
    <mergeCell ref="N17:N18"/>
    <mergeCell ref="N19:N20"/>
    <mergeCell ref="N21:N22"/>
    <mergeCell ref="N23:N24"/>
    <mergeCell ref="N25:N26"/>
    <mergeCell ref="N27:N28"/>
    <mergeCell ref="N29:N30"/>
    <mergeCell ref="N31:N32"/>
    <mergeCell ref="N33:N34"/>
    <mergeCell ref="N35:N36"/>
    <mergeCell ref="N37:N38"/>
    <mergeCell ref="N39:N40"/>
    <mergeCell ref="N41:N42"/>
    <mergeCell ref="N43:N44"/>
    <mergeCell ref="N45:N46"/>
    <mergeCell ref="N47:N48"/>
    <mergeCell ref="N49:N50"/>
    <mergeCell ref="N51:N52"/>
    <mergeCell ref="N53:N54"/>
    <mergeCell ref="N55:N56"/>
  </mergeCells>
  <hyperlinks>
    <hyperlink ref="O1" location="产品目录!A1" display="返回目录"/>
  </hyperlink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6"/>
  <sheetViews>
    <sheetView workbookViewId="0">
      <selection activeCell="G1" sqref="G$1:H$1048576"/>
    </sheetView>
  </sheetViews>
  <sheetFormatPr defaultColWidth="9" defaultRowHeight="13.5"/>
  <sheetData>
    <row r="1" spans="1:1">
      <c r="A1" t="s">
        <v>2406</v>
      </c>
    </row>
    <row r="2" spans="1:16">
      <c r="A2" t="s">
        <v>2407</v>
      </c>
      <c r="B2" t="s">
        <v>661</v>
      </c>
      <c r="D2" t="s">
        <v>2408</v>
      </c>
      <c r="E2" t="s">
        <v>661</v>
      </c>
      <c r="F2" t="s">
        <v>2409</v>
      </c>
      <c r="I2" t="s">
        <v>2382</v>
      </c>
      <c r="J2" t="s">
        <v>2410</v>
      </c>
      <c r="K2" t="s">
        <v>2383</v>
      </c>
      <c r="L2" t="s">
        <v>2384</v>
      </c>
      <c r="N2" t="s">
        <v>2411</v>
      </c>
      <c r="O2" t="s">
        <v>2385</v>
      </c>
      <c r="P2" t="s">
        <v>1690</v>
      </c>
    </row>
    <row r="3" ht="81" spans="1:16">
      <c r="A3" t="s">
        <v>2412</v>
      </c>
      <c r="B3" t="s">
        <v>26</v>
      </c>
      <c r="C3" s="1" t="s">
        <v>2413</v>
      </c>
      <c r="D3" t="s">
        <v>2414</v>
      </c>
      <c r="E3" t="s">
        <v>26</v>
      </c>
      <c r="F3" t="s">
        <v>2415</v>
      </c>
      <c r="G3" s="2">
        <v>0.05</v>
      </c>
      <c r="H3" s="2">
        <v>0.3</v>
      </c>
      <c r="I3">
        <v>24</v>
      </c>
      <c r="J3">
        <v>76</v>
      </c>
      <c r="K3" t="s">
        <v>2416</v>
      </c>
      <c r="L3" s="4" t="s">
        <v>2417</v>
      </c>
      <c r="N3">
        <v>8000</v>
      </c>
      <c r="O3" t="s">
        <v>2393</v>
      </c>
      <c r="P3" s="4" t="s">
        <v>2418</v>
      </c>
    </row>
    <row r="4" spans="3:10">
      <c r="C4" s="1" t="s">
        <v>2413</v>
      </c>
      <c r="F4" t="s">
        <v>1567</v>
      </c>
      <c r="G4" s="2">
        <v>0.301</v>
      </c>
      <c r="H4" s="2">
        <v>1</v>
      </c>
      <c r="I4">
        <v>24</v>
      </c>
      <c r="J4">
        <v>76</v>
      </c>
    </row>
    <row r="5" spans="3:10">
      <c r="C5" s="1" t="s">
        <v>2413</v>
      </c>
      <c r="F5" t="s">
        <v>1704</v>
      </c>
      <c r="G5" s="2">
        <v>1.001</v>
      </c>
      <c r="H5" s="2">
        <v>2</v>
      </c>
      <c r="I5">
        <v>24</v>
      </c>
      <c r="J5">
        <v>79.5</v>
      </c>
    </row>
    <row r="6" spans="3:10">
      <c r="C6" s="1" t="s">
        <v>2413</v>
      </c>
      <c r="F6" t="s">
        <v>1753</v>
      </c>
      <c r="G6" s="2">
        <v>2.001</v>
      </c>
      <c r="H6" s="2">
        <v>15</v>
      </c>
      <c r="I6">
        <v>24</v>
      </c>
      <c r="J6">
        <v>79.5</v>
      </c>
    </row>
    <row r="7" spans="2:16">
      <c r="B7" t="s">
        <v>72</v>
      </c>
      <c r="C7" t="s">
        <v>73</v>
      </c>
      <c r="E7" t="s">
        <v>72</v>
      </c>
      <c r="F7" t="s">
        <v>2419</v>
      </c>
      <c r="G7" s="2">
        <v>0</v>
      </c>
      <c r="H7" s="2">
        <v>10</v>
      </c>
      <c r="I7">
        <v>32</v>
      </c>
      <c r="J7">
        <v>73.5</v>
      </c>
      <c r="K7" t="s">
        <v>2387</v>
      </c>
      <c r="L7" t="s">
        <v>2392</v>
      </c>
      <c r="P7" t="s">
        <v>2420</v>
      </c>
    </row>
    <row r="8" spans="2:12">
      <c r="B8" t="s">
        <v>28</v>
      </c>
      <c r="C8" t="s">
        <v>29</v>
      </c>
      <c r="E8" t="s">
        <v>28</v>
      </c>
      <c r="F8" t="s">
        <v>2419</v>
      </c>
      <c r="G8" s="2">
        <v>0</v>
      </c>
      <c r="H8" s="2">
        <v>10</v>
      </c>
      <c r="I8">
        <v>32</v>
      </c>
      <c r="J8">
        <v>79.5</v>
      </c>
      <c r="K8" t="s">
        <v>2394</v>
      </c>
      <c r="L8" t="s">
        <v>2395</v>
      </c>
    </row>
    <row r="9" spans="2:12">
      <c r="B9" t="s">
        <v>34</v>
      </c>
      <c r="C9" t="s">
        <v>35</v>
      </c>
      <c r="E9" t="s">
        <v>34</v>
      </c>
      <c r="F9" t="s">
        <v>2419</v>
      </c>
      <c r="G9" s="2">
        <v>0</v>
      </c>
      <c r="H9" s="2">
        <v>10</v>
      </c>
      <c r="I9">
        <v>28</v>
      </c>
      <c r="J9">
        <v>81</v>
      </c>
      <c r="K9" t="s">
        <v>2400</v>
      </c>
      <c r="L9" t="s">
        <v>2401</v>
      </c>
    </row>
    <row r="10" spans="2:12">
      <c r="B10" t="s">
        <v>62</v>
      </c>
      <c r="C10" t="s">
        <v>63</v>
      </c>
      <c r="E10" t="s">
        <v>62</v>
      </c>
      <c r="F10" t="s">
        <v>2419</v>
      </c>
      <c r="G10" s="2">
        <v>0</v>
      </c>
      <c r="H10" s="2">
        <v>10</v>
      </c>
      <c r="I10">
        <v>28</v>
      </c>
      <c r="J10">
        <v>82</v>
      </c>
      <c r="K10" t="s">
        <v>2400</v>
      </c>
      <c r="L10" t="s">
        <v>2401</v>
      </c>
    </row>
    <row r="11" spans="1:12">
      <c r="A11" t="s">
        <v>2421</v>
      </c>
      <c r="B11" t="s">
        <v>72</v>
      </c>
      <c r="C11" t="s">
        <v>73</v>
      </c>
      <c r="D11" s="3">
        <v>45817</v>
      </c>
      <c r="E11" t="s">
        <v>72</v>
      </c>
      <c r="F11" t="s">
        <v>2419</v>
      </c>
      <c r="G11" s="2">
        <v>0</v>
      </c>
      <c r="H11" s="2">
        <v>10</v>
      </c>
      <c r="I11">
        <v>31.5</v>
      </c>
      <c r="J11">
        <v>76</v>
      </c>
      <c r="K11" t="s">
        <v>2422</v>
      </c>
      <c r="L11" t="s">
        <v>2392</v>
      </c>
    </row>
    <row r="12" ht="409.5" spans="1:16">
      <c r="A12" t="s">
        <v>24</v>
      </c>
      <c r="B12" s="1" t="s">
        <v>24</v>
      </c>
      <c r="C12" t="s">
        <v>25</v>
      </c>
      <c r="D12" t="s">
        <v>2423</v>
      </c>
      <c r="E12" t="s">
        <v>2424</v>
      </c>
      <c r="F12" t="s">
        <v>2425</v>
      </c>
      <c r="G12" s="2">
        <v>0.05</v>
      </c>
      <c r="H12" s="2">
        <v>0.2</v>
      </c>
      <c r="I12">
        <v>38</v>
      </c>
      <c r="J12">
        <v>88</v>
      </c>
      <c r="K12" t="s">
        <v>2426</v>
      </c>
      <c r="L12" s="4" t="s">
        <v>2427</v>
      </c>
      <c r="P12" s="4" t="s">
        <v>2428</v>
      </c>
    </row>
    <row r="13" spans="2:10">
      <c r="B13" s="1" t="s">
        <v>24</v>
      </c>
      <c r="C13" t="s">
        <v>25</v>
      </c>
      <c r="F13" t="s">
        <v>2429</v>
      </c>
      <c r="G13" s="2">
        <v>0.201</v>
      </c>
      <c r="H13" s="2">
        <v>0.453</v>
      </c>
      <c r="I13">
        <v>38</v>
      </c>
      <c r="J13">
        <v>106</v>
      </c>
    </row>
    <row r="14" spans="2:10">
      <c r="B14" s="1" t="s">
        <v>24</v>
      </c>
      <c r="C14" t="s">
        <v>25</v>
      </c>
      <c r="F14" t="s">
        <v>2430</v>
      </c>
      <c r="G14" s="2">
        <v>0.454</v>
      </c>
      <c r="H14" s="2">
        <v>1</v>
      </c>
      <c r="I14">
        <v>57</v>
      </c>
      <c r="J14">
        <v>103</v>
      </c>
    </row>
    <row r="15" spans="2:10">
      <c r="B15" s="1" t="s">
        <v>24</v>
      </c>
      <c r="C15" t="s">
        <v>25</v>
      </c>
      <c r="F15" t="s">
        <v>1704</v>
      </c>
      <c r="G15" s="2">
        <v>1.001</v>
      </c>
      <c r="H15" s="2">
        <v>2</v>
      </c>
      <c r="I15">
        <v>57</v>
      </c>
      <c r="J15">
        <v>100</v>
      </c>
    </row>
    <row r="16" spans="2:10">
      <c r="B16" s="1" t="s">
        <v>24</v>
      </c>
      <c r="C16" t="s">
        <v>25</v>
      </c>
      <c r="F16" t="s">
        <v>1708</v>
      </c>
      <c r="G16" s="2">
        <v>2.001</v>
      </c>
      <c r="H16" s="2">
        <v>5</v>
      </c>
      <c r="I16">
        <v>56</v>
      </c>
      <c r="J16">
        <v>96</v>
      </c>
    </row>
  </sheetData>
  <sheetProtection formatCells="0" formatColumns="0" formatRows="0" insertRows="0" insertColumns="0" insertHyperlinks="0" deleteColumns="0" deleteRows="0" sort="0" autoFilter="0" pivotTables="0"/>
  <autoFilter xmlns:etc="http://www.wps.cn/officeDocument/2017/etCustomData" ref="A2:P16" etc:filterBottomFollowUsedRange="1">
    <extLst/>
  </autoFilter>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dvExts xmlns="http://www.wps.cn/et/2023/dataValidationExt" xmlns:s="http://schemas.openxmlformats.org/spreadsheetml/2006/main">
  <dvExt uuid="{f7943692-e9f4-4841-90d7-a345dd31dbda}">
    <list multiSupport="1" colorSupport="1">
      <item index="0">
        <color s:rgb="FF5081C2"/>
      </item>
      <item index="1">
        <color s:rgb="FF30A4E4"/>
      </item>
      <item index="2">
        <color s:rgb="FF00BBBB"/>
      </item>
    </list>
  </dvExt>
</dvExts>
</file>

<file path=customXml/item2.xml>���N�T{|�WS�Y�T�nf��N�&^5u�gň��b�N�N�T�>N�O��Nh�gp��~r�\x�Nh�,{N�NS�Y�T�v�g�[ϑ�Nh�,{N*Nnf�'��Nh�,{N*N&^5u�N�T0gň0nf'�0S�Y�T/�mSO/�|+g0&^5u0�~r�
20Yjr�
30Ğr�
40�~r�
50ўr�
60݄r�
70ppr�
80+}r�
90�|r�0EmĞr�0��r�0�s�~r�0��r�0aSvQr�0�hr�0�m�hr�
</file>

<file path=customXml/item3.xml>��
</file>

<file path=customXml/item4.xml>��ԏ�V�vU_�vU_
</file>

<file path=customXml/item5.xml>��
</file>

<file path=customXml/itemProps1.xml><?xml version="1.0" encoding="utf-8"?>
<ds:datastoreItem xmlns:ds="http://schemas.openxmlformats.org/officeDocument/2006/customXml" ds:itemID="{576a6740-a502-43ae-9f28-c9e454320052}">
  <ds:schemaRefs>
    <ds:schemaRef ds:uri="http://www.wps.cn/et/2023/dataValidationExt"/>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D5662047-3127-477A-AC3A-1D340467FB41}">
  <ds:schemaRefs/>
</ds:datastoreItem>
</file>

<file path=customXml/itemProps4.xml><?xml version="1.0" encoding="utf-8"?>
<ds:datastoreItem xmlns:ds="http://schemas.openxmlformats.org/officeDocument/2006/customXml" ds:itemID="{06C82605-B75B-4693-9329-32AAD527C692}">
  <ds:schemaRefs/>
</ds:datastoreItem>
</file>

<file path=customXml/itemProps5.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WWO_wpscloud_20250724035916-2663639f4a</Application>
  <HeadingPairs>
    <vt:vector size="2" baseType="variant">
      <vt:variant>
        <vt:lpstr>工作表</vt:lpstr>
      </vt:variant>
      <vt:variant>
        <vt:i4>25</vt:i4>
      </vt:variant>
    </vt:vector>
  </HeadingPairs>
  <TitlesOfParts>
    <vt:vector size="25" baseType="lpstr">
      <vt:lpstr>Detailed Calculation table</vt:lpstr>
      <vt:lpstr>Product Procurement Sheet</vt:lpstr>
      <vt:lpstr>华翰特敏</vt:lpstr>
      <vt:lpstr>燕文普货</vt:lpstr>
      <vt:lpstr>顺邮宝挂号</vt:lpstr>
      <vt:lpstr>CneForClothes</vt:lpstr>
      <vt:lpstr>CneForGeneral</vt:lpstr>
      <vt:lpstr>4PXForCosmetic</vt:lpstr>
      <vt:lpstr>4PXForElectric</vt:lpstr>
      <vt:lpstr>4PXForGeneral</vt:lpstr>
      <vt:lpstr>4PXForClothes</vt:lpstr>
      <vt:lpstr>YwenForElectric</vt:lpstr>
      <vt:lpstr>CNE带电化妆品</vt:lpstr>
      <vt:lpstr>CNE全球优先</vt:lpstr>
      <vt:lpstr>华翰纯电</vt:lpstr>
      <vt:lpstr>华翰食品</vt:lpstr>
      <vt:lpstr>华翰特货</vt:lpstr>
      <vt:lpstr>CNE全球特惠</vt:lpstr>
      <vt:lpstr>华翰智慧选特惠</vt:lpstr>
      <vt:lpstr>顺速宝Plus</vt:lpstr>
      <vt:lpstr>蜂鸟普货</vt:lpstr>
      <vt:lpstr>华翰甄选</vt:lpstr>
      <vt:lpstr>华翰电子烟</vt:lpstr>
      <vt:lpstr>蜂鸟敏感</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Adeline</cp:lastModifiedBy>
  <dcterms:created xsi:type="dcterms:W3CDTF">2023-07-17T11:15:00Z</dcterms:created>
  <dcterms:modified xsi:type="dcterms:W3CDTF">2025-07-30T02:44:13Z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EFD2949757EE4AFEA766BE82DC00B4B0_13</vt:lpwstr>
  </property>
</Properties>
</file>