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omments1.xml" ContentType="application/vnd.openxmlformats-officedocument.spreadsheetml.comments+xml"/>
  <Override PartName="/xl/drawings/drawing7.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elodi\Documents\DS\Nouveau dossier\"/>
    </mc:Choice>
  </mc:AlternateContent>
  <xr:revisionPtr revIDLastSave="0" documentId="13_ncr:1_{5A31D6EB-93EA-40B9-B3AA-30DBEF320978}" xr6:coauthVersionLast="47" xr6:coauthVersionMax="47" xr10:uidLastSave="{00000000-0000-0000-0000-000000000000}"/>
  <bookViews>
    <workbookView xWindow="-108" yWindow="-108" windowWidth="23256" windowHeight="12456" xr2:uid="{00000000-000D-0000-FFFF-FFFF00000000}"/>
  </bookViews>
  <sheets>
    <sheet name="ORGANISATION DE CET EXCEL" sheetId="7" r:id="rId1"/>
    <sheet name="I. Retour de l'équipe produit" sheetId="2" r:id="rId2"/>
    <sheet name="II.Expression des besoins" sheetId="1" r:id="rId3"/>
    <sheet name="III. Chiffrage &amp; Rentabilité" sheetId="3" r:id="rId4"/>
    <sheet name="IV. Planification des Sprints" sheetId="4" r:id="rId5"/>
    <sheet name="V. Organisation du projet" sheetId="5" r:id="rId6"/>
    <sheet name="VI. Registre de traitements" sheetId="6" r:id="rId7"/>
    <sheet name="VII. Analyse des risques" sheetId="8" r:id="rId8"/>
  </sheets>
  <definedNames>
    <definedName name="_xlnm._FilterDatabase" localSheetId="3" hidden="1">'III. Chiffrage &amp; Rentabilité'!$B$47:$C$51</definedName>
    <definedName name="_xlnm._FilterDatabase" localSheetId="4" hidden="1">'IV. Planification des Sprints'!$B$13:$R$37</definedName>
    <definedName name="période_sélectionnée">#REF!</definedName>
    <definedName name="PériodeDansPlan">#REF!=MEDIAN(#REF!,#REF!,#REF!+#REF!-1)</definedName>
    <definedName name="PériodeDansRéel">#REF!=MEDIAN(#REF!,#REF!,#REF!+#REF!-1)</definedName>
    <definedName name="Plan">PériodeDansPlan*(#REF!&gt;0)</definedName>
    <definedName name="PourcentageAccompli">PourcentageAccompliAuDelà*PériodeDansPlan</definedName>
    <definedName name="PourcentageAccompliAuDelà">(#REF!=MEDIAN(#REF!,#REF!,#REF!+#REF!)*(#REF!&gt;0))*((#REF!&lt;(INT(#REF!+#REF!*#REF!)))+(#REF!=#REF!))*(#REF!&gt;0)</definedName>
    <definedName name="Réel">(PériodeDansRéel*(#REF!&gt;0))*PériodeDansPlan</definedName>
    <definedName name="RéelAuDelà">PériodeDansRéel*(#REF!&gt;0)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iyehnus1Dlw45fGVNqF1YVur9ikw=="/>
    </ext>
  </extLst>
</workbook>
</file>

<file path=xl/calcChain.xml><?xml version="1.0" encoding="utf-8"?>
<calcChain xmlns="http://schemas.openxmlformats.org/spreadsheetml/2006/main">
  <c r="C243" i="8" l="1"/>
  <c r="C241" i="8"/>
  <c r="C244" i="8"/>
  <c r="C242" i="8"/>
  <c r="C240" i="8"/>
  <c r="C239" i="8"/>
  <c r="C245" i="8"/>
  <c r="B243" i="8"/>
  <c r="B241" i="8"/>
  <c r="B244" i="8"/>
  <c r="B242" i="8"/>
  <c r="B240" i="8"/>
  <c r="B239" i="8"/>
  <c r="B245" i="8"/>
  <c r="G314" i="3"/>
  <c r="J159" i="8"/>
  <c r="J158" i="8"/>
  <c r="J157" i="8"/>
  <c r="J156" i="8"/>
  <c r="J155" i="8"/>
  <c r="J154" i="8"/>
  <c r="J153" i="8"/>
  <c r="J152" i="8"/>
  <c r="J151" i="8"/>
  <c r="J150" i="8"/>
  <c r="J149" i="8"/>
  <c r="J148" i="8"/>
  <c r="J147" i="8"/>
  <c r="H93" i="6"/>
  <c r="H20" i="6"/>
  <c r="D17" i="4"/>
  <c r="D18" i="4"/>
  <c r="D19" i="4"/>
  <c r="D20" i="4"/>
  <c r="D21" i="4"/>
  <c r="D22" i="4"/>
  <c r="D23" i="4"/>
  <c r="D24" i="4"/>
  <c r="D25" i="4"/>
  <c r="D26" i="4"/>
  <c r="D27" i="4"/>
  <c r="D28" i="4"/>
  <c r="D29" i="4"/>
  <c r="D30" i="4"/>
  <c r="D31" i="4"/>
  <c r="D32" i="4"/>
  <c r="D33" i="4"/>
  <c r="D34" i="4"/>
  <c r="D35" i="4"/>
  <c r="D36" i="4"/>
  <c r="D37" i="4"/>
  <c r="D16" i="4"/>
  <c r="D22" i="3"/>
  <c r="D23" i="3"/>
  <c r="D24" i="3"/>
  <c r="D25" i="3"/>
  <c r="D26" i="3"/>
  <c r="D27" i="3"/>
  <c r="D28" i="3"/>
  <c r="D29" i="3"/>
  <c r="D30" i="3"/>
  <c r="D31" i="3"/>
  <c r="D32" i="3"/>
  <c r="D33" i="3"/>
  <c r="D34" i="3"/>
  <c r="D35" i="3"/>
  <c r="D36" i="3"/>
  <c r="D37" i="3"/>
  <c r="D38" i="3"/>
  <c r="D39" i="3"/>
  <c r="D40" i="3"/>
  <c r="D41" i="3"/>
  <c r="D42" i="3"/>
  <c r="D21" i="3"/>
  <c r="C266" i="4"/>
  <c r="C265" i="4"/>
  <c r="C264" i="4"/>
  <c r="C263" i="4"/>
  <c r="C262" i="4"/>
  <c r="C261" i="4"/>
  <c r="C260" i="4"/>
  <c r="C259" i="4"/>
  <c r="C258" i="4"/>
  <c r="C257" i="4"/>
  <c r="C256" i="4"/>
  <c r="C255" i="4"/>
  <c r="C254" i="4"/>
  <c r="C253" i="4"/>
  <c r="C252" i="4"/>
  <c r="C251" i="4"/>
  <c r="C250" i="4"/>
  <c r="C249" i="4"/>
  <c r="C248" i="4"/>
  <c r="C247" i="4"/>
  <c r="I234" i="4"/>
  <c r="I233" i="4"/>
  <c r="G233" i="4"/>
  <c r="F234" i="4" s="1"/>
  <c r="G234" i="4" s="1"/>
  <c r="I231" i="4"/>
  <c r="I230" i="4"/>
  <c r="I229" i="4"/>
  <c r="G229" i="4"/>
  <c r="F230" i="4" s="1"/>
  <c r="G230" i="4" s="1"/>
  <c r="F231" i="4" s="1"/>
  <c r="G231" i="4" s="1"/>
  <c r="I227" i="4"/>
  <c r="I226" i="4"/>
  <c r="G225" i="4"/>
  <c r="F226" i="4" s="1"/>
  <c r="G226" i="4" s="1"/>
  <c r="F227" i="4" s="1"/>
  <c r="G227" i="4" s="1"/>
  <c r="I225" i="4"/>
  <c r="I223" i="4"/>
  <c r="I222" i="4"/>
  <c r="G221" i="4"/>
  <c r="F222" i="4" s="1"/>
  <c r="G222" i="4" s="1"/>
  <c r="F223" i="4" s="1"/>
  <c r="G223" i="4" s="1"/>
  <c r="I221" i="4"/>
  <c r="I219" i="4"/>
  <c r="I218" i="4"/>
  <c r="I217" i="4"/>
  <c r="G217" i="4"/>
  <c r="F218" i="4" s="1"/>
  <c r="G218" i="4" s="1"/>
  <c r="F219" i="4" s="1"/>
  <c r="G219" i="4" s="1"/>
  <c r="I215" i="4"/>
  <c r="G215" i="4"/>
  <c r="I214" i="4"/>
  <c r="G212" i="4"/>
  <c r="G211" i="4"/>
  <c r="G214" i="4"/>
  <c r="I211" i="4"/>
  <c r="I212" i="4"/>
  <c r="I209" i="4"/>
  <c r="I208" i="4"/>
  <c r="G209" i="4"/>
  <c r="G208" i="4"/>
  <c r="I206" i="4"/>
  <c r="I205" i="4"/>
  <c r="I204" i="4"/>
  <c r="G205" i="4"/>
  <c r="G204" i="4"/>
  <c r="F206" i="4" s="1"/>
  <c r="G206" i="4" s="1"/>
  <c r="I202" i="4"/>
  <c r="I201" i="4"/>
  <c r="I200" i="4"/>
  <c r="G199" i="4"/>
  <c r="F200" i="4" s="1"/>
  <c r="G200" i="4" s="1"/>
  <c r="F201" i="4" s="1"/>
  <c r="G201" i="4" s="1"/>
  <c r="G198" i="4"/>
  <c r="F202" i="4" s="1"/>
  <c r="G202" i="4" s="1"/>
  <c r="I199" i="4"/>
  <c r="I198" i="4"/>
  <c r="G196" i="4"/>
  <c r="I196" i="4"/>
  <c r="I195" i="4"/>
  <c r="G195" i="4"/>
  <c r="I193" i="4"/>
  <c r="I192" i="4"/>
  <c r="I191" i="4"/>
  <c r="G192" i="4"/>
  <c r="F193" i="4" s="1"/>
  <c r="G193" i="4" s="1"/>
  <c r="G191" i="4"/>
  <c r="I189" i="4"/>
  <c r="I188" i="4"/>
  <c r="G187" i="4"/>
  <c r="F189" i="4" s="1"/>
  <c r="G186" i="4"/>
  <c r="F188" i="4" s="1"/>
  <c r="G188" i="4" s="1"/>
  <c r="I187" i="4"/>
  <c r="I186" i="4"/>
  <c r="I184" i="4"/>
  <c r="G184" i="4"/>
  <c r="I183" i="4"/>
  <c r="G183" i="4"/>
  <c r="I181" i="4"/>
  <c r="G180" i="4"/>
  <c r="F181" i="4" s="1"/>
  <c r="G181" i="4" s="1"/>
  <c r="I180" i="4"/>
  <c r="I179" i="4"/>
  <c r="G179" i="4"/>
  <c r="I177" i="4"/>
  <c r="G177" i="4"/>
  <c r="I176" i="4"/>
  <c r="G176" i="4"/>
  <c r="I173" i="4"/>
  <c r="G172" i="4"/>
  <c r="F173" i="4" s="1"/>
  <c r="I172" i="4"/>
  <c r="I170" i="4"/>
  <c r="I169" i="4"/>
  <c r="I174" i="4"/>
  <c r="G174" i="4"/>
  <c r="G170" i="4"/>
  <c r="G169" i="4"/>
  <c r="G167" i="4"/>
  <c r="I167" i="4"/>
  <c r="G166" i="4"/>
  <c r="G163" i="4"/>
  <c r="I164" i="4"/>
  <c r="F157" i="4"/>
  <c r="I163" i="4"/>
  <c r="H146" i="4"/>
  <c r="C267" i="4" l="1"/>
  <c r="J19" i="4"/>
  <c r="J20" i="4"/>
  <c r="J25" i="4"/>
  <c r="J30" i="4"/>
  <c r="J21" i="4"/>
  <c r="J33" i="4"/>
  <c r="J35" i="4"/>
  <c r="J16" i="4"/>
  <c r="J18" i="4"/>
  <c r="J22" i="4"/>
  <c r="J36" i="4"/>
  <c r="J17" i="4"/>
  <c r="J24" i="4"/>
  <c r="J28" i="4"/>
  <c r="J29" i="4"/>
  <c r="J34" i="4"/>
  <c r="J23" i="4"/>
  <c r="J27" i="4"/>
  <c r="J37" i="4"/>
  <c r="J26" i="4"/>
  <c r="J31" i="4"/>
  <c r="J32" i="4"/>
  <c r="C364" i="3"/>
  <c r="D364" i="3" s="1"/>
  <c r="E364" i="3" s="1"/>
  <c r="C365" i="3"/>
  <c r="D365" i="3" s="1"/>
  <c r="E365" i="3" s="1"/>
  <c r="C366" i="3"/>
  <c r="D366" i="3" s="1"/>
  <c r="E366" i="3" s="1"/>
  <c r="C367" i="3"/>
  <c r="D367" i="3" s="1"/>
  <c r="E367" i="3" s="1"/>
  <c r="C368" i="3"/>
  <c r="D368" i="3" s="1"/>
  <c r="E368" i="3" s="1"/>
  <c r="C369" i="3"/>
  <c r="D369" i="3" s="1"/>
  <c r="E369" i="3" s="1"/>
  <c r="C370" i="3"/>
  <c r="D370" i="3" s="1"/>
  <c r="E370" i="3" s="1"/>
  <c r="C371" i="3"/>
  <c r="D371" i="3" s="1"/>
  <c r="E371" i="3" s="1"/>
  <c r="C372" i="3"/>
  <c r="D372" i="3" s="1"/>
  <c r="E372" i="3" s="1"/>
  <c r="C373" i="3"/>
  <c r="D373" i="3" s="1"/>
  <c r="E373" i="3" s="1"/>
  <c r="F373" i="3" s="1"/>
  <c r="C363" i="3"/>
  <c r="D363" i="3" s="1"/>
  <c r="E315" i="3"/>
  <c r="G315" i="3" s="1"/>
  <c r="D331" i="3" s="1"/>
  <c r="F315" i="3"/>
  <c r="H315" i="3" s="1"/>
  <c r="E331" i="3" s="1"/>
  <c r="E316" i="3"/>
  <c r="G316" i="3" s="1"/>
  <c r="D332" i="3" s="1"/>
  <c r="F316" i="3"/>
  <c r="H316" i="3" s="1"/>
  <c r="E332" i="3" s="1"/>
  <c r="E317" i="3"/>
  <c r="G317" i="3" s="1"/>
  <c r="D333" i="3" s="1"/>
  <c r="F317" i="3"/>
  <c r="H317" i="3" s="1"/>
  <c r="E333" i="3" s="1"/>
  <c r="E318" i="3"/>
  <c r="G318" i="3" s="1"/>
  <c r="D334" i="3" s="1"/>
  <c r="F318" i="3"/>
  <c r="H318" i="3" s="1"/>
  <c r="E334" i="3" s="1"/>
  <c r="E319" i="3"/>
  <c r="G319" i="3" s="1"/>
  <c r="D335" i="3" s="1"/>
  <c r="F319" i="3"/>
  <c r="H319" i="3" s="1"/>
  <c r="E335" i="3" s="1"/>
  <c r="E320" i="3"/>
  <c r="G320" i="3" s="1"/>
  <c r="D336" i="3" s="1"/>
  <c r="F320" i="3"/>
  <c r="H320" i="3" s="1"/>
  <c r="E336" i="3" s="1"/>
  <c r="E321" i="3"/>
  <c r="G321" i="3" s="1"/>
  <c r="D337" i="3" s="1"/>
  <c r="F321" i="3"/>
  <c r="H321" i="3" s="1"/>
  <c r="E337" i="3" s="1"/>
  <c r="E322" i="3"/>
  <c r="G322" i="3" s="1"/>
  <c r="D338" i="3" s="1"/>
  <c r="F322" i="3"/>
  <c r="H322" i="3" s="1"/>
  <c r="E338" i="3" s="1"/>
  <c r="E323" i="3"/>
  <c r="G323" i="3" s="1"/>
  <c r="D339" i="3" s="1"/>
  <c r="F323" i="3"/>
  <c r="H323" i="3" s="1"/>
  <c r="E339" i="3" s="1"/>
  <c r="E324" i="3"/>
  <c r="G324" i="3" s="1"/>
  <c r="D340" i="3" s="1"/>
  <c r="F324" i="3"/>
  <c r="H324" i="3" s="1"/>
  <c r="E340" i="3" s="1"/>
  <c r="F314" i="3"/>
  <c r="H314" i="3" s="1"/>
  <c r="E330" i="3" s="1"/>
  <c r="E314" i="3"/>
  <c r="D330" i="3" s="1"/>
  <c r="E300" i="3"/>
  <c r="E302" i="3"/>
  <c r="E303" i="3"/>
  <c r="E304" i="3"/>
  <c r="E305" i="3"/>
  <c r="E306" i="3"/>
  <c r="E307" i="3"/>
  <c r="E308" i="3"/>
  <c r="E309" i="3"/>
  <c r="E310" i="3"/>
  <c r="E301" i="3"/>
  <c r="D301" i="3"/>
  <c r="D302" i="3"/>
  <c r="D303" i="3"/>
  <c r="D304" i="3"/>
  <c r="D305" i="3"/>
  <c r="D306" i="3"/>
  <c r="D307" i="3"/>
  <c r="D308" i="3"/>
  <c r="D309" i="3"/>
  <c r="D310" i="3"/>
  <c r="D300" i="3"/>
  <c r="E273" i="3"/>
  <c r="F273" i="3" s="1"/>
  <c r="C287" i="3" s="1"/>
  <c r="C333" i="3" s="1"/>
  <c r="E274" i="3"/>
  <c r="F274" i="3" s="1"/>
  <c r="C288" i="3" s="1"/>
  <c r="C334" i="3" s="1"/>
  <c r="E275" i="3"/>
  <c r="F275" i="3" s="1"/>
  <c r="C289" i="3" s="1"/>
  <c r="C335" i="3" s="1"/>
  <c r="E276" i="3"/>
  <c r="F276" i="3" s="1"/>
  <c r="C290" i="3" s="1"/>
  <c r="C336" i="3" s="1"/>
  <c r="E277" i="3"/>
  <c r="F277" i="3" s="1"/>
  <c r="C291" i="3" s="1"/>
  <c r="C337" i="3" s="1"/>
  <c r="E278" i="3"/>
  <c r="F278" i="3" s="1"/>
  <c r="C292" i="3" s="1"/>
  <c r="C338" i="3" s="1"/>
  <c r="E279" i="3"/>
  <c r="F279" i="3" s="1"/>
  <c r="C293" i="3" s="1"/>
  <c r="C339" i="3" s="1"/>
  <c r="E280" i="3"/>
  <c r="F280" i="3" s="1"/>
  <c r="C294" i="3" s="1"/>
  <c r="C340" i="3" s="1"/>
  <c r="E272" i="3"/>
  <c r="F272" i="3" s="1"/>
  <c r="C286" i="3" s="1"/>
  <c r="C332" i="3" s="1"/>
  <c r="E271" i="3"/>
  <c r="F271" i="3" s="1"/>
  <c r="C285" i="3" s="1"/>
  <c r="C331" i="3" s="1"/>
  <c r="E270" i="3"/>
  <c r="F270" i="3" s="1"/>
  <c r="C284" i="3" s="1"/>
  <c r="C330" i="3" s="1"/>
  <c r="H122" i="3"/>
  <c r="H112" i="3"/>
  <c r="H102" i="3"/>
  <c r="C168" i="3"/>
  <c r="C170" i="3" s="1"/>
  <c r="C171" i="3" s="1"/>
  <c r="C234" i="3" s="1"/>
  <c r="F43" i="3"/>
  <c r="C100" i="3" s="1"/>
  <c r="E100" i="3" s="1"/>
  <c r="E43" i="3"/>
  <c r="C99" i="3" s="1"/>
  <c r="E99" i="3" s="1"/>
  <c r="C221" i="3"/>
  <c r="D227" i="3" s="1"/>
  <c r="G227" i="3" s="1"/>
  <c r="C241" i="3" s="1"/>
  <c r="C210" i="3"/>
  <c r="C212" i="3" s="1"/>
  <c r="C204" i="3"/>
  <c r="C206" i="3" s="1"/>
  <c r="G151" i="3"/>
  <c r="G152" i="3" s="1"/>
  <c r="G153" i="3" s="1"/>
  <c r="C151" i="3"/>
  <c r="C153" i="3" s="1"/>
  <c r="H43" i="3"/>
  <c r="C102" i="3" s="1"/>
  <c r="E102" i="3" s="1"/>
  <c r="I21" i="3"/>
  <c r="G43" i="3"/>
  <c r="C101" i="3" s="1"/>
  <c r="E101" i="3" s="1"/>
  <c r="E247" i="4" l="1"/>
  <c r="E248" i="4" s="1"/>
  <c r="E249" i="4" s="1"/>
  <c r="E250" i="4" s="1"/>
  <c r="E251" i="4" s="1"/>
  <c r="E252" i="4" s="1"/>
  <c r="E253" i="4" s="1"/>
  <c r="E254" i="4" s="1"/>
  <c r="E255" i="4" s="1"/>
  <c r="E256" i="4" s="1"/>
  <c r="E257" i="4" s="1"/>
  <c r="E258" i="4" s="1"/>
  <c r="E259" i="4" s="1"/>
  <c r="E260" i="4" s="1"/>
  <c r="E261" i="4" s="1"/>
  <c r="E262" i="4" s="1"/>
  <c r="E263" i="4" s="1"/>
  <c r="E264" i="4" s="1"/>
  <c r="E265" i="4" s="1"/>
  <c r="E266" i="4" s="1"/>
  <c r="D247" i="4"/>
  <c r="D248" i="4" s="1"/>
  <c r="D249" i="4" s="1"/>
  <c r="D250" i="4" s="1"/>
  <c r="D251" i="4" s="1"/>
  <c r="D252" i="4" s="1"/>
  <c r="D253" i="4" s="1"/>
  <c r="D254" i="4" s="1"/>
  <c r="D255" i="4" s="1"/>
  <c r="D256" i="4" s="1"/>
  <c r="D257" i="4" s="1"/>
  <c r="D258" i="4" s="1"/>
  <c r="D259" i="4" s="1"/>
  <c r="D260" i="4" s="1"/>
  <c r="D261" i="4" s="1"/>
  <c r="D262" i="4" s="1"/>
  <c r="D263" i="4" s="1"/>
  <c r="D264" i="4" s="1"/>
  <c r="D265" i="4" s="1"/>
  <c r="D266" i="4" s="1"/>
  <c r="F336" i="3"/>
  <c r="L411" i="3" s="1"/>
  <c r="G330" i="3"/>
  <c r="M405" i="3" s="1"/>
  <c r="F330" i="3"/>
  <c r="L405" i="3" s="1"/>
  <c r="F331" i="3"/>
  <c r="L406" i="3" s="1"/>
  <c r="G331" i="3"/>
  <c r="M406" i="3" s="1"/>
  <c r="F332" i="3"/>
  <c r="L407" i="3" s="1"/>
  <c r="G332" i="3"/>
  <c r="M407" i="3" s="1"/>
  <c r="F340" i="3"/>
  <c r="L415" i="3" s="1"/>
  <c r="G340" i="3"/>
  <c r="M415" i="3" s="1"/>
  <c r="F334" i="3"/>
  <c r="L409" i="3" s="1"/>
  <c r="F339" i="3"/>
  <c r="L414" i="3" s="1"/>
  <c r="G339" i="3"/>
  <c r="M414" i="3" s="1"/>
  <c r="F338" i="3"/>
  <c r="L413" i="3" s="1"/>
  <c r="G338" i="3"/>
  <c r="M413" i="3" s="1"/>
  <c r="F337" i="3"/>
  <c r="L412" i="3" s="1"/>
  <c r="G337" i="3"/>
  <c r="M412" i="3" s="1"/>
  <c r="F335" i="3"/>
  <c r="L410" i="3" s="1"/>
  <c r="G335" i="3"/>
  <c r="M410" i="3" s="1"/>
  <c r="F333" i="3"/>
  <c r="L408" i="3" s="1"/>
  <c r="G333" i="3"/>
  <c r="M408" i="3" s="1"/>
  <c r="G334" i="3"/>
  <c r="M409" i="3" s="1"/>
  <c r="G336" i="3"/>
  <c r="M411" i="3" s="1"/>
  <c r="E363" i="3"/>
  <c r="F363" i="3" s="1"/>
  <c r="C405" i="3" s="1"/>
  <c r="C460" i="3" s="1"/>
  <c r="C305" i="3"/>
  <c r="F305" i="3" s="1"/>
  <c r="F369" i="3"/>
  <c r="C411" i="3" s="1"/>
  <c r="C304" i="3"/>
  <c r="G304" i="3" s="1"/>
  <c r="C303" i="3"/>
  <c r="F303" i="3" s="1"/>
  <c r="C302" i="3"/>
  <c r="G302" i="3" s="1"/>
  <c r="C301" i="3"/>
  <c r="F372" i="3"/>
  <c r="C414" i="3" s="1"/>
  <c r="C300" i="3"/>
  <c r="C310" i="3"/>
  <c r="C308" i="3"/>
  <c r="C309" i="3"/>
  <c r="C307" i="3"/>
  <c r="C306" i="3"/>
  <c r="C415" i="3"/>
  <c r="F371" i="3"/>
  <c r="C413" i="3" s="1"/>
  <c r="F370" i="3"/>
  <c r="C412" i="3" s="1"/>
  <c r="F368" i="3"/>
  <c r="C410" i="3" s="1"/>
  <c r="F367" i="3"/>
  <c r="C409" i="3" s="1"/>
  <c r="F366" i="3"/>
  <c r="C408" i="3" s="1"/>
  <c r="F365" i="3"/>
  <c r="C407" i="3" s="1"/>
  <c r="F364" i="3"/>
  <c r="C406" i="3" s="1"/>
  <c r="D226" i="3"/>
  <c r="C240" i="3"/>
  <c r="C242" i="3" s="1"/>
  <c r="H405" i="3" s="1"/>
  <c r="C155" i="3"/>
  <c r="D43" i="3"/>
  <c r="C109" i="3"/>
  <c r="C111" i="3"/>
  <c r="C112" i="3"/>
  <c r="C110" i="3"/>
  <c r="I31" i="3"/>
  <c r="I37" i="3"/>
  <c r="I32" i="3"/>
  <c r="I27" i="3"/>
  <c r="I22" i="3"/>
  <c r="E104" i="3" l="1"/>
  <c r="C461" i="3"/>
  <c r="C462" i="3" s="1"/>
  <c r="G305" i="3"/>
  <c r="F304" i="3"/>
  <c r="G301" i="3"/>
  <c r="F301" i="3"/>
  <c r="G303" i="3"/>
  <c r="F302" i="3"/>
  <c r="F310" i="3"/>
  <c r="G310" i="3"/>
  <c r="F306" i="3"/>
  <c r="G306" i="3"/>
  <c r="F307" i="3"/>
  <c r="G307" i="3"/>
  <c r="F309" i="3"/>
  <c r="G309" i="3"/>
  <c r="F308" i="3"/>
  <c r="G308" i="3"/>
  <c r="F300" i="3"/>
  <c r="G300" i="3"/>
  <c r="G226" i="3"/>
  <c r="C235" i="3" s="1"/>
  <c r="C236" i="3" s="1"/>
  <c r="G405" i="3" s="1"/>
  <c r="C253" i="3"/>
  <c r="D405" i="3"/>
  <c r="E109" i="3"/>
  <c r="C119" i="3"/>
  <c r="E119" i="3" s="1"/>
  <c r="E110" i="3"/>
  <c r="C120" i="3"/>
  <c r="E120" i="3" s="1"/>
  <c r="E112" i="3"/>
  <c r="C122" i="3"/>
  <c r="E122" i="3" s="1"/>
  <c r="C121" i="3"/>
  <c r="E121" i="3" s="1"/>
  <c r="E111" i="3"/>
  <c r="C50" i="3"/>
  <c r="C49" i="3"/>
  <c r="C51" i="3"/>
  <c r="C48" i="3"/>
  <c r="J20" i="3"/>
  <c r="D72" i="3" s="1"/>
  <c r="C463" i="3" l="1"/>
  <c r="I409" i="3"/>
  <c r="I412" i="3"/>
  <c r="I414" i="3"/>
  <c r="I407" i="3"/>
  <c r="I413" i="3"/>
  <c r="I415" i="3"/>
  <c r="I411" i="3"/>
  <c r="I406" i="3"/>
  <c r="I405" i="3"/>
  <c r="I410" i="3"/>
  <c r="I408" i="3"/>
  <c r="E124" i="3"/>
  <c r="E114" i="3"/>
  <c r="D74" i="3"/>
  <c r="D69" i="3"/>
  <c r="D73" i="3"/>
  <c r="D70" i="3"/>
  <c r="D71" i="3"/>
  <c r="D426" i="3" l="1"/>
  <c r="C421" i="3"/>
  <c r="C422" i="3"/>
  <c r="C420" i="3"/>
  <c r="D419" i="3"/>
  <c r="C424" i="3"/>
  <c r="C426" i="3"/>
  <c r="C427" i="3"/>
  <c r="C418" i="3"/>
  <c r="C423" i="3"/>
  <c r="D423" i="3"/>
  <c r="D427" i="3"/>
  <c r="C428" i="3"/>
  <c r="E460" i="3"/>
  <c r="D428" i="3"/>
  <c r="D420" i="3"/>
  <c r="D425" i="3"/>
  <c r="D418" i="3"/>
  <c r="C425" i="3"/>
  <c r="D422" i="3"/>
  <c r="C419" i="3"/>
  <c r="D421" i="3"/>
  <c r="D424" i="3"/>
  <c r="C464" i="3"/>
  <c r="D460" i="3"/>
  <c r="C255" i="3"/>
  <c r="F405" i="3"/>
  <c r="C254" i="3"/>
  <c r="E405" i="3"/>
  <c r="D461" i="3" l="1"/>
  <c r="C474" i="3"/>
  <c r="E461" i="3"/>
  <c r="D474" i="3"/>
  <c r="C465" i="3"/>
  <c r="K413" i="3"/>
  <c r="K414" i="3"/>
  <c r="K408" i="3"/>
  <c r="K409" i="3"/>
  <c r="K405" i="3"/>
  <c r="K415" i="3"/>
  <c r="K410" i="3"/>
  <c r="K411" i="3"/>
  <c r="K406" i="3"/>
  <c r="K412" i="3"/>
  <c r="K407" i="3"/>
  <c r="J408" i="3"/>
  <c r="J414" i="3"/>
  <c r="J409" i="3"/>
  <c r="J410" i="3"/>
  <c r="J412" i="3"/>
  <c r="J407" i="3"/>
  <c r="J413" i="3"/>
  <c r="J415" i="3"/>
  <c r="J405" i="3"/>
  <c r="F460" i="3" s="1"/>
  <c r="J411" i="3"/>
  <c r="J406" i="3"/>
  <c r="F422" i="3" l="1"/>
  <c r="H419" i="3"/>
  <c r="H421" i="3"/>
  <c r="F427" i="3"/>
  <c r="H426" i="3"/>
  <c r="F421" i="3"/>
  <c r="G419" i="3"/>
  <c r="F426" i="3"/>
  <c r="F418" i="3"/>
  <c r="F423" i="3"/>
  <c r="F425" i="3"/>
  <c r="H424" i="3"/>
  <c r="F420" i="3"/>
  <c r="F419" i="3"/>
  <c r="G428" i="3"/>
  <c r="H425" i="3"/>
  <c r="G424" i="3"/>
  <c r="G421" i="3"/>
  <c r="H427" i="3"/>
  <c r="H422" i="3"/>
  <c r="H420" i="3"/>
  <c r="H418" i="3"/>
  <c r="G422" i="3"/>
  <c r="G420" i="3"/>
  <c r="F428" i="3"/>
  <c r="G423" i="3"/>
  <c r="H428" i="3"/>
  <c r="H423" i="3"/>
  <c r="G418" i="3"/>
  <c r="G425" i="3"/>
  <c r="G426" i="3"/>
  <c r="F424" i="3"/>
  <c r="G427" i="3"/>
  <c r="E425" i="3"/>
  <c r="E423" i="3"/>
  <c r="E418" i="3"/>
  <c r="E422" i="3"/>
  <c r="E427" i="3"/>
  <c r="E421" i="3"/>
  <c r="E420" i="3"/>
  <c r="E428" i="3"/>
  <c r="E426" i="3"/>
  <c r="E419" i="3"/>
  <c r="E424" i="3"/>
  <c r="G460" i="3"/>
  <c r="G461" i="3" s="1"/>
  <c r="M474" i="3"/>
  <c r="T474" i="3"/>
  <c r="S474" i="3"/>
  <c r="L474" i="3"/>
  <c r="F461" i="3"/>
  <c r="E474" i="3"/>
  <c r="C466" i="3"/>
  <c r="H460" i="3"/>
  <c r="E462" i="3"/>
  <c r="D475" i="3"/>
  <c r="I460" i="3"/>
  <c r="D462" i="3"/>
  <c r="C475" i="3"/>
  <c r="F474" i="3" l="1"/>
  <c r="V474" i="3" s="1"/>
  <c r="S475" i="3"/>
  <c r="L475" i="3"/>
  <c r="T475" i="3"/>
  <c r="M475" i="3"/>
  <c r="N474" i="3"/>
  <c r="U474" i="3"/>
  <c r="D463" i="3"/>
  <c r="C476" i="3"/>
  <c r="G462" i="3"/>
  <c r="F475" i="3"/>
  <c r="I461" i="3"/>
  <c r="H474" i="3"/>
  <c r="C467" i="3"/>
  <c r="H461" i="3"/>
  <c r="G474" i="3"/>
  <c r="E463" i="3"/>
  <c r="D476" i="3"/>
  <c r="F462" i="3"/>
  <c r="E475" i="3"/>
  <c r="O474" i="3" l="1"/>
  <c r="Q474" i="3"/>
  <c r="X474" i="3"/>
  <c r="V475" i="3"/>
  <c r="O475" i="3"/>
  <c r="L476" i="3"/>
  <c r="S476" i="3"/>
  <c r="U475" i="3"/>
  <c r="N475" i="3"/>
  <c r="M476" i="3"/>
  <c r="T476" i="3"/>
  <c r="P474" i="3"/>
  <c r="W474" i="3"/>
  <c r="E464" i="3"/>
  <c r="D477" i="3"/>
  <c r="H462" i="3"/>
  <c r="G475" i="3"/>
  <c r="C468" i="3"/>
  <c r="I462" i="3"/>
  <c r="H475" i="3"/>
  <c r="G463" i="3"/>
  <c r="F476" i="3"/>
  <c r="F463" i="3"/>
  <c r="E476" i="3"/>
  <c r="D464" i="3"/>
  <c r="C477" i="3"/>
  <c r="W475" i="3" l="1"/>
  <c r="P475" i="3"/>
  <c r="S477" i="3"/>
  <c r="L477" i="3"/>
  <c r="O476" i="3"/>
  <c r="V476" i="3"/>
  <c r="U476" i="3"/>
  <c r="N476" i="3"/>
  <c r="X475" i="3"/>
  <c r="Q475" i="3"/>
  <c r="M477" i="3"/>
  <c r="T477" i="3"/>
  <c r="I463" i="3"/>
  <c r="H476" i="3"/>
  <c r="G464" i="3"/>
  <c r="F477" i="3"/>
  <c r="F464" i="3"/>
  <c r="E477" i="3"/>
  <c r="C469" i="3"/>
  <c r="H463" i="3"/>
  <c r="G476" i="3"/>
  <c r="D465" i="3"/>
  <c r="C478" i="3"/>
  <c r="E465" i="3"/>
  <c r="D478" i="3"/>
  <c r="O477" i="3" l="1"/>
  <c r="V477" i="3"/>
  <c r="Q476" i="3"/>
  <c r="X476" i="3"/>
  <c r="T478" i="3"/>
  <c r="M478" i="3"/>
  <c r="P476" i="3"/>
  <c r="W476" i="3"/>
  <c r="S478" i="3"/>
  <c r="L478" i="3"/>
  <c r="N477" i="3"/>
  <c r="U477" i="3"/>
  <c r="E466" i="3"/>
  <c r="D479" i="3"/>
  <c r="D466" i="3"/>
  <c r="C479" i="3"/>
  <c r="H464" i="3"/>
  <c r="G477" i="3"/>
  <c r="C470" i="3"/>
  <c r="F465" i="3"/>
  <c r="E478" i="3"/>
  <c r="G465" i="3"/>
  <c r="F478" i="3"/>
  <c r="I464" i="3"/>
  <c r="H477" i="3"/>
  <c r="L479" i="3" l="1"/>
  <c r="S479" i="3"/>
  <c r="T479" i="3"/>
  <c r="M479" i="3"/>
  <c r="X477" i="3"/>
  <c r="Q477" i="3"/>
  <c r="U478" i="3"/>
  <c r="N478" i="3"/>
  <c r="V478" i="3"/>
  <c r="O478" i="3"/>
  <c r="W477" i="3"/>
  <c r="P477" i="3"/>
  <c r="G466" i="3"/>
  <c r="F479" i="3"/>
  <c r="F466" i="3"/>
  <c r="E479" i="3"/>
  <c r="H465" i="3"/>
  <c r="G478" i="3"/>
  <c r="D467" i="3"/>
  <c r="C480" i="3"/>
  <c r="I465" i="3"/>
  <c r="H478" i="3"/>
  <c r="E467" i="3"/>
  <c r="D480" i="3"/>
  <c r="U479" i="3" l="1"/>
  <c r="N479" i="3"/>
  <c r="O479" i="3"/>
  <c r="V479" i="3"/>
  <c r="M480" i="3"/>
  <c r="T480" i="3"/>
  <c r="Q478" i="3"/>
  <c r="X478" i="3"/>
  <c r="L480" i="3"/>
  <c r="S480" i="3"/>
  <c r="W478" i="3"/>
  <c r="P478" i="3"/>
  <c r="I466" i="3"/>
  <c r="H479" i="3"/>
  <c r="D468" i="3"/>
  <c r="C481" i="3"/>
  <c r="H466" i="3"/>
  <c r="G479" i="3"/>
  <c r="F467" i="3"/>
  <c r="E480" i="3"/>
  <c r="E468" i="3"/>
  <c r="D481" i="3"/>
  <c r="G467" i="3"/>
  <c r="F480" i="3"/>
  <c r="S481" i="3" l="1"/>
  <c r="L481" i="3"/>
  <c r="W479" i="3"/>
  <c r="P479" i="3"/>
  <c r="X479" i="3"/>
  <c r="Q479" i="3"/>
  <c r="V480" i="3"/>
  <c r="O480" i="3"/>
  <c r="T481" i="3"/>
  <c r="M481" i="3"/>
  <c r="N480" i="3"/>
  <c r="U480" i="3"/>
  <c r="G468" i="3"/>
  <c r="F481" i="3"/>
  <c r="E469" i="3"/>
  <c r="D482" i="3"/>
  <c r="F468" i="3"/>
  <c r="E481" i="3"/>
  <c r="H467" i="3"/>
  <c r="G480" i="3"/>
  <c r="D469" i="3"/>
  <c r="C482" i="3"/>
  <c r="I467" i="3"/>
  <c r="H480" i="3"/>
  <c r="S482" i="3" l="1"/>
  <c r="L482" i="3"/>
  <c r="W480" i="3"/>
  <c r="P480" i="3"/>
  <c r="U481" i="3"/>
  <c r="N481" i="3"/>
  <c r="M482" i="3"/>
  <c r="T482" i="3"/>
  <c r="V481" i="3"/>
  <c r="O481" i="3"/>
  <c r="X480" i="3"/>
  <c r="Q480" i="3"/>
  <c r="H468" i="3"/>
  <c r="G481" i="3"/>
  <c r="I468" i="3"/>
  <c r="H481" i="3"/>
  <c r="D470" i="3"/>
  <c r="C484" i="3" s="1"/>
  <c r="C483" i="3"/>
  <c r="F469" i="3"/>
  <c r="E482" i="3"/>
  <c r="E470" i="3"/>
  <c r="D484" i="3" s="1"/>
  <c r="D483" i="3"/>
  <c r="G469" i="3"/>
  <c r="F482" i="3"/>
  <c r="W481" i="3" l="1"/>
  <c r="P481" i="3"/>
  <c r="O482" i="3"/>
  <c r="V482" i="3"/>
  <c r="U482" i="3"/>
  <c r="N482" i="3"/>
  <c r="X481" i="3"/>
  <c r="Q481" i="3"/>
  <c r="T483" i="3"/>
  <c r="M483" i="3"/>
  <c r="M484" i="3"/>
  <c r="T484" i="3"/>
  <c r="L483" i="3"/>
  <c r="S483" i="3"/>
  <c r="L484" i="3"/>
  <c r="S484" i="3"/>
  <c r="G470" i="3"/>
  <c r="F484" i="3" s="1"/>
  <c r="F483" i="3"/>
  <c r="F470" i="3"/>
  <c r="E484" i="3" s="1"/>
  <c r="E483" i="3"/>
  <c r="I469" i="3"/>
  <c r="H482" i="3"/>
  <c r="H469" i="3"/>
  <c r="G482" i="3"/>
  <c r="X482" i="3" l="1"/>
  <c r="Q482" i="3"/>
  <c r="N484" i="3"/>
  <c r="U484" i="3"/>
  <c r="P482" i="3"/>
  <c r="W482" i="3"/>
  <c r="U483" i="3"/>
  <c r="N483" i="3"/>
  <c r="O483" i="3"/>
  <c r="V483" i="3"/>
  <c r="O484" i="3"/>
  <c r="V484" i="3"/>
  <c r="H470" i="3"/>
  <c r="G484" i="3" s="1"/>
  <c r="G483" i="3"/>
  <c r="I470" i="3"/>
  <c r="H484" i="3" s="1"/>
  <c r="H483" i="3"/>
  <c r="Q483" i="3" l="1"/>
  <c r="X483" i="3"/>
  <c r="Q484" i="3"/>
  <c r="X484" i="3"/>
  <c r="P483" i="3"/>
  <c r="W483" i="3"/>
  <c r="P484" i="3"/>
  <c r="W4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A04CAA6F-6DBE-414F-87A9-C369D0EA39A5}">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27" authorId="0" shapeId="0" xr:uid="{D9F28873-026D-4629-B4EA-6FA1E8AE4B43}">
      <text>
        <r>
          <rPr>
            <sz val="11"/>
            <color rgb="FF000000"/>
            <rFont val="Calibri"/>
            <family val="2"/>
          </rPr>
          <t>Si le responsable du traitement est situé hors UE, il doit indiquer en plus le nom de son représentant sur le territoire de l'UE</t>
        </r>
      </text>
    </comment>
    <comment ref="A28" authorId="0" shapeId="0" xr:uid="{19CF310B-AAA2-41C6-8C45-A64483F04AE0}">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31" authorId="0" shapeId="0" xr:uid="{06C98CC7-1F98-402D-B671-F4A0C7F87926}">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32" authorId="0" shapeId="0" xr:uid="{01C09803-2D49-4076-92ED-C909F1B27D63}">
      <text>
        <r>
          <rPr>
            <sz val="11"/>
            <color rgb="FF000000"/>
            <rFont val="Calibri"/>
            <family val="2"/>
          </rPr>
          <t xml:space="preserve">A compléter lorsque deux responsables du traitement ou plus déterminent conjointement les finalités et les moyens du traitement
</t>
        </r>
      </text>
    </comment>
    <comment ref="A34" authorId="0" shapeId="0" xr:uid="{B4769B3E-1B45-43A5-B501-BD47C910EA6F}">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42" authorId="0" shapeId="0" xr:uid="{4289E3CF-8B18-4FF8-A65A-8C60CBDD1020}">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49" authorId="0" shapeId="0" xr:uid="{33807D52-55A4-49ED-B6E9-A118CB81B75D}">
      <text>
        <r>
          <rPr>
            <sz val="11"/>
            <color rgb="FF000000"/>
            <rFont val="Calibri"/>
            <family val="2"/>
          </rPr>
          <t>Cf. article 87 du règlement qui prévoit des règles nationales spécifiques pour cette donnée.  
Numéro INSEE ou numéro de Sécurité Sociale.</t>
        </r>
      </text>
    </comment>
    <comment ref="A51" authorId="0" shapeId="0" xr:uid="{D0E2986E-279F-4991-8969-0794C9B89B02}">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51" authorId="0" shapeId="0" xr:uid="{7D67F3DA-DF37-4F5C-99E6-254BB77A089B}">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62" authorId="0" shapeId="0" xr:uid="{D0324712-D063-4655-B1D2-1E3935242F0A}">
      <text>
        <r>
          <rPr>
            <sz val="11"/>
            <color rgb="FF000000"/>
            <rFont val="Calibri"/>
            <family val="2"/>
          </rPr>
          <t>Lister tous les types de personnes faisant l'objet du traitement de données.
Exemple : salariés, clients, patients, prospects …</t>
        </r>
      </text>
    </comment>
    <comment ref="A66" authorId="0" shapeId="0" xr:uid="{F5E82184-ED39-4E16-8109-B5C89399EECB}">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76" authorId="0" shapeId="0" xr:uid="{64BC86B8-F07A-410A-AD30-AF980184956B}">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81" authorId="0" shapeId="0" xr:uid="{850625EB-EA49-4B23-B16A-B405EBC02B45}">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 ref="A94" authorId="0" shapeId="0" xr:uid="{E1D1338F-0D18-429C-BC0F-C09467157EEA}">
      <text>
        <r>
          <rPr>
            <sz val="11"/>
            <color rgb="FF000000"/>
            <rFont val="Calibri"/>
            <family val="2"/>
          </rPr>
          <t>Un « traitement de données personnelles » est une opération, ou ensemble d’opérations, portant sur des données personnelles, quel que soit le procédé utilisé (collecte, enregistrement, organisation, conservation, adaptation, modification, extraction, consultation, utilisation, communication par transmission diffusion ou toute autre forme de mise à disposition, rapprochement).</t>
        </r>
      </text>
    </comment>
    <comment ref="F100" authorId="0" shapeId="0" xr:uid="{C7F34D2C-AC05-4E09-8350-E8BF8D09D124}">
      <text>
        <r>
          <rPr>
            <sz val="11"/>
            <color rgb="FF000000"/>
            <rFont val="Calibri"/>
            <family val="2"/>
          </rPr>
          <t>Si le responsable du traitement est situé hors UE, il doit indiquer en plus le nom de son représentant sur le territoire de l'UE</t>
        </r>
      </text>
    </comment>
    <comment ref="A101" authorId="0" shapeId="0" xr:uid="{A88F9E84-4E52-44C3-9226-5F3D75E18B74}">
      <text>
        <r>
          <rPr>
            <sz val="11"/>
            <color rgb="FF000000"/>
            <rFont val="Calibri"/>
            <family val="2"/>
          </rPr>
          <t xml:space="preserve">Responsable du traitement : la personne physique ou morale, l'autorité publique, le service ou un autre organisme qui, seul ou conjointement avec d'autres, détermine les finalités et les moyens du traitement.
</t>
        </r>
      </text>
    </comment>
    <comment ref="A104" authorId="0" shapeId="0" xr:uid="{109418DB-1F19-403C-AEC9-2EAD8B779115}">
      <text>
        <r>
          <rPr>
            <sz val="11"/>
            <color rgb="FF000000"/>
            <rFont val="Calibri"/>
            <family val="2"/>
          </rPr>
          <t xml:space="preserve">Représentant : une personne physique ou morale établie dans l'Union, désignée par le responsable du traitement ou le sous-traitant par écrit qui les représente en ce qui concerne leurs obligations respectives en vertu du présent règlement.
</t>
        </r>
      </text>
    </comment>
    <comment ref="A105" authorId="0" shapeId="0" xr:uid="{BD701EF3-5C6D-44B8-BF02-7ED8623B7E78}">
      <text>
        <r>
          <rPr>
            <sz val="11"/>
            <color rgb="FF000000"/>
            <rFont val="Calibri"/>
            <family val="2"/>
          </rPr>
          <t xml:space="preserve">A compléter lorsque deux responsables du traitement ou plus déterminent conjointement les finalités et les moyens du traitement
</t>
        </r>
      </text>
    </comment>
    <comment ref="A107" authorId="0" shapeId="0" xr:uid="{B2A8D992-9261-40A9-A3AA-D3336C251136}">
      <text>
        <r>
          <rPr>
            <sz val="11"/>
            <color rgb="FF000000"/>
            <rFont val="Calibri"/>
            <family val="2"/>
          </rPr>
          <t>Un traitement de données doit avoir un objectif, une finalité, c’est-à-dire que vous ne pouvez pas collecter ou traiter des données personnelles simplement au cas où cela vous serait utile un jour. À chaque traitement de données doit être assigné un but, qui doit bien évidemment être légal et légitime au regard de votre activité professionnelle.
Exemple : Vous collectez sur vos clients de nombreuses informations, lorsque vous effectuez une livraison, éditez une facture ou, proposez une carte de fidélité. Toutes ces opérations sur ces données constituent votre traitement de données personnelles ayant pour objectif la gestion de votre clientèle.</t>
        </r>
      </text>
    </comment>
    <comment ref="E115" authorId="0" shapeId="0" xr:uid="{7E6EAFF2-1275-4D26-893B-F523CEA0EF48}">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22" authorId="0" shapeId="0" xr:uid="{973C3372-8B8B-4F3F-B295-5DF682959454}">
      <text>
        <r>
          <rPr>
            <sz val="11"/>
            <color rgb="FF000000"/>
            <rFont val="Calibri"/>
            <family val="2"/>
          </rPr>
          <t>Cf. article 87 du règlement qui prévoit des règles nationales spécifiques pour cette donnée.  
Numéro INSEE ou numéro de Sécurité Sociale.</t>
        </r>
      </text>
    </comment>
    <comment ref="A124" authorId="0" shapeId="0" xr:uid="{BF669ABD-5A69-4A33-9CAA-5C7EA42CEB9E}">
      <text>
        <r>
          <rPr>
            <sz val="11"/>
            <color rgb="FF000000"/>
            <rFont val="Calibri"/>
            <family val="2"/>
          </rPr>
          <t>Lorsque vous traitez certains types de données à risque :
Sont notamment concernées les données dites "sensibles" :
- révélant l'origine prétendument raciale ou ethnique ;
- portant sur les opinions politiques, philosophiques ou religieuses ;
- relatives à l'appartenance syndicale :
- concernant la santé ou l'orientation sexuelle ;
- génétiques ou biométriques.
Les données d'infraction ou de condamnation pénale font également l'objet de règles particulières. Ces données ne peuvent être utilisées que sous certaines conditions strictement encadrées par la loi Informatique et Libertés et par le RGPD.</t>
        </r>
      </text>
    </comment>
    <comment ref="E124" authorId="0" shapeId="0" xr:uid="{2782AD92-F1E7-4C63-A3D3-D8E1DECB56F1}">
      <text>
        <r>
          <rPr>
            <sz val="11"/>
            <color rgb="FF000000"/>
            <rFont val="Calibri"/>
            <family val="2"/>
          </rPr>
          <t>Dans certains cas (gestion des paies), certaines données doivent être conservées plus longtemps, selon vos obligations légales ou si les données présentent un intérêt administratif (contentieux).
Consultez la fiche "limiter la conservation de données" sur le site de la CNIL</t>
        </r>
      </text>
    </comment>
    <comment ref="A135" authorId="0" shapeId="0" xr:uid="{8670C6AD-5225-481E-B9F5-B4F30C753B3E}">
      <text>
        <r>
          <rPr>
            <sz val="11"/>
            <color rgb="FF000000"/>
            <rFont val="Calibri"/>
            <family val="2"/>
          </rPr>
          <t>Lister tous les types de personnes faisant l'objet du traitement de données.
Exemple : salariés, clients, patients, prospects …</t>
        </r>
      </text>
    </comment>
    <comment ref="A139" authorId="0" shapeId="0" xr:uid="{B04A2E9B-A1C7-4DF9-84D6-60965F7744FE}">
      <text>
        <r>
          <rPr>
            <sz val="11"/>
            <color rgb="FF000000"/>
            <rFont val="Calibri"/>
            <family val="2"/>
          </rPr>
          <t xml:space="preserve">Lister l'ensemble des personnes qui ont accès aux données ; par exemple : service chargé du recrutement, service informatique, direction, prestataires, partenaires, hébergeurs, etc.
</t>
        </r>
      </text>
    </comment>
    <comment ref="A149" authorId="0" shapeId="0" xr:uid="{206F2ADF-7F29-45ED-BC2D-A2753281DAB7}">
      <text>
        <r>
          <rPr>
            <sz val="11"/>
            <color rgb="FF000000"/>
            <rFont val="Calibri"/>
            <family val="2"/>
          </rPr>
          <t>Sécurisez vos données :
Garantissez l'intégrité de votre patrimoine de données en minimisant les risques de pertes de données ou de piratage.
Les mesures à prendre, informatiques ou physiques, dépendent de la sensibilité des données que vous traitez et des risques qui pèsent sur les personnes en cas d'incident.
Différentes actions doivent être mises en place : mises à jour de vos antivirus et logiciels, changement régulier des mots de passe et utilisation de mots de passe complexes, ou chiffrement de vos données dans certaines situations. En cas de perte ou de vol d'un outil informatique, il sera plus difficile pour un tiers d'y accéder.</t>
        </r>
      </text>
    </comment>
    <comment ref="A154" authorId="0" shapeId="0" xr:uid="{C849C76B-B574-4591-BEF7-51F074BC5231}">
      <text>
        <r>
          <rPr>
            <sz val="11"/>
            <color rgb="FF000000"/>
            <rFont val="Calibri"/>
            <family val="2"/>
          </rPr>
          <t>Lorsque vous transférez des données en dehors de l'Union Européenne :
Vérifiez si le pays hors UE vers lequel vous transférez les données dispose d'une législation de protection des données et si elle est reconnue adéquate par la Commission européenne.
Une carte du monde présentant les législations de protection des données est à votre disposition sur le site de la CNIL.
Sinon, vous devrez encadrer juridiquement vos transferts pour assurer la protection des donnée sà l'étranger.</t>
        </r>
      </text>
    </comment>
  </commentList>
</comments>
</file>

<file path=xl/sharedStrings.xml><?xml version="1.0" encoding="utf-8"?>
<sst xmlns="http://schemas.openxmlformats.org/spreadsheetml/2006/main" count="1544" uniqueCount="920">
  <si>
    <t>En tant que</t>
  </si>
  <si>
    <t>Je veux...</t>
  </si>
  <si>
    <t>...afin de...</t>
  </si>
  <si>
    <t>Pondération</t>
  </si>
  <si>
    <t>Données nécessaires</t>
  </si>
  <si>
    <t>Connexion via une adresse mail</t>
  </si>
  <si>
    <t xml:space="preserve">Utilisateur de l'application </t>
  </si>
  <si>
    <t>pouvoir me connecter à mon compte sur l'application mobile en utilisant une adresse mail</t>
  </si>
  <si>
    <t>je peux voir les informations me concernant (infos personnelles, photos prises, articles suggérés, ...)</t>
  </si>
  <si>
    <t xml:space="preserve">- adresse mail utilisateur
- mot de passe </t>
  </si>
  <si>
    <t>Utilisateur de l'application</t>
  </si>
  <si>
    <t>constituer et gérer une collection de photos de mes vêtements dans l'application</t>
  </si>
  <si>
    <t>que l'algorithme me propose des vêtements similaires aux vêtements que je porte sur mes photos</t>
  </si>
  <si>
    <t>découvrir de nouveaux styles et vêtements qui me correspondent</t>
  </si>
  <si>
    <t>- photos de mes vêtements - préférences de style (définies ultérieurement)</t>
  </si>
  <si>
    <t>voir les vêtements recommandés superposés sur mes photos</t>
  </si>
  <si>
    <t>juger et décider si les recommandations me plaisent</t>
  </si>
  <si>
    <t>sélectionner mes styles vestimentaires préférés parmi ceux proposés par l'application</t>
  </si>
  <si>
    <t>recevoir des recommandations personnalisées en fonction de mes goûts</t>
  </si>
  <si>
    <t>- styles vestimentaires préférés (ex : casual, chic, bohème, ...)</t>
  </si>
  <si>
    <t>Référencer mes marques préférées</t>
  </si>
  <si>
    <t>recevoir des recommandations de produits de mes marques préférées</t>
  </si>
  <si>
    <t>- marques de vêtements préférées</t>
  </si>
  <si>
    <t>Suivre des blogs et influenceurs</t>
  </si>
  <si>
    <t>suivre des blogs, sites de conseil et influenceurs(seuses) de mode</t>
  </si>
  <si>
    <t>recevoir des recommandations inspirées de mes sources d'information préférées</t>
  </si>
  <si>
    <t>- blogs, sites, influenceurs(seuses) suivis</t>
  </si>
  <si>
    <t>Obtenir des recommandations basées sur mes préférences</t>
  </si>
  <si>
    <t>que l'algorithme me propose des vêtements en fonction de mes préférences de style, marques préférées et blogs suivis</t>
  </si>
  <si>
    <t>découvrir de nouveaux styles et vêtements qui correspondent à mes goûts et à mes inspirations</t>
  </si>
  <si>
    <t>aider l'algorithme à s'améliorer et à me proposer des vêtements encore plus pertinents</t>
  </si>
  <si>
    <t>Ajouter un produit au panier</t>
  </si>
  <si>
    <t>ajouter un vêtement recommandé à mon panier</t>
  </si>
  <si>
    <t>préparer ma commande et effectuer un achat</t>
  </si>
  <si>
    <t>- identification du produit (référence, taille, couleur)</t>
  </si>
  <si>
    <t>confirmer ma commande et choisir un mode de livraison</t>
  </si>
  <si>
    <t>finaliser mon achat et recevoir mon colis</t>
  </si>
  <si>
    <t>Effectuer un paiement sécurisé</t>
  </si>
  <si>
    <t>payer ma commande en utilisant un moyen de paiement sécurisé</t>
  </si>
  <si>
    <t>finaliser mon achat en toute sécurité</t>
  </si>
  <si>
    <t>- informations de paiement (carte bancaire, PayPal, ...)</t>
  </si>
  <si>
    <t>supprimer mon compte et mes données personnelles</t>
  </si>
  <si>
    <t>ne plus recevoir de recommandations et ne plus utiliser l'application</t>
  </si>
  <si>
    <t>- confirmation de la désinscription</t>
  </si>
  <si>
    <t>Ajouter une photo de vêtement à ma collection</t>
  </si>
  <si>
    <t>ajouter une photo de vêtement à ma collection personnelle dans l'application</t>
  </si>
  <si>
    <t>organiser et retrouver facilement mes photos de vêtements</t>
  </si>
  <si>
    <t>Obtenir des recommandations basées sur mes photos de vêtements</t>
  </si>
  <si>
    <t>Visualiser les recommandations sur mes photos</t>
  </si>
  <si>
    <t>Changer la couleur ou le style du vêtement recommandé</t>
  </si>
  <si>
    <t>affiner mes préférences et trouver des vêtements qui me correspondent encore plus</t>
  </si>
  <si>
    <t>- vêtements recommandés - options de personnalisation (couleur, style)</t>
  </si>
  <si>
    <t xml:space="preserve">Besoin </t>
  </si>
  <si>
    <t>Prendre une/des photo(s) de vêtements</t>
  </si>
  <si>
    <t>me prendre en photo avec un/des vêtement(s) que je possède</t>
  </si>
  <si>
    <t>- photos du vêtements</t>
  </si>
  <si>
    <t>Sous Besoin</t>
  </si>
  <si>
    <t>I</t>
  </si>
  <si>
    <t>II</t>
  </si>
  <si>
    <t>II.1</t>
  </si>
  <si>
    <t>II.2.</t>
  </si>
  <si>
    <t>II.1.</t>
  </si>
  <si>
    <t>I.1.</t>
  </si>
  <si>
    <t>II.1,</t>
  </si>
  <si>
    <t xml:space="preserve">BESOIN </t>
  </si>
  <si>
    <t>SOUS BESOIN</t>
  </si>
  <si>
    <t>II.3.</t>
  </si>
  <si>
    <t>II.4.</t>
  </si>
  <si>
    <t>III</t>
  </si>
  <si>
    <t>III.4.</t>
  </si>
  <si>
    <t>III.3.</t>
  </si>
  <si>
    <t>III.2.</t>
  </si>
  <si>
    <t>III.1.</t>
  </si>
  <si>
    <t>IV</t>
  </si>
  <si>
    <t>IV.1.</t>
  </si>
  <si>
    <t>V.</t>
  </si>
  <si>
    <t>V.1.</t>
  </si>
  <si>
    <t>VI.</t>
  </si>
  <si>
    <t>VI.1.</t>
  </si>
  <si>
    <t>VI.2.</t>
  </si>
  <si>
    <t>VI.3.</t>
  </si>
  <si>
    <t>VI.4.</t>
  </si>
  <si>
    <t>choisir une autre couleur ou un autre style (ex: tshirt manche courte ou longue) pour le vêtement recommandé</t>
  </si>
  <si>
    <t>Définir mes styles vestimentaires préférés</t>
  </si>
  <si>
    <t>indiquer les marques de vêtements que j'apprécie parmi cekkes vendues par le groupe Fashion-Insta</t>
  </si>
  <si>
    <t>Laisser un avis sur une recommandation</t>
  </si>
  <si>
    <t>indiquer si une recommandation de vêtement me plaît ou non</t>
  </si>
  <si>
    <t>Visualiser mon panier</t>
  </si>
  <si>
    <t>consulter le contenu de mon panier et modifier les quantités si nécessaire</t>
  </si>
  <si>
    <t>vérifier les détails de ma commande avant de valider</t>
  </si>
  <si>
    <t>- contenu du panier (produits, quantités, prix)</t>
  </si>
  <si>
    <t>Valider ma commande</t>
  </si>
  <si>
    <t>Confirmer ma commande</t>
  </si>
  <si>
    <t>recevoir une confirmation de ma commande et suivre son état</t>
  </si>
  <si>
    <t>être informé de l'avancée de ma commande et de sa livraison</t>
  </si>
  <si>
    <t>- informations de commande (numéro de commande, date de commande, montant total, ...)</t>
  </si>
  <si>
    <t>V.2.</t>
  </si>
  <si>
    <t>V.3.</t>
  </si>
  <si>
    <t>V.4.</t>
  </si>
  <si>
    <t>V.5.</t>
  </si>
  <si>
    <t>Me désinscrire du service de recommandation</t>
  </si>
  <si>
    <t>Accéder à mes données personnelles</t>
  </si>
  <si>
    <t>consulter mes données personnelles collectées par l'application</t>
  </si>
  <si>
    <t>vérifier la nature et l'utilisation de mes données</t>
  </si>
  <si>
    <t>Modifier mes données personnelles</t>
  </si>
  <si>
    <t>corriger ou mettre à jour mes données personnelles</t>
  </si>
  <si>
    <t>garantir l'exactitude et la pertinence de mes données</t>
  </si>
  <si>
    <t>- données personnelles à modifier (nom, prénom, adresse, email, ...)</t>
  </si>
  <si>
    <t>Supprimer mes données personnelles</t>
  </si>
  <si>
    <t>demander la suppression de mes données personnelles</t>
  </si>
  <si>
    <t>ne plus figurer dans la base de données de l'application</t>
  </si>
  <si>
    <t>- confirmation de la suppression</t>
  </si>
  <si>
    <t>Définir la durée de conservation de mes données personnelles</t>
  </si>
  <si>
    <t>choisir la durée pendant laquelle mes données personnelles seront conservées par l'application</t>
  </si>
  <si>
    <t>limiter la durée de conservation de mes données</t>
  </si>
  <si>
    <t>- durée de conservation souhaitée</t>
  </si>
  <si>
    <t>Recevoir des notifications sur la gestion de mes données personnelles</t>
  </si>
  <si>
    <t>être informé des actions effectuées sur mes données personnelles (accès, modification, suppression)</t>
  </si>
  <si>
    <t>être transparent sur l'utilisation de mes données</t>
  </si>
  <si>
    <t>- adresse email pour recevoir les notifications</t>
  </si>
  <si>
    <t>VI.5.</t>
  </si>
  <si>
    <t>VI.6.</t>
  </si>
  <si>
    <t>IDX Sous Besoin</t>
  </si>
  <si>
    <t>IDX Besoin</t>
  </si>
  <si>
    <t>I.</t>
  </si>
  <si>
    <t>II.</t>
  </si>
  <si>
    <t>III.</t>
  </si>
  <si>
    <t>IV.</t>
  </si>
  <si>
    <t>Création d'un compte</t>
  </si>
  <si>
    <t>Outil de recommandation de vêtements basé sur les vétements que je possède déjà</t>
  </si>
  <si>
    <t>Outil de recommandation basé sur mes préférences de style ou les tendances du moment.</t>
  </si>
  <si>
    <t>Retour Utilisateur</t>
  </si>
  <si>
    <t>Processus d'Achat</t>
  </si>
  <si>
    <t>Gestion des données personnelles (RGPD)</t>
  </si>
  <si>
    <t>Charge en Jours</t>
  </si>
  <si>
    <t>Développeur Front-End</t>
  </si>
  <si>
    <t>Développeur Back-End</t>
  </si>
  <si>
    <t>Data Scientist</t>
  </si>
  <si>
    <t>Rôles et Responsabilitées</t>
  </si>
  <si>
    <t>Concevoir et développer l'interface utilisateur de l'application, en s'assurant qu'elle est intuitive, esthétique et réactive.</t>
  </si>
  <si>
    <t>Intégrer les modèles d'apprentissage automatique créés par le Data Scientist dans l'interface utilisateur.</t>
  </si>
  <si>
    <t>Gérer l'interaction de l'utilisateur avec l'application, en particulier la prise de photos, la navigation et l'affichage des recommandations.</t>
  </si>
  <si>
    <t>Développer l'infrastructure back-end de l'application, y compris les bases de données, les API et les serveurs.</t>
  </si>
  <si>
    <t>Gérer la communication entre l'application mobile et les serveurs back-end.</t>
  </si>
  <si>
    <t>Implémenter les algorithmes de recommandation et de traitement d'image nécessaires à la fonctionnalité principale de l'application.</t>
  </si>
  <si>
    <t>Collecter et préparer les données d'images de vêtements et de styles vestimentaires.</t>
  </si>
  <si>
    <t>Entraîner des modèles d'apprentissage automatique pour identifier les caractéristiques des vêtements, les styles vestimentaires et les préférences des utilisateurs.</t>
  </si>
  <si>
    <t>Évaluer et optimiser les performances des modèles d'apprentissage automatique.</t>
  </si>
  <si>
    <t>Collaborer avec les développeurs front-end et back-end pour intégrer les modèles d'apprentissage automatique dans l'application.</t>
  </si>
  <si>
    <t>Chef De Projet</t>
  </si>
  <si>
    <t>Gérer l'ensemble du projet, en définissant les objectifs, les livrables, le planning et le budget.</t>
  </si>
  <si>
    <t>Assurer la communication et la collaboration entre les membres de l'équipe et les parties prenantes.</t>
  </si>
  <si>
    <t>Suivre l'avancement du projet, identifier les risques et prendre les mesures correctives nécessaires.</t>
  </si>
  <si>
    <t>Gérer les ressources humaines et matérielles du projet.</t>
  </si>
  <si>
    <t>Charges en Jours et par Rôles</t>
  </si>
  <si>
    <t>TOTAL</t>
  </si>
  <si>
    <t>Charges par Rôles</t>
  </si>
  <si>
    <t>Rôle</t>
  </si>
  <si>
    <t>TOTAL (J)</t>
  </si>
  <si>
    <t>Charges par Besoin</t>
  </si>
  <si>
    <t>Besoin</t>
  </si>
  <si>
    <t>IDX</t>
  </si>
  <si>
    <t>TOTAL BESOIN (J)</t>
  </si>
  <si>
    <t>Coût Journalier</t>
  </si>
  <si>
    <t>Commentaire</t>
  </si>
  <si>
    <t>https://www.malt.fr/t/barometre-tarifs/tech</t>
  </si>
  <si>
    <t>https://www.malt.fr/t/barometre-tarifs/expert-data</t>
  </si>
  <si>
    <t>https://www.malt.fr/t/barometre-tarifs/gestion-de-projets-coaching</t>
  </si>
  <si>
    <t>Profil</t>
  </si>
  <si>
    <t>Profil Junior 0-2 ans</t>
  </si>
  <si>
    <t>Profil Senior 3-7 ans</t>
  </si>
  <si>
    <t>Profil Expert 8-15 ans</t>
  </si>
  <si>
    <t>Charge par Rôle</t>
  </si>
  <si>
    <t>Coût par Rôle</t>
  </si>
  <si>
    <t>I. Coût Initial de développement de l'application 
Coût par Rôle (basé sur la charge par rôle et le coût journalier d'un rôle) et par profil (expérience)</t>
  </si>
  <si>
    <t>II. Coût d'infrastructure Azure (phase de conception + entrainement des modèles)</t>
  </si>
  <si>
    <t>Coût de Maintenance annuel</t>
  </si>
  <si>
    <t>Profil Junior</t>
  </si>
  <si>
    <t>Profil Senior</t>
  </si>
  <si>
    <t>Profil Expert</t>
  </si>
  <si>
    <t>III. Coût de maintenance annuel de l'application</t>
  </si>
  <si>
    <t>IV. Coût d'infrastructure annuel Azure (phase de production)</t>
  </si>
  <si>
    <t>V. Gains annuels générés par l'augmentation des ventes (marketing)</t>
  </si>
  <si>
    <t>/mois</t>
  </si>
  <si>
    <t>Quantiité de données</t>
  </si>
  <si>
    <t>Location des serveurs</t>
  </si>
  <si>
    <t>France Central</t>
  </si>
  <si>
    <t>Estimation de coût</t>
  </si>
  <si>
    <t>J'ai besoin de 32 jours de travail d'un Data Scientist pour les sous-besoins II.2. II.3., II.4., III.4.</t>
  </si>
  <si>
    <t>Coût de stockage</t>
  </si>
  <si>
    <t>Poids des images</t>
  </si>
  <si>
    <t>Taille des images</t>
  </si>
  <si>
    <t>512*512</t>
  </si>
  <si>
    <t>Mo</t>
  </si>
  <si>
    <t>Nbr d'images d'entrainement</t>
  </si>
  <si>
    <t>px</t>
  </si>
  <si>
    <t>Poids Total des images d'entrainement</t>
  </si>
  <si>
    <t>Go</t>
  </si>
  <si>
    <t>Sécurité sur l'espace de stockage nécéssaire</t>
  </si>
  <si>
    <t>Poids total nécéssaire</t>
  </si>
  <si>
    <t>Pour la conception/entrainement des modèles, le data scientist peut travailer en séquentiel.</t>
  </si>
  <si>
    <t>Hypothèse : Région des serveurs : France Central</t>
  </si>
  <si>
    <t>Hypothèse : Operating System : Window</t>
  </si>
  <si>
    <t>--&gt; Utilisation de machine de type NC6 qui offre un bon équilibre entre CPU, RAM et GPU pour ce type de tâche</t>
  </si>
  <si>
    <t>h</t>
  </si>
  <si>
    <t>Cas du NC6</t>
  </si>
  <si>
    <t>Nbr de machines</t>
  </si>
  <si>
    <t>Hypothèse : Catégory : GPU</t>
  </si>
  <si>
    <t>Coût horaire de la machine</t>
  </si>
  <si>
    <t>Cas du NC12</t>
  </si>
  <si>
    <t>Nbr d'heure d'entrainement par machine</t>
  </si>
  <si>
    <t>License Windows par mois</t>
  </si>
  <si>
    <t>Note : Pour connaitre la quantité de données nécéssaire dans mon espace de stockage, je dois déterminer le poids total des images d'entrainement. Mes images seront de tailles 512 x 512 pîxels afin de capturer les détails pertinents des vêtements et des styles.</t>
  </si>
  <si>
    <t>--&gt; Si le modèle utilisé est plus complexe, il est recommandé d'utiliser une machine de type NC12 qui offrent plus de ressources de calcul.</t>
  </si>
  <si>
    <t>- photo du vêtement 
- description du vêtement (marque, type, couleur, ...)</t>
  </si>
  <si>
    <t>- photos de mes vêtements 
- vêtements recommandés 
- options de personnalisation (couleur, style)</t>
  </si>
  <si>
    <t>- préférences de style 
- marques préférées 
- blogs suivis 
- photos de mes vêtements (optionnel)</t>
  </si>
  <si>
    <t>- avis sur la recommandation (positif, négatif, neutre) 
- commentaires sur la recommandation</t>
  </si>
  <si>
    <t>- adresse de livraison 
- mode de livraison (colis relais, livraison à domicile, ...)</t>
  </si>
  <si>
    <t>- identité de l'utilisateur 
- données personnelles collectées (nom, prénom, adresse, email, photos, ...)</t>
  </si>
  <si>
    <t>Chef De Projet (IA Product Manager)</t>
  </si>
  <si>
    <t>Liens entre Rôles</t>
  </si>
  <si>
    <t xml:space="preserve">Rôles : </t>
  </si>
  <si>
    <t>Développeur Front-End (DFE)</t>
  </si>
  <si>
    <t>Développeur Back-End (DBE)</t>
  </si>
  <si>
    <t>Data Scientist (DS)</t>
  </si>
  <si>
    <t>Chef de Projet (CDP)</t>
  </si>
  <si>
    <t>II.1. Définir les exigences en matière de calcul et de stockage (hypothèses)</t>
  </si>
  <si>
    <t>II.1.1. Identifier les types de modèles d'apprentissage automatique à développer:</t>
  </si>
  <si>
    <t>L'application Fashion-Insta nécessitera plusieurs types de modèles d'apprentissage automatique pour accomplir ses fonctionnalités principales :</t>
  </si>
  <si>
    <t>- Reconnaissance d'image: Pour identifier les caractéristiques des vêtements dans les photos prises par les utilisateurs, tels que le type de vêtement, la couleur, le style et la marque.</t>
  </si>
  <si>
    <t>- Apprentissage automatique collaboratif: Pour générer des recommandations de vêtements personnalisées en fonction des préférences des utilisateurs, de l'historique d'achats et des tendances de la mode.</t>
  </si>
  <si>
    <t>- Traitement du langage naturel: Pour analyser les descriptions de produits, les avis des utilisateurs et les tendances des réseaux sociaux afin d'enrichir les recommandations.</t>
  </si>
  <si>
    <t>II.1.2. Déterminer les volumes de données à traiter pour l'entrainement des modèles</t>
  </si>
  <si>
    <t>- Images de vêtements: Des millions d'images de vêtements provenant de sources diverses, telles que des sites web de commerce électronique, des magazines de mode et des réseaux sociaux.</t>
  </si>
  <si>
    <t xml:space="preserve">De plus, j'ai estimé que j'aurai besoin de 30 000 000 images pour entrainer mon modèle. </t>
  </si>
  <si>
    <t xml:space="preserve">II.2. Compte de Stockage (Azure Storage Accounts de type Block Blob Storage) pour stocker les images d'entrainement en autre : </t>
  </si>
  <si>
    <t>II.3. Choix du type / nombre de Machines virtuelles</t>
  </si>
  <si>
    <t>Paramètres</t>
  </si>
  <si>
    <t>Valeur</t>
  </si>
  <si>
    <t>Unité</t>
  </si>
  <si>
    <t>UNIT</t>
  </si>
  <si>
    <t>II.2.1. Images de vêtements</t>
  </si>
  <si>
    <t>(Hypothèse)</t>
  </si>
  <si>
    <t>(hypothèse)</t>
  </si>
  <si>
    <t>Ex Conversion px en Mo</t>
  </si>
  <si>
    <t>Taille de l'image</t>
  </si>
  <si>
    <t>Passage en Mo</t>
  </si>
  <si>
    <t>La calcultrice d'Azure me donne les informations suivantes pour 30 000 Go et France Central.</t>
  </si>
  <si>
    <t>Passage en Ko</t>
  </si>
  <si>
    <t>Passage en Octet</t>
  </si>
  <si>
    <t>octet</t>
  </si>
  <si>
    <t>Ko</t>
  </si>
  <si>
    <t>IV.1. Compte de Stockage (Azure Storage Accounts de type Block Blob Storage) pour stocker les images des utilisateurs</t>
  </si>
  <si>
    <t>On peut estimer les besoins en données suivants :</t>
  </si>
  <si>
    <t>Note 2 : Choix d'un stockage de type Azure Blob Storage : flexible, scalable et coût optimisé</t>
  </si>
  <si>
    <t>Note 3 : Plusieurs format d'image existent. Certains sont très performant (très compressé), d'autres non. Pour le calcul du stockage, je me place dans le PIRE des cas, c’est-à-dire le poids brut</t>
  </si>
  <si>
    <t>Note 4 : Normallement, ce n'est pas le poids brut qui est utilisé, mais le poids compressé (diminué de l'ordre de 75%)</t>
  </si>
  <si>
    <t>Caractéristique</t>
  </si>
  <si>
    <t>NC6</t>
  </si>
  <si>
    <t>NC12</t>
  </si>
  <si>
    <t>Nombre de vCPUs</t>
  </si>
  <si>
    <t>Mémoire</t>
  </si>
  <si>
    <t>II.3.1. Choix du type de machines</t>
  </si>
  <si>
    <t>56 Go</t>
  </si>
  <si>
    <t>112 Go</t>
  </si>
  <si>
    <t>GPU</t>
  </si>
  <si>
    <t>Mémoire GPU</t>
  </si>
  <si>
    <t>Je cherche à déterminer le nombre de machines virtuelles pour 30 000 GO de stockage avec des disques SSD Standard</t>
  </si>
  <si>
    <t>Hypothèses :</t>
  </si>
  <si>
    <t>- Type de disque: disque SSD Standard</t>
  </si>
  <si>
    <t>- Capacité de stockage disponible par machine virtuelle NC6 avec disque SSD Standard: 340 Go</t>
  </si>
  <si>
    <t>- Capacité de stockage disponible par machine virtuelle NC12 avec disque SSD Standard: 680 Go</t>
  </si>
  <si>
    <t xml:space="preserve">Donc, si j'utilise toutes mes images à la fois, j'ai besoin de 30 000 Go. </t>
  </si>
  <si>
    <t>Stockage Total</t>
  </si>
  <si>
    <t>Mémoire SSD</t>
  </si>
  <si>
    <t>Nombre de Machines</t>
  </si>
  <si>
    <t>Paramètre</t>
  </si>
  <si>
    <t>II.3.2. Choix du nombre de machines</t>
  </si>
  <si>
    <t>II.3.3. Calcul du coût des machines durant les étapes de conception et d'entrainement des modèles</t>
  </si>
  <si>
    <t xml:space="preserve">Le data scientist qui travaille sur les sous-besoins II.2, II.3, II.4, III.4 a besoin de 32 jours pour terminer l'ensemble de ces tâches. </t>
  </si>
  <si>
    <t>Dans ces 32 jours les tâches du data scientist sont : 1. compréhension du sujet, 2. création du code, 3. Utilisation des machines virtuelles</t>
  </si>
  <si>
    <t>On peut supposer qu'il va passer 30% de son temps sur l'utilisation des machines virtuelles</t>
  </si>
  <si>
    <t>Temps passé par le data scientist sur l'utilisation des machines</t>
  </si>
  <si>
    <t>II.3.4. Calcul du coût total de l'infrastructure Azure durant les étapes de conception/entrainement du modèle</t>
  </si>
  <si>
    <t>Coût</t>
  </si>
  <si>
    <t>Stockage</t>
  </si>
  <si>
    <t>Machines virtuelles</t>
  </si>
  <si>
    <r>
      <rPr>
        <b/>
        <u/>
        <sz val="11"/>
        <color rgb="FF000000"/>
        <rFont val="Georgia"/>
        <family val="1"/>
      </rPr>
      <t>Note</t>
    </r>
    <r>
      <rPr>
        <b/>
        <sz val="10"/>
        <color rgb="FF000000"/>
        <rFont val="Georgia"/>
        <family val="1"/>
      </rPr>
      <t xml:space="preserve"> : </t>
    </r>
    <r>
      <rPr>
        <sz val="10"/>
        <color rgb="FF000000"/>
        <rFont val="Georgia"/>
        <family val="1"/>
      </rPr>
      <t>Le coût journalier d'un profil a été obtenue via le site malt.fr qui donne le baromètre des tarifs freelances.</t>
    </r>
  </si>
  <si>
    <r>
      <rPr>
        <b/>
        <u/>
        <sz val="11"/>
        <color rgb="FF000000"/>
        <rFont val="Georgia"/>
        <family val="1"/>
      </rPr>
      <t>Note 2</t>
    </r>
    <r>
      <rPr>
        <b/>
        <sz val="10"/>
        <color rgb="FF000000"/>
        <rFont val="Georgia"/>
        <family val="1"/>
      </rPr>
      <t xml:space="preserve"> : </t>
    </r>
    <r>
      <rPr>
        <sz val="10"/>
        <color rgb="FF000000"/>
        <rFont val="Georgia"/>
        <family val="1"/>
      </rPr>
      <t xml:space="preserve">Plusieurs profils sont disponibles : 0-2 ans, 3-7 ans, 8-15 ans, 15 et + d'expérience. </t>
    </r>
  </si>
  <si>
    <r>
      <rPr>
        <b/>
        <u/>
        <sz val="11"/>
        <color rgb="FF000000"/>
        <rFont val="Georgia"/>
        <family val="1"/>
      </rPr>
      <t>Note</t>
    </r>
    <r>
      <rPr>
        <b/>
        <sz val="10"/>
        <color rgb="FF000000"/>
        <rFont val="Georgia"/>
        <family val="1"/>
      </rPr>
      <t xml:space="preserve"> : </t>
    </r>
    <r>
      <rPr>
        <sz val="10"/>
        <color rgb="FF000000"/>
        <rFont val="Georgia"/>
        <family val="1"/>
      </rPr>
      <t>Les coûts annuel de maintenance de l'application sont de 15% du coût du développement initial (choix traditionnel)</t>
    </r>
  </si>
  <si>
    <r>
      <rPr>
        <b/>
        <u/>
        <sz val="11"/>
        <color rgb="FF000000"/>
        <rFont val="Georgia"/>
        <family val="1"/>
      </rPr>
      <t>Note</t>
    </r>
    <r>
      <rPr>
        <b/>
        <sz val="10"/>
        <color rgb="FF000000"/>
        <rFont val="Georgia"/>
        <family val="1"/>
      </rPr>
      <t xml:space="preserve"> : </t>
    </r>
    <r>
      <rPr>
        <sz val="10"/>
        <color rgb="FF000000"/>
        <rFont val="Georgia"/>
        <family val="1"/>
      </rPr>
      <t>Coûts annuel d'infrastucture Azure pour la phase de production afin de gérer l'application et effectuer des prédictions des modèles</t>
    </r>
  </si>
  <si>
    <t>/an</t>
  </si>
  <si>
    <t>% de temps passé sur l'utilisation des machines virtuelles</t>
  </si>
  <si>
    <t>(20 % de 32 jours avec 8 h de travail par jour)</t>
  </si>
  <si>
    <t>Année</t>
  </si>
  <si>
    <t>Gain Mensuel</t>
  </si>
  <si>
    <t>Gain annuels projetés</t>
  </si>
  <si>
    <t>Taux de conversion</t>
  </si>
  <si>
    <t>Fréquence d'achat mensuel</t>
  </si>
  <si>
    <t>Note : Clients payants mensuels = Nombre de clients * Taux de conversion
Gains mensuels = Clients payants mensuels * Ticket d'achat moyen * Fréquence d'achat</t>
  </si>
  <si>
    <t>Ticket d'achat moyen</t>
  </si>
  <si>
    <t>V. Rentabilité du projet (ROI)</t>
  </si>
  <si>
    <t xml:space="preserve">Coût initial de développement de l'application </t>
  </si>
  <si>
    <t>Coûts initiaux d'infrastructure Azure (conception + entrainement des modèles)</t>
  </si>
  <si>
    <t>Coûts annuels de maintenance de l'application</t>
  </si>
  <si>
    <t>Coûts annuels d'infrastructure Azure (déploiement et production)</t>
  </si>
  <si>
    <t>V.1.  Coûts</t>
  </si>
  <si>
    <t>Gains annuels projetés</t>
  </si>
  <si>
    <t>V.2.  Gains</t>
  </si>
  <si>
    <t>Coût initial de développement de l'application (profil junior)</t>
  </si>
  <si>
    <t>Coût initial de développement de l'application (profil senior)</t>
  </si>
  <si>
    <t>Coût initial de développement de l'application (profil expert)</t>
  </si>
  <si>
    <t>Coûts initiaux d'infrastructure Azure (conception + entrainement des modèles) (NC6)</t>
  </si>
  <si>
    <t>Coûts initiaux d'infrastructure Azure (conception + entrainement des modèles) (NC12)</t>
  </si>
  <si>
    <t>Coûts annuels de maintenance de l'application (profil junior)</t>
  </si>
  <si>
    <t>Coûts annuels de maintenance de l'application (profil senior)</t>
  </si>
  <si>
    <t>Coûts annuels de maintenance de l'application (profil expert)</t>
  </si>
  <si>
    <t>ROI Junior NC6</t>
  </si>
  <si>
    <t>ROI Junior NC12</t>
  </si>
  <si>
    <t>ROI Senior NC6</t>
  </si>
  <si>
    <t>ROI Senior NC12</t>
  </si>
  <si>
    <t>ROI Expert NC6</t>
  </si>
  <si>
    <t>ROI Expert NC12</t>
  </si>
  <si>
    <t>V.3.  Calcul du ROI année par année en incluant les coûts ponctuels et annuels</t>
  </si>
  <si>
    <r>
      <rPr>
        <b/>
        <sz val="12"/>
        <color rgb="FF000000"/>
        <rFont val="Georgia"/>
        <family val="1"/>
      </rPr>
      <t xml:space="preserve">CHOIX parmi 4 valeurs : </t>
    </r>
    <r>
      <rPr>
        <sz val="12"/>
        <color rgb="FF000000"/>
        <rFont val="Georgia"/>
        <family val="1"/>
      </rPr>
      <t xml:space="preserve">
- "Must Have" : les fonctionnalités indispensables.
- “Should have”, les fonctionnalités importantes.
- “Could have”, les fonctionnalités de confort.
- “Want to have but Won’t have”, les fonctionnalités souhaitables, mais reportées.</t>
    </r>
  </si>
  <si>
    <t>CI_Dev</t>
  </si>
  <si>
    <t>CA_Inf_Production</t>
  </si>
  <si>
    <t>CA_Maintenance</t>
  </si>
  <si>
    <t>CI_Inf_Conception</t>
  </si>
  <si>
    <t>Coût initial de développement de l'application</t>
  </si>
  <si>
    <t>Formule du Calcul du ROI pour l'année i (i &gt;= 2025)</t>
  </si>
  <si>
    <t xml:space="preserve">Avec : </t>
  </si>
  <si>
    <t>Nom complet</t>
  </si>
  <si>
    <t>Abréviation</t>
  </si>
  <si>
    <t>Choix du profil parmi junior, senior, expert</t>
  </si>
  <si>
    <t>choix du type de machine : NC6 ou NC12</t>
  </si>
  <si>
    <t>Choix du type de machine : NC6 ou NC12</t>
  </si>
  <si>
    <t>Nbr de Client Payants Mensuels</t>
  </si>
  <si>
    <t>Coûts initiaux d'infrastructure Azure</t>
  </si>
  <si>
    <t>Coûts annuels d'infrastructure Azure</t>
  </si>
  <si>
    <t>V.4.  Visualisation Gains - Coûts cumulés</t>
  </si>
  <si>
    <t>Gains Cumulé</t>
  </si>
  <si>
    <t>Coûts Cumulée (Junior, NC6)</t>
  </si>
  <si>
    <t>Coûts Cumulée (Junior, NC12)</t>
  </si>
  <si>
    <t>Coûts Cumulée (Senior, NC6)</t>
  </si>
  <si>
    <t>Coûts Cumulée (Senior, NC12)</t>
  </si>
  <si>
    <t>Coûts Cumulée (Expert, NC6)</t>
  </si>
  <si>
    <t>Coûts Cumulée (Expert, NC12)</t>
  </si>
  <si>
    <t>V.4.1.  Gains ET Coûts cumulés</t>
  </si>
  <si>
    <t>V.4.2.  Gains MOINS Coûts cumulés</t>
  </si>
  <si>
    <t>Junior, NC6</t>
  </si>
  <si>
    <t>Junior, NC12</t>
  </si>
  <si>
    <t>Senior, NC6</t>
  </si>
  <si>
    <t>Senior, NC12</t>
  </si>
  <si>
    <t>Expert, NC6</t>
  </si>
  <si>
    <t>Expert, NC12</t>
  </si>
  <si>
    <t>Type</t>
  </si>
  <si>
    <t>Coût Ponctuel</t>
  </si>
  <si>
    <t>Coût Annuel</t>
  </si>
  <si>
    <t>NEGATIFS</t>
  </si>
  <si>
    <t>Positifs</t>
  </si>
  <si>
    <t>NEG, Junior, NC6</t>
  </si>
  <si>
    <t>POSITIF, Junior, NC6</t>
  </si>
  <si>
    <t>Coût  des machines virtuelle par mois</t>
  </si>
  <si>
    <t>Nbr de jour de travail du data Scientist</t>
  </si>
  <si>
    <t>Durée (%) sur le travail en utilisant les images stockées dans le cloud</t>
  </si>
  <si>
    <t>Durée (J) sur le travail en utilisant les image sstockées dans le cloud</t>
  </si>
  <si>
    <t>Triangle QCD</t>
  </si>
  <si>
    <t>Qualité</t>
  </si>
  <si>
    <t>Coûts</t>
  </si>
  <si>
    <t>Délais</t>
  </si>
  <si>
    <t>Poids brut (Mo) d'une image de dimension 1900*1600</t>
  </si>
  <si>
    <t>Nbr de photo moyen (dim 1900*1600)</t>
  </si>
  <si>
    <t>Poids Total (Go) des données utilisateur</t>
  </si>
  <si>
    <t>Nbr de Client Mensuel</t>
  </si>
  <si>
    <t>Coût de Stockage Annuel des données utilisateurs</t>
  </si>
  <si>
    <t>Nbr de Client Annuel</t>
  </si>
  <si>
    <t>IV.1.1. Données Utilisateurs et Coût de Stockage Annuel des données utilisateurs</t>
  </si>
  <si>
    <t>Mémoire SSD (NC6)</t>
  </si>
  <si>
    <t>Mémoire SSD (NC12)</t>
  </si>
  <si>
    <t>Nombre de machines NC6</t>
  </si>
  <si>
    <t>Nombre de machines NC12</t>
  </si>
  <si>
    <t>Coûts d'utilisation horaire des machines NC6</t>
  </si>
  <si>
    <t>Coûts d'utilisation horaire des machines NC12</t>
  </si>
  <si>
    <t>Coût Annuel d'utilisation des machines virtuelles NC6</t>
  </si>
  <si>
    <t>Coût Annuel d'utilisation des machines virtuelles NC12</t>
  </si>
  <si>
    <t>IV.1.2.  Coût annuel d'utilisation des machines virtuelles</t>
  </si>
  <si>
    <t>IV.1.3.  Coût Total annuel d'infrastructure Azure (phase de production)</t>
  </si>
  <si>
    <t>Coût Total Annuel d'infrastructure Azure (Phase de production) pour NC6</t>
  </si>
  <si>
    <t>Coût Total Annuel d'infrastructure Azure (Phase de production) pour NC12</t>
  </si>
  <si>
    <t>Coûts annuel Total d'infrastructure Azure (production) (NC6)</t>
  </si>
  <si>
    <t>Coûts annuel Total d'infrastructure Azure (production) (NC12)</t>
  </si>
  <si>
    <t>TOTAL (/300)</t>
  </si>
  <si>
    <t>Gains annuel projetés</t>
  </si>
  <si>
    <t>Sous-besoin en fonction de la pondération (Plus grand au plus petit)</t>
  </si>
  <si>
    <t xml:space="preserve">Exemple : </t>
  </si>
  <si>
    <t xml:space="preserve"> </t>
  </si>
  <si>
    <t>Graph réalisé avec Lucid.app</t>
  </si>
  <si>
    <t>Le sous besoin IV.1 a besoin que les tâches I.1, II.1 et II.2 soient terminé pour être réalisé</t>
  </si>
  <si>
    <t>Durée d'un sprint ?</t>
  </si>
  <si>
    <t>Responsable</t>
  </si>
  <si>
    <t>Story Points</t>
  </si>
  <si>
    <t>Start Date</t>
  </si>
  <si>
    <t>End Date</t>
  </si>
  <si>
    <t>Prioritaire</t>
  </si>
  <si>
    <t>Dev Front et Dev Back</t>
  </si>
  <si>
    <t>High</t>
  </si>
  <si>
    <t>Medium</t>
  </si>
  <si>
    <t>semaines</t>
  </si>
  <si>
    <t>Durée restante de la tâche durant le sprint (J)</t>
  </si>
  <si>
    <t>Obtenir des recommandations basées sur mes photos de vêtements (conception)</t>
  </si>
  <si>
    <t>SPRINT 2 - FEVRIER 2025</t>
  </si>
  <si>
    <t>SPRINT 1 - JANVIER 2025</t>
  </si>
  <si>
    <t>SPRINT 3 - MARS 2025</t>
  </si>
  <si>
    <t>Story Point Attribué</t>
  </si>
  <si>
    <t>Story Points (si tâche terminé par TOUS les métiers)</t>
  </si>
  <si>
    <t>18 (18)</t>
  </si>
  <si>
    <t>Durée durant le run (Durée Totale) [J]</t>
  </si>
  <si>
    <t>20 (72)</t>
  </si>
  <si>
    <t>20 (52)</t>
  </si>
  <si>
    <t>Cette tâche nécessite plusieurs étapes : la conception par le data scientist puis l'integration par les devs</t>
  </si>
  <si>
    <t>max jour de travail par mois</t>
  </si>
  <si>
    <t>Obtenir des recommandations basées sur mes photos de vêtements (intégration)</t>
  </si>
  <si>
    <t>20 (32)</t>
  </si>
  <si>
    <t>SPRINT 4 - AVRIL 2025</t>
  </si>
  <si>
    <t>12 (12)</t>
  </si>
  <si>
    <t>8 (72)</t>
  </si>
  <si>
    <t>20 (64)</t>
  </si>
  <si>
    <t>20 (44)</t>
  </si>
  <si>
    <t>Fin du II.2. : conception et intégration !</t>
  </si>
  <si>
    <t>8 (36)</t>
  </si>
  <si>
    <t>SPRINT 5 - MAI 2025</t>
  </si>
  <si>
    <t>SPRINT 6 - JUIN 2025</t>
  </si>
  <si>
    <t>SPRINT 7 - JUILLET 2025</t>
  </si>
  <si>
    <t>20 (24)</t>
  </si>
  <si>
    <t>20 (28)</t>
  </si>
  <si>
    <t>SPRINT 8 - AOUT 2025</t>
  </si>
  <si>
    <t>Attention !</t>
  </si>
  <si>
    <t>Parcontre pour terminer le II.2 (intergation des devs), il faut nécéssairement les sous besoins II.1 et I.1</t>
  </si>
  <si>
    <t>Certaines tâches peuvent être réalisée indépendament des autres (ex: sous besoin II.2. où le data scientist peut travailler dans nécéssité les sous-besoins II.1 ou I.1.)</t>
  </si>
  <si>
    <t>4 (4)</t>
  </si>
  <si>
    <t>8 (8)</t>
  </si>
  <si>
    <t>Fin de la conception et integration du II.3.</t>
  </si>
  <si>
    <t>La moitié des story point est attribué car la partie conception de II.2. est terminé mais l'intégration est encore en cours</t>
  </si>
  <si>
    <t>Fin du II.1.</t>
  </si>
  <si>
    <t>Fin du I.1.</t>
  </si>
  <si>
    <t>16 (72)</t>
  </si>
  <si>
    <t>12 (18)</t>
  </si>
  <si>
    <t>SPRINT 9 - SEPTEMBRE 2025</t>
  </si>
  <si>
    <t>20 (56)</t>
  </si>
  <si>
    <t>6 (6)</t>
  </si>
  <si>
    <t>Fin de III.1</t>
  </si>
  <si>
    <t>14 (27)</t>
  </si>
  <si>
    <t>SPRINT 10 - OCTOBRE 2025</t>
  </si>
  <si>
    <t>20 (36)</t>
  </si>
  <si>
    <t>20 (27)</t>
  </si>
  <si>
    <t>SPRINT 11 - NOVEMBRE 2025</t>
  </si>
  <si>
    <t>16 (16)</t>
  </si>
  <si>
    <t>7 (7)</t>
  </si>
  <si>
    <t>Fin de la conception et integration du II.4.</t>
  </si>
  <si>
    <t>9 (9)</t>
  </si>
  <si>
    <t>Low</t>
  </si>
  <si>
    <t>Fin du III.2</t>
  </si>
  <si>
    <t>4 (9)</t>
  </si>
  <si>
    <t>5 (72)</t>
  </si>
  <si>
    <t>5 (5)</t>
  </si>
  <si>
    <t>20 (67)</t>
  </si>
  <si>
    <t>Fin du III.3.</t>
  </si>
  <si>
    <t>15 (54)</t>
  </si>
  <si>
    <t>SPRINT 12 - DECEMBRE 2025</t>
  </si>
  <si>
    <t>SPRINT 13 - JANVIER 2026</t>
  </si>
  <si>
    <t>20 (47)</t>
  </si>
  <si>
    <t>20 (39)</t>
  </si>
  <si>
    <t>SPRINT 14 - FEVRIER 2026</t>
  </si>
  <si>
    <t>19 (19)</t>
  </si>
  <si>
    <t>SPRINT 15 - MARS 2026</t>
  </si>
  <si>
    <t xml:space="preserve">Fin du III.4. </t>
  </si>
  <si>
    <t>SPRINT 16 - AVRIL 2026</t>
  </si>
  <si>
    <t>Fin du IV.1.</t>
  </si>
  <si>
    <t>Fin du V.1</t>
  </si>
  <si>
    <t>5 (9)</t>
  </si>
  <si>
    <t>SPRINT 17 - MAI 2026</t>
  </si>
  <si>
    <t>Fin du V.2.</t>
  </si>
  <si>
    <t>Fin du V.3.</t>
  </si>
  <si>
    <t>Fin du V.4.</t>
  </si>
  <si>
    <t>SPRINT 18 - JUIN 2026</t>
  </si>
  <si>
    <t>Fin du V.5.</t>
  </si>
  <si>
    <t>Fin du VI.1.</t>
  </si>
  <si>
    <t>Fin du VI.2.</t>
  </si>
  <si>
    <t xml:space="preserve">Fin du VI.3. </t>
  </si>
  <si>
    <t>Fin du VI.4.</t>
  </si>
  <si>
    <t xml:space="preserve">9 (9) </t>
  </si>
  <si>
    <t>Fin du VI.5.</t>
  </si>
  <si>
    <t>Fin du VI.6.</t>
  </si>
  <si>
    <t xml:space="preserve">FIN DU PROJET </t>
  </si>
  <si>
    <t>TEMPS</t>
  </si>
  <si>
    <t>Reste à faire</t>
  </si>
  <si>
    <t>Journées idéales</t>
  </si>
  <si>
    <t>Burndown Chart - Vélocité de l'équipe</t>
  </si>
  <si>
    <t>Sprint Backlog Initial</t>
  </si>
  <si>
    <t>Organisation du Projet Application Mobile IA - Fashion-Insta</t>
  </si>
  <si>
    <t>Cadre Agile Scrum</t>
  </si>
  <si>
    <t>Le projet d'application mobile de recommandation d'articles vestimentaires basée sur des photos pour Fashion-Insta sera mené dans le cadre d'une démarche agile Scrum. Cette approche permettra une flexibilité et une adaptation accrues tout au long du développement, en tenant compte des retours et des besoins évolutifs.</t>
  </si>
  <si>
    <t>Responsable de la vision du produit et de la priorisation des fonctionnalités</t>
  </si>
  <si>
    <t>Représentant des besoins des utilisateurs et des parties prenantes</t>
  </si>
  <si>
    <t>Collaboration avec l'équipe de développement pour garantir la livraison du produit attendu</t>
  </si>
  <si>
    <t>Développeur Front-End:</t>
  </si>
  <si>
    <t>Conception et développement de l'interface utilisateur de l'application mobile</t>
  </si>
  <si>
    <t>Assurer la convivialité et l'ergonomie de l'application</t>
  </si>
  <si>
    <t>Développeur Back-End:</t>
  </si>
  <si>
    <t>Développement de l'architecture logicielle et des API back-end</t>
  </si>
  <si>
    <t>Intégration des modèles d'apprentissage automatique</t>
  </si>
  <si>
    <t>Gestion des données et de la base de données</t>
  </si>
  <si>
    <t>Data Scientist:</t>
  </si>
  <si>
    <t>Conception et développement des modèles d'apprentissage automatique pour la recommandation d'articles vestimentaires</t>
  </si>
  <si>
    <t>Préparation et traitement des données d'entraînement</t>
  </si>
  <si>
    <t>Évaluation et optimisation des performances des modèles</t>
  </si>
  <si>
    <t>Chef de Projet:</t>
  </si>
  <si>
    <t>Des rétrospectives de sprint permettront à l'équipe d'identifier les points d'amélioration et de mettre en place des actions correctives</t>
  </si>
  <si>
    <t>La flexibilité de la démarche Scrum permettra de réadapter le planning et les objectifs en cas d'imprévus ou de changement de priorités</t>
  </si>
  <si>
    <t>Des revues régulières du backlog produit seront organisées avec le Chef de Projet pour ajuster les priorités en fonction des besoins et des contraintes</t>
  </si>
  <si>
    <t>I. Rôles et Responsabilités</t>
  </si>
  <si>
    <t>II. Evénements SCRUM</t>
  </si>
  <si>
    <t>III. Points de Suivi et de Pilotage</t>
  </si>
  <si>
    <t>IV. Revue et Replanification</t>
  </si>
  <si>
    <t>4. Une estimation du temps nécéssaire pour réaliser la tâche et 5. Le statut de chaque tâche.</t>
  </si>
  <si>
    <t>Dépendences des Sous-besoins (pour les Dev Front et Back)</t>
  </si>
  <si>
    <t>/!\ Attention aux dépendences entre tâches!!! /!\</t>
  </si>
  <si>
    <t>Valeurs</t>
  </si>
  <si>
    <t>Must Have</t>
  </si>
  <si>
    <t>Should Have</t>
  </si>
  <si>
    <t>Could Have</t>
  </si>
  <si>
    <t>Would Have</t>
  </si>
  <si>
    <t>Won't Have</t>
  </si>
  <si>
    <t>(8, 5, 3)</t>
  </si>
  <si>
    <t>Commentaires</t>
  </si>
  <si>
    <t>Il n'y aura pas de Won't Have dans ce projet, tous les besoins ont été explicitement demandé par l'équipe produit dans la synthèse des besoins.</t>
  </si>
  <si>
    <t xml:space="preserve">Interprétation : </t>
  </si>
  <si>
    <t>Si la ligne bleue est plus raide au début du projet, cela signifie que les tâches les plus importantes sont réalisées en premier.</t>
  </si>
  <si>
    <t>Si la ligne bleue est plus plate à la fin du projet, cela signifie que les tâches restantes sont moins importantes ou plus faciles à réaliser.</t>
  </si>
  <si>
    <t>Si le "Reste à Faire" reste au dessus de la ligne rouge, alors le projet est sur la bonne voie pour être terminé dans les délais.</t>
  </si>
  <si>
    <t>Si le "Reste à Faire" est en dessous de la ligne rouge, cela signifie que le projet est en retard et qu'il faudra prendre des mesures correctives pour rattraper le retard.</t>
  </si>
  <si>
    <t>La couleur des onglets indique la semaine du projet (1ere semaine, 2ème, …)</t>
  </si>
  <si>
    <t>Semaine 1 - Expression des besoins du projet application mobile IA</t>
  </si>
  <si>
    <t>Semaine 2 - Chiffrage et rentabilité du projet application mobile IA</t>
  </si>
  <si>
    <t>Semaine 3 - Gestion des données personnelles et gestion des risques</t>
  </si>
  <si>
    <t>ACTIONS</t>
  </si>
  <si>
    <t>I. et II.</t>
  </si>
  <si>
    <t>III., IV. et V.</t>
  </si>
  <si>
    <t>Onglets</t>
  </si>
  <si>
    <t xml:space="preserve">Description  du traitement  </t>
  </si>
  <si>
    <t>Nom du traitement</t>
  </si>
  <si>
    <t>N° / RÉF</t>
  </si>
  <si>
    <t>ref-001</t>
  </si>
  <si>
    <t>Date de création du traitement</t>
  </si>
  <si>
    <t>Mise à jour du traitement</t>
  </si>
  <si>
    <t>Acteurs</t>
  </si>
  <si>
    <t>Nom</t>
  </si>
  <si>
    <t>Adresse</t>
  </si>
  <si>
    <t>Code Postal</t>
  </si>
  <si>
    <t>Ville</t>
  </si>
  <si>
    <t>Pays</t>
  </si>
  <si>
    <t>Téléphone</t>
  </si>
  <si>
    <t>Adresse mél</t>
  </si>
  <si>
    <t>Responsable du traitement</t>
  </si>
  <si>
    <t>Délégué à la protection des données</t>
  </si>
  <si>
    <t>Société du DPO (si celui-ci est externe)</t>
  </si>
  <si>
    <t>Représentant</t>
  </si>
  <si>
    <t>Responsable(s) conjoint(s)</t>
  </si>
  <si>
    <t>Finalité(s) du traitement effectué</t>
  </si>
  <si>
    <t>Finalité principale</t>
  </si>
  <si>
    <t>Sous-finalité 1</t>
  </si>
  <si>
    <t>Sous-finalité 2</t>
  </si>
  <si>
    <t>Sous-finalité 3</t>
  </si>
  <si>
    <t>Sous-finalité 4</t>
  </si>
  <si>
    <t>Sous-finalité 5</t>
  </si>
  <si>
    <t>Catégories de données personnelles concernées</t>
  </si>
  <si>
    <t>Description</t>
  </si>
  <si>
    <t>Durée de conservation</t>
  </si>
  <si>
    <t>État civil, identité, données d'identification, images…</t>
  </si>
  <si>
    <t>Vie personnelle (habitudes de vie, situation familiale, etc.)</t>
  </si>
  <si>
    <t>Informations d'ordre économique et financier (revenus, situation financière, situation fiscale, etc.)</t>
  </si>
  <si>
    <t>Données de connexion (adress IP, logs, etc.)</t>
  </si>
  <si>
    <t>Données de localisation (déplacements, données GPS, GSM, etc.)</t>
  </si>
  <si>
    <t>Numéro de Sécurité Sociale (ou NIR)</t>
  </si>
  <si>
    <t>Données sensibles</t>
  </si>
  <si>
    <t>Données révélant l'origine raciale ou ethnique</t>
  </si>
  <si>
    <t>Données révélant les opinions politiques</t>
  </si>
  <si>
    <t>Données révélant les convictions religieuses ou philosophiques </t>
  </si>
  <si>
    <t>Données révélant l'appartenance syndicale</t>
  </si>
  <si>
    <t>Données génétiques</t>
  </si>
  <si>
    <t>Données biométriques aux fins d'identifier une personne physique de manière unique</t>
  </si>
  <si>
    <t>Données concernant la santé</t>
  </si>
  <si>
    <t>Données concernant la vie sexuelle ou l'orientation sexuelle</t>
  </si>
  <si>
    <t>Données relatives à des condamnations pénales ou  infractions</t>
  </si>
  <si>
    <t>Catégories de personnes concernées</t>
  </si>
  <si>
    <t>Précisions</t>
  </si>
  <si>
    <t>Catégorie de personnes 1</t>
  </si>
  <si>
    <t>Catégorie de personnes 2</t>
  </si>
  <si>
    <t>Destinataires</t>
  </si>
  <si>
    <t>Type de destinataire</t>
  </si>
  <si>
    <t>Destinataire 1</t>
  </si>
  <si>
    <t>Destinataire 2</t>
  </si>
  <si>
    <t>Destinataire 3</t>
  </si>
  <si>
    <t>Destinataire 4</t>
  </si>
  <si>
    <t>Mesures de sécurité</t>
  </si>
  <si>
    <t>Type de mesure de sécurité</t>
  </si>
  <si>
    <t>Mesure de sécurité 1</t>
  </si>
  <si>
    <t>Mesure de sécurité 2</t>
  </si>
  <si>
    <t>Mesure de sécurité 3</t>
  </si>
  <si>
    <t>Transferts hors UE</t>
  </si>
  <si>
    <t>Destinataire</t>
  </si>
  <si>
    <t>Type de Garanties</t>
  </si>
  <si>
    <t>Liens vers la documentation</t>
  </si>
  <si>
    <t>Organisme destinataire 1</t>
  </si>
  <si>
    <t>Organisme destinataire 2</t>
  </si>
  <si>
    <t>Organisme destinataire 3</t>
  </si>
  <si>
    <t>Organisme destinataire 4</t>
  </si>
  <si>
    <t>VI. Et VII.</t>
  </si>
  <si>
    <t>6 besoins pour 15 sous-besoins (dont certains qui nécéssite d'etre découpé !!)</t>
  </si>
  <si>
    <t>Fiche de registre à compléter</t>
  </si>
  <si>
    <t>Sélection des sous-besoins pour le registre de traitements</t>
  </si>
  <si>
    <t>Conformément aux directives d'Alicia et en vue de répondre aux exigences du RGPD, il est pertinent de sélectionner deux sous-besoins parmi ceux listés pour la création du registre de traitements de l'application mobile Fashion-Insta.</t>
  </si>
  <si>
    <t>Critères de sélection :</t>
  </si>
  <si>
    <t>Sous-besoins sélectionnés :</t>
  </si>
  <si>
    <t>1. Obtenir des recommandations basées sur mes photos de vêtements (II.2):</t>
  </si>
  <si>
    <t>2. Accéder à mes données personnelles (VI.2):</t>
  </si>
  <si>
    <t>VI.2. Accéder à mes données personnelles</t>
  </si>
  <si>
    <t>Jim Parsons</t>
  </si>
  <si>
    <t>Fashion-Insta</t>
  </si>
  <si>
    <t>8 Av. Lacanau</t>
  </si>
  <si>
    <t>13180</t>
  </si>
  <si>
    <t>Gignac-La-Nerthe</t>
  </si>
  <si>
    <t>FRANCE</t>
  </si>
  <si>
    <t>06 XX XX XX XX</t>
  </si>
  <si>
    <t>contact@fashion-Insta.fr</t>
  </si>
  <si>
    <t>jim-parsons@fashion-insta.fr</t>
  </si>
  <si>
    <t>Permettre aux utilisateurs de l'application mobile Fashion-Insta d'accéder à leurs données personnelles collectées et traitées par l'application.</t>
  </si>
  <si>
    <t>Permettre aux utilisateurs de consulter leurs données personnelles, telles que leurs nom, prénom, adresse email, date de naissance, sexe, préférences vestimentaires et photos etc.</t>
  </si>
  <si>
    <t>Permettre aux utilisateurs de télécharger leurs données personnelles dans un format structuré et couramment utilisé.</t>
  </si>
  <si>
    <t>Permettre aux utilisateurs de modifier leurs données personnelles si elles sont erronées ou incomplètes.</t>
  </si>
  <si>
    <t>Permettre aux utilisateurs de supprimer leurs données personnelles.</t>
  </si>
  <si>
    <t>Répondre aux demandes d'accès aux données personnelles des utilisateurs conformément aux obligations légales et réglementaires.</t>
  </si>
  <si>
    <t>État civil,images, identité, données d'identification (nom, prénom, adresse email, date de naissance, sexe)</t>
  </si>
  <si>
    <t>Jusqu'à la suppression du compte utilisateur</t>
  </si>
  <si>
    <t>Préférences vestimentaires (styles préférés, marques préférées)</t>
  </si>
  <si>
    <t>Données d'utilisation de l'application (historique des recherches, des recommandations, des achats)</t>
  </si>
  <si>
    <t>2 ans</t>
  </si>
  <si>
    <t>Données de connexion (adresse IP, logs)</t>
  </si>
  <si>
    <t>1 an</t>
  </si>
  <si>
    <t>Utilisateurs de l'application Fashion-Insta</t>
  </si>
  <si>
    <t>Tous les utilisateurs de l'application</t>
  </si>
  <si>
    <t>Personnel habilité de Fashion-Insta</t>
  </si>
  <si>
    <t>Le personnel habilité de Fashion-Insta a accès aux données personnelles des utilisateurs dans le cadre de ses missions et conformément aux procédures internes de l'entreprise.</t>
  </si>
  <si>
    <t>Sous-traitants</t>
  </si>
  <si>
    <t>Fashion-Insta peut faire appel à des sous-traitants pour l'exécution de certaines tâches, telles que l'hébergement des données ou la gestion des demandes d'accès aux données. Les sous-traitants sont sélectionnés avec soin et contractuellement tenus de respecter les obligations du RGPD.</t>
  </si>
  <si>
    <t>Mesures de sécurité physiques</t>
  </si>
  <si>
    <t>Mesures de sécurité techniques</t>
  </si>
  <si>
    <t>Mesures de sécurité organisationnelles</t>
  </si>
  <si>
    <t>Les données personnelles sont stockées dans des locaux sécurisés avec accès contrôlé.</t>
  </si>
  <si>
    <t>Les données personnelles sont chiffrées au repos et en transit. Des mesures de sécurité sont mises en place pour protéger les données contre les accès non autorisés, les modifications non autorisées, la divulgation non autorisée et la perte accidentelle.</t>
  </si>
  <si>
    <t>Le personnel de Fashion-Insta est sensibilisé aux enjeux de la protection des données personnelles et formé aux procédures de sécurité en vigueur. Des procédures internes sont mises en place pour gérer les incidents de sécurité.</t>
  </si>
  <si>
    <t>Aucun transfert de données personnelles vers un pays hors UE n'est prévu dans le cadre de ce traitement.</t>
  </si>
  <si>
    <t xml:space="preserve">Contient 2 fiches de registres: 1. pour VI.2. Accéder à mes données personelles et 2. pour II.2. Obtenir des recommandations basées sur mes photos de vêtements </t>
  </si>
  <si>
    <t>FICHE n°2 : Obtenir des recommandations basées sur mes photos de vêtements (II.2)</t>
  </si>
  <si>
    <t>FICHE n°1 : Accéder à mes données personnelles (VI.2.)</t>
  </si>
  <si>
    <t>ref-002</t>
  </si>
  <si>
    <t>Obtention de recommandations d'articles vestimentaires basées sur des photos d'utilisateurs</t>
  </si>
  <si>
    <t>Proposer aux utilisateurs des recommandations d'articles vestimentaires susceptibles de les intéresser en analysant des photos qu'ils fournissent de leurs vêtements</t>
  </si>
  <si>
    <t>Améliorer l'expérience utilisateur en proposant des recommandations personnalisées et pertinentes</t>
  </si>
  <si>
    <t>Augmenter les ventes de Fashion-Insta en recommandant des articles susceptibles d'être achetés par les utilisateurs</t>
  </si>
  <si>
    <t>Développer des algorithmes d'analyse d'images performants pour la recommandation d'articles vestimentaires</t>
  </si>
  <si>
    <t xml:space="preserve">Réaliser des études de marché sur les tendances de la mode
</t>
  </si>
  <si>
    <t>Photos d'utilisateurs portant des vêtements</t>
  </si>
  <si>
    <t>Données de connexion (adresse IP, date et heure de connexion)</t>
  </si>
  <si>
    <t>Identifiant de l'appareil</t>
  </si>
  <si>
    <t>3 ans</t>
  </si>
  <si>
    <t>Jusqu'à la suppression du compte utilisateur (3 ans pour les photos)</t>
  </si>
  <si>
    <t>Utilisateurs de l'application mobile Fashion-Insta</t>
  </si>
  <si>
    <t>Adultes et mineurs</t>
  </si>
  <si>
    <t xml:space="preserve">   Il est crucial d'examiner les mesures de sécurité et de protection des données mises en place pour garantir le traitement responsable de ces données.</t>
  </si>
  <si>
    <t>Ce sous-besoin implique le traitement de données d'images sensibles, telles que des photos de l'utilisateur portant des vêtements. L'analyse de ces images par l'IA pour générer des recommandations soulève des questions importantes en matière de confidentialité et de respect de la vie privée.</t>
  </si>
  <si>
    <t xml:space="preserve">Ce sous-besoin est fondamental pour le respect des droits des utilisateurs en vertu du RGPD. Il permet aux utilisateurs d'accéder à leurs données personnelles collectées par l'application, de les consulter et de comprendre comment elles sont traitées. </t>
  </si>
  <si>
    <t>L'analyse de ce sous-besoin permettra de vérifier la conformité de l'application aux principes de minimisation des données et de transparence.</t>
  </si>
  <si>
    <t>Contexte du projet</t>
  </si>
  <si>
    <t xml:space="preserve">2 types de risques : </t>
  </si>
  <si>
    <t>- Risques génériques (sur le QCD)</t>
  </si>
  <si>
    <t>- Risques spécifiques</t>
  </si>
  <si>
    <t xml:space="preserve">Etapes majeures de la gestion des risques : </t>
  </si>
  <si>
    <t>I. Contexte du projet</t>
  </si>
  <si>
    <t>II. DESCRIPTION DU PROJET : Méthode QQOQCP</t>
  </si>
  <si>
    <t>Quoi ?</t>
  </si>
  <si>
    <t>Où ?</t>
  </si>
  <si>
    <t>Quand ?</t>
  </si>
  <si>
    <t>Comment ?</t>
  </si>
  <si>
    <t>Combien ?</t>
  </si>
  <si>
    <t>Pourquoi ?</t>
  </si>
  <si>
    <t>Pour quoi ?</t>
  </si>
  <si>
    <t>Question</t>
  </si>
  <si>
    <t>Réponse</t>
  </si>
  <si>
    <t>Objet du projet</t>
  </si>
  <si>
    <t>Finalités du projet</t>
  </si>
  <si>
    <t>Livrables du projet</t>
  </si>
  <si>
    <t>Qui</t>
  </si>
  <si>
    <t>Acteurs du projet</t>
  </si>
  <si>
    <t>Responsable du projet (Alicia), DPO, Développeurs (Front et Back-End), Data Scientist, Chef de Projet, Utilisateurs de l'applications</t>
  </si>
  <si>
    <t>Environnement du projet</t>
  </si>
  <si>
    <t>Planning du projet</t>
  </si>
  <si>
    <t>Méthodologie du projet</t>
  </si>
  <si>
    <t>Coût du projet</t>
  </si>
  <si>
    <t>Bénéfices attendus</t>
  </si>
  <si>
    <t>- Augmenter les ventes de Fashion-Insta.</t>
  </si>
  <si>
    <t>- Améliorer l'expérience utilisateur.</t>
  </si>
  <si>
    <t xml:space="preserve"> - Développer des algorithmes d'analyse d'images performants.</t>
  </si>
  <si>
    <t xml:space="preserve"> - Réaliser des études de marché sur les tendances de la mode.</t>
  </si>
  <si>
    <t xml:space="preserve">- Application mobile iOS et Android. </t>
  </si>
  <si>
    <t xml:space="preserve">- API de recommandation d'articles vestimentaires. </t>
  </si>
  <si>
    <t>- Base de données d'images d'articles vestimentaires.</t>
  </si>
  <si>
    <t xml:space="preserve"> - Documentation du projet.</t>
  </si>
  <si>
    <t xml:space="preserve">- Développement de l'application en interne. </t>
  </si>
  <si>
    <t>- Hébergement de l'application sur AWS.</t>
  </si>
  <si>
    <t>- Données stockées dans un centre de données sécurisé.</t>
  </si>
  <si>
    <t>- Développement d'une application mobile de recommandation d'articles vestimentaires basée sur des photos pour Fashion-Insta.</t>
  </si>
  <si>
    <t>- Méthodologie agile SCRUM.</t>
  </si>
  <si>
    <t xml:space="preserve"> - Gestion des risques </t>
  </si>
  <si>
    <t>- Respect des bonnes pratiques de Développement et de sécurité.</t>
  </si>
  <si>
    <t xml:space="preserve">Quatre types de coûts : </t>
  </si>
  <si>
    <t>- Coûts initial de développement de l'application (profil junior dû au contexte) : 420 k€,</t>
  </si>
  <si>
    <t xml:space="preserve">-  Coûts initiaux d'infrastructure Azure (conception + entrainement des modèles) (NC6) : 30 k€, </t>
  </si>
  <si>
    <t xml:space="preserve">- Coûts annuels de maintenance de l'application (profil junior) : 63 k€ </t>
  </si>
  <si>
    <t>- Coûts annuel Total d'infrastructure Azure (production) (NC6) (estimation de 66 € la première année de fonctionnement puis d'1 m€ au bout de 5 ans).</t>
  </si>
  <si>
    <t xml:space="preserve">- Amélioration de la satisfaction client, </t>
  </si>
  <si>
    <t xml:space="preserve">- Augmentation des ventes (90 k€ la première année puis 1.4 m€ la 5ème année), </t>
  </si>
  <si>
    <t>- Croissance du marché de la mode en ligne.</t>
  </si>
  <si>
    <t>- Nécessité de se différencier des concurrents.</t>
  </si>
  <si>
    <t xml:space="preserve">- Augmentation de la demande de recommandations personnalisées. </t>
  </si>
  <si>
    <t>- Fin de projet : 24/08/2026</t>
  </si>
  <si>
    <t xml:space="preserve">- Début de projet : 01/01/2025, puis un sprint par mois. </t>
  </si>
  <si>
    <t>- Acquisition de nouveaux utilisateurs et/ou fidélisation des utilisateurs existants</t>
  </si>
  <si>
    <t xml:space="preserve">L'objectif de cette matrice SWOT est d'identifier les forces, faiblesses, opportunités et menaces du projet d'application mobile Fashion-Insta. </t>
  </si>
  <si>
    <t>Cette analyse permettra de mieux comprendre les facteurs internes et externes qui peuvent influencer le succès du projet et de définir des stratégies pour maximiser les chances de réussite.</t>
  </si>
  <si>
    <t>II.1. Choix de la pondération de la User Story</t>
  </si>
  <si>
    <t>II.2. Table de conversion MoSCoW &lt;--&gt; Pondération</t>
  </si>
  <si>
    <t>(hypothèse: les besoins reçus sont les besoins minimaux de l'application !!)</t>
  </si>
  <si>
    <t>I. Méthode INVEST pour créer les User Stories</t>
  </si>
  <si>
    <t>Voici ce que signifie chaque lettre de l'acronyme INVEST :</t>
  </si>
  <si>
    <t>Facteurs de risque</t>
  </si>
  <si>
    <t>Risque
(événement redouté)</t>
  </si>
  <si>
    <t>Conséquence</t>
  </si>
  <si>
    <t>Impact
(0 à3)</t>
  </si>
  <si>
    <t>Probabilité
(0 à 3)</t>
  </si>
  <si>
    <t>Criticité
(impact*prob)</t>
  </si>
  <si>
    <t>Actions de prévention
(pour éviter l'événement redouté)</t>
  </si>
  <si>
    <t>Etant donné que …</t>
  </si>
  <si>
    <t>Si …</t>
  </si>
  <si>
    <t>Alors …</t>
  </si>
  <si>
    <t>Type de risque</t>
  </si>
  <si>
    <t>Risques Technique</t>
  </si>
  <si>
    <t>cela pourrait entraîner des retards dans le développement du projet ou des dysfonctionnements de l'application une fois déployée.</t>
  </si>
  <si>
    <t>Difficulté d'intégration de l'API</t>
  </si>
  <si>
    <t xml:space="preserve"> l'intégration de l'API de recommandation de vêtements implique la connexion de différents systèmes et technologies,</t>
  </si>
  <si>
    <t>- Effectuer des tests rigoureux de l'API avant son intégration.
- Choisir une API compatible avec les technologies de votre application.</t>
  </si>
  <si>
    <t>Problèmes de performance</t>
  </si>
  <si>
    <t xml:space="preserve"> l'API de recommandation de vêtements doit traiter un grand nombre de données et de requêtes,</t>
  </si>
  <si>
    <t>elle n'est pas optimisée correctement,</t>
  </si>
  <si>
    <t>cela pourrait entraîner des temps de réponse lents, des plantages fréquents ou une expérience utilisateur médiocre.</t>
  </si>
  <si>
    <t>- Choisir une API performante et évolutive.
-Optimiser les requêtes API pour réduire la charge du serveur.
-Mettre en place des mécanismes de mise en cache pour les données fréquemment consultées.</t>
  </si>
  <si>
    <t>Dépendances vis-à-vis de fournisseurs tiers</t>
  </si>
  <si>
    <t>vous dépendez du fournisseur de l'API pour le bon fonctionnement de la fonctionnalité de recommandation,</t>
  </si>
  <si>
    <t>le fournisseur rencontre des problèmes ou cesse de fournir l'API,</t>
  </si>
  <si>
    <t>cela pourrait affecter la disponibilité ou les performances de votre application.</t>
  </si>
  <si>
    <t>- Choisir un fournisseur d'API fiable et réputé.
- Négocier un contrat de niveau de service (SLA) avec le fournisseur pour garantir la disponibilité et les performances de l'API.
- Développer un plan de secours en cas de défaillance du fournisseur.</t>
  </si>
  <si>
    <t xml:space="preserve">NOTE : Le Service Level Agreement (SLA) est une partie de contrat de service entre un prestataire informatique et son client qui définit le niveau de service attendu et les garanties associées. </t>
  </si>
  <si>
    <t>Exposition des données personnelles des utilisateurs</t>
  </si>
  <si>
    <t xml:space="preserve"> l'API de recommandation de vêtements collecte et traite des données personnelles des utilisateurs, telles que leurs préférences vestimentaires et leurs historiques d'achats,</t>
  </si>
  <si>
    <t>ces données ne sont pas correctement sécurisées,</t>
  </si>
  <si>
    <t>cela pourrait les exposer à des risques de vol d'identité, de fraude ou d'abus de données.</t>
  </si>
  <si>
    <t>- Mettre en œuvre des mesures de sécurité strictes pour protéger les données des utilisateurs, telles que le chiffrement, le contrôle d'accès et la pseudonymisation.
- Limiter la collecte et le stockage des données personnelles au strict minimum nécessaire.
- Sensibiliser les utilisateurs aux risques liés à la sécurité des données et aux mesures prises pour les protéger.
- Se conformer aux réglementations applicables en matière de protection des données, telles que le RGPD.</t>
  </si>
  <si>
    <t>Failles de sécurité potentielles</t>
  </si>
  <si>
    <t>les systèmes informatiques sont vulnérables aux failles de sécurité,</t>
  </si>
  <si>
    <t>une faille de sécurité est découverte dans l'API de recommandation de vêtements ou dans votre application,</t>
  </si>
  <si>
    <t>cela pourrait permettre à des pirates informatiques d'accéder aux données des utilisateurs ou de prendre le contrôle de l'application.</t>
  </si>
  <si>
    <t>- Effectuer des tests de sécurité réguliers de l'API et de votre application pour identifier et corriger les failles de sécurité.
- Mettre à jour régulièrement les logiciels et les systèmes d'exploitation.
- Appliquer le principe du moindre privilège, en donnant aux utilisateurs et aux systèmes uniquement les accès nécessaires.
- Mettre en place un plan de réponse aux incidents pour gérer les failles de sécurité.</t>
  </si>
  <si>
    <t>Apparition de concurrents</t>
  </si>
  <si>
    <t>le marché des applications de recommandation de vêtements est en pleine croissance,</t>
  </si>
  <si>
    <t>de nouveaux concurrents entrent sur le marché avec des fonctionnalités ou des services similaires,</t>
  </si>
  <si>
    <t>cela pourrait réduire votre part de marché, votre visibilité auprès des utilisateurs et votre avantage concurrentiel.</t>
  </si>
  <si>
    <t>Perte de visibilité</t>
  </si>
  <si>
    <t>la visibilité d'une application dans les app stores et sur les plateformes de médias sociaux est cruciale pour son succès,</t>
  </si>
  <si>
    <t>votre application est difficile à trouver ou si elle ne reçoit pas de critiques et de mentions favorables,</t>
  </si>
  <si>
    <t xml:space="preserve"> cela pourrait réduire le nombre de téléchargements et d'utilisateurs actifs.</t>
  </si>
  <si>
    <t>- Optimiser le référencement de votre application dans les app stores pour améliorer sa visibilité.
- Encourager les utilisateurs à laisser des avis positifs et à partager l'application sur les réseaux sociaux.
- Collaborer avec des influenceurs et des partenaires pour promouvoir votre application.</t>
  </si>
  <si>
    <t>- Différencier votre application en proposant des fonctionnalités uniques, en ciblant un marché de niche ou en offrant une expérience utilisateur supérieure.
- Surveiller attentivement la concurrence et analyser leurs produits et services.
- Adapter votre stratégie en fonction des tendances du marché et des actions des concurrents.</t>
  </si>
  <si>
    <t>Conformité à la protection de la vie privée</t>
  </si>
  <si>
    <t>l'API de recommandation de vêtements collecte et traite des données personnelles des utilisateurs,</t>
  </si>
  <si>
    <t>vous ne vous conformez pas aux réglementations applicables en matière de protection de la vie privée, telles que le RGPD</t>
  </si>
  <si>
    <t>vous risquez des amendes importantes, des sanctions réglementaires et une atteinte à la réputation de votre entreprise.</t>
  </si>
  <si>
    <t>- Identifier les réglementations en matière de protection de la vie privée auxquelles vous êtes soumis.
- Mettre en place des mesures de protection des données pour garantir la collecte, le traitement et le stockage des données des utilisateurs conformément à la loi.
- Obtenir le consentement des utilisateurs pour la collecte et l'utilisation de leurs données personnelles.
- Offrir aux utilisateurs des options pour contrôler et gérer leurs données personnelles.</t>
  </si>
  <si>
    <t>Défis de planification</t>
  </si>
  <si>
    <t>le développement d'une application de recommandation de vêtements implique plusieurs étapes et dépendances interdépendantes,</t>
  </si>
  <si>
    <t>la planification du projet n'est pas claire, détaillée et réaliste,</t>
  </si>
  <si>
    <t>cela pourrait entraîner des retards, des dépassements de budget et une mauvaise allocation des ressources.</t>
  </si>
  <si>
    <t>- Définir des objectifs clairs et mesurables pour le projet.
- Décomposer le projet en tâches plus petites et gérables.
- Établir un calendrier réaliste avec des jalons et des échéances claires.</t>
  </si>
  <si>
    <t>Difficultés de coordination d'équipe</t>
  </si>
  <si>
    <t>le développement d'une application implique la collaboration de différentes équipes et individus,</t>
  </si>
  <si>
    <t>la communication et la coordination entre les membres de l'équipe ne sont pas efficaces,</t>
  </si>
  <si>
    <t>cela pourrait entraîner des malentendus, des duplications de travail et des retards.</t>
  </si>
  <si>
    <t>- Établir des canaux de communication clairs et ouverts entre les membres de l'équipe.
- Organiser des réunions régulières pour discuter de l'avancement du projet, des problèmes et des solutions.
- Utiliser des outils de gestion de projet pour faciliter la collaboration et le partage de fichiers.</t>
  </si>
  <si>
    <t>Dépassement du budget</t>
  </si>
  <si>
    <t>le développement d'une application mobile peut s'avérer coûteux, impliquant des frais de licence, de développement, de tests, de déploiement et de maintenance,</t>
  </si>
  <si>
    <t>le budget du projet n'est pas correctement défini, contrôlé et géré,</t>
  </si>
  <si>
    <t>cela pourrait entraîner des dépassements de budget, des contraintes financières pour l'entreprise et des répercussions sur d'autres projets.</t>
  </si>
  <si>
    <t>- Établir un budget détaillé et réaliste pour le projet, en tenant compte de tous les coûts potentiels.
- Mettre en place un système de suivi des dépenses pour surveiller les dépenses et identifier les écarts par rapport au budget.
- Identifier les opportunités d'économiser des coûts, telles que la négociation de contrats de licence d'API ou l'utilisation de ressources open source.</t>
  </si>
  <si>
    <t>Coûts imprévus</t>
  </si>
  <si>
    <t>des imprévus peuvent survenir pendant le développement du projet, tels que des problèmes techniques, des retards ou des changements de exigences,</t>
  </si>
  <si>
    <t>cela pourrait entraîner des coûts supplémentaires et des contraintes financières.</t>
  </si>
  <si>
    <t>des imprévus ne sont pas pris en compte dans le budget,</t>
  </si>
  <si>
    <t>- Prévoir une réserve pour imprévus dans le budget du projet.</t>
  </si>
  <si>
    <t>Défauts de l'application</t>
  </si>
  <si>
    <t>les logiciels complexes comme les applications mobiles sont sujets à des bugs et à des défauts,</t>
  </si>
  <si>
    <t>ces défauts ne sont pas détectés et corrigés rapidement,</t>
  </si>
  <si>
    <t>cela pourrait entraîner des plantages de l'application, des erreurs de fonctionnement ou une expérience utilisateur médiocre.</t>
  </si>
  <si>
    <t>- Mettre en place un processus de test rigoureux avant de déployer l'application en production.
- Surveiller en permanence les performances de l'application pour identifier les problèmes potentiels.
- Encourager les utilisateurs à signaler les bugs et les problèmes.</t>
  </si>
  <si>
    <t>Risques liés à la maintenance</t>
  </si>
  <si>
    <t>Risques financiers</t>
  </si>
  <si>
    <t>Risques liés à la gestion de projet</t>
  </si>
  <si>
    <t>Risques liés à la conformité réglementaire</t>
  </si>
  <si>
    <t>Risques liés à la concurrence</t>
  </si>
  <si>
    <t>Risques liés à la sécurité des données</t>
  </si>
  <si>
    <t>des problèmes de compatibilité ou de communication surviennent,</t>
  </si>
  <si>
    <t>Retards dans le développement du projet ou dysfonctionnements de l'application une fois déployée.</t>
  </si>
  <si>
    <t>Temps de réponse lents, plantages fréquents ou expérience utilisateur médiocre.</t>
  </si>
  <si>
    <t>Indisponibilité ou baisse des performances de la fonctionnalité de recommandation.</t>
  </si>
  <si>
    <t>Vol d'identité, fraude ou abus de données des utilisateurs.</t>
  </si>
  <si>
    <t>Accès non autorisé aux données des utilisateurs ou prise de contrôle de l'application.</t>
  </si>
  <si>
    <t>Perte de part de marché, visibilité réduite auprès des utilisateurs et avantage concurrentiel diminué.</t>
  </si>
  <si>
    <t>Diminution du nombre de téléchargements et d'utilisateurs actifs.</t>
  </si>
  <si>
    <t>Sous-Type de risque</t>
  </si>
  <si>
    <t>Amendes importantes, sanctions réglementaires et atteinte à la réputation de l'entreprise.</t>
  </si>
  <si>
    <t>Retard dans le développement des fonctionnalités ou dans la livraison du projet.</t>
  </si>
  <si>
    <t>Malentendus, duplications de travail et retards.</t>
  </si>
  <si>
    <t>Dépassements de budget, contraintes financières pour l'entreprise et répercussions sur d'autres projets.</t>
  </si>
  <si>
    <t>Coûts supplémentaires et contraintes financières.</t>
  </si>
  <si>
    <t>Plantages de l'application, erreurs de fonctionnement ou expérience utilisateur médiocre.</t>
  </si>
  <si>
    <t xml:space="preserve">Conséquences
</t>
  </si>
  <si>
    <t>Impact (en coût, délai, qualité)</t>
  </si>
  <si>
    <r>
      <t xml:space="preserve">La structure </t>
    </r>
    <r>
      <rPr>
        <b/>
        <sz val="12"/>
        <color rgb="FF271A38"/>
        <rFont val="Georgia"/>
        <family val="1"/>
      </rPr>
      <t>INVEST</t>
    </r>
    <r>
      <rPr>
        <sz val="12"/>
        <color rgb="FF271A38"/>
        <rFont val="Georgia"/>
        <family val="1"/>
      </rPr>
      <t xml:space="preserve"> est une méthode utilisée pour définir et évaluer les "user stories" (scénarios d'utilisation) dans le cadre de la méthodologie Agile. Elle garantit que les "user stories" sont de haute qualité et qu'elles répondent aux besoins des utilisateurs de manière efficace. </t>
    </r>
  </si>
  <si>
    <r>
      <t xml:space="preserve">1. </t>
    </r>
    <r>
      <rPr>
        <b/>
        <sz val="12"/>
        <color rgb="FF271A38"/>
        <rFont val="Georgia"/>
        <family val="1"/>
      </rPr>
      <t>Independent</t>
    </r>
    <r>
      <rPr>
        <sz val="12"/>
        <color rgb="FF271A38"/>
        <rFont val="Georgia"/>
        <family val="1"/>
      </rPr>
      <t xml:space="preserve"> (Indépendante) : Chaque "user story" doit être indépendante des autres. Cela signifie qu'elle doit pouvoir être mise en œuvre et livrée de manière autonome, sans dépendre d'autres fonctionnalités ou "user stories". Cela facilite la planification, le développement et les tests.</t>
    </r>
  </si>
  <si>
    <r>
      <t xml:space="preserve">2. </t>
    </r>
    <r>
      <rPr>
        <b/>
        <sz val="12"/>
        <color rgb="FF271A38"/>
        <rFont val="Georgia"/>
        <family val="1"/>
      </rPr>
      <t>Negotiable</t>
    </r>
    <r>
      <rPr>
        <sz val="12"/>
        <color rgb="FF271A38"/>
        <rFont val="Georgia"/>
        <family val="1"/>
      </rPr>
      <t xml:space="preserve"> (Négociable) : Les "user stories" doivent être flexibles et ouvertes à la négociation. Elles ne doivent pas être trop détaillées ni trop rigides, afin de permettre une collaboration entre l'équipe de développement et les parties prenantes pour trouver la meilleure solution possible.</t>
    </r>
  </si>
  <si>
    <r>
      <t xml:space="preserve">3. </t>
    </r>
    <r>
      <rPr>
        <b/>
        <sz val="12"/>
        <color rgb="FF271A38"/>
        <rFont val="Georgia"/>
        <family val="1"/>
      </rPr>
      <t>Valuable</t>
    </r>
    <r>
      <rPr>
        <sz val="12"/>
        <color rgb="FF271A38"/>
        <rFont val="Georgia"/>
        <family val="1"/>
      </rPr>
      <t xml:space="preserve"> (Valuable) : Chaque "user story" doit apporter une véritable valeur aux utilisateurs ou aux clients. Elle doit répondre à un besoin spécifique et apporter un avantage tangible. Il est important de se concentrer sur les fonctionnalités qui auront un impact significatif sur les utilisateurs.</t>
    </r>
  </si>
  <si>
    <r>
      <t xml:space="preserve">4. </t>
    </r>
    <r>
      <rPr>
        <b/>
        <sz val="12"/>
        <color rgb="FF271A38"/>
        <rFont val="Georgia"/>
        <family val="1"/>
      </rPr>
      <t>Estimable</t>
    </r>
    <r>
      <rPr>
        <sz val="12"/>
        <color rgb="FF271A38"/>
        <rFont val="Georgia"/>
        <family val="1"/>
      </rPr>
      <t xml:space="preserve"> (Estimable) : Les "user stories" doivent pouvoir être estimées en termes de temps, de ressources nécessaires et de complexité. Cela permet d'établir des estimations de coûts, de planification et de priorisation plus précises.</t>
    </r>
  </si>
  <si>
    <r>
      <t xml:space="preserve">5. </t>
    </r>
    <r>
      <rPr>
        <b/>
        <sz val="12"/>
        <color rgb="FF271A38"/>
        <rFont val="Georgia"/>
        <family val="1"/>
      </rPr>
      <t>Small</t>
    </r>
    <r>
      <rPr>
        <sz val="12"/>
        <color rgb="FF271A38"/>
        <rFont val="Georgia"/>
        <family val="1"/>
      </rPr>
      <t xml:space="preserve"> (Petite) : Les "user stories" doivent être de taille suffisamment petite pour pouvoir être livrées dans un délai court, généralement en une ou quelques itérations. Cela permet d'obtenir des résultats plus rapides et de recevoir des retours des utilisateurs plus tôt dans le processus de développement.</t>
    </r>
  </si>
  <si>
    <r>
      <t xml:space="preserve">6. </t>
    </r>
    <r>
      <rPr>
        <b/>
        <sz val="12"/>
        <color rgb="FF271A38"/>
        <rFont val="Georgia"/>
        <family val="1"/>
      </rPr>
      <t>Testable</t>
    </r>
    <r>
      <rPr>
        <sz val="12"/>
        <color rgb="FF271A38"/>
        <rFont val="Georgia"/>
        <family val="1"/>
      </rPr>
      <t xml:space="preserve"> (Testable) : Chaque "user story" doit être testable pour pouvoir être vérifiée et validée. Il doit y avoir des critères de succès clairs et mesurables pour chaque "user story", ce qui facilite les tests et la validation de l'implémentation.</t>
    </r>
  </si>
  <si>
    <r>
      <rPr>
        <b/>
        <sz val="12"/>
        <rFont val="Georgia"/>
        <family val="1"/>
      </rPr>
      <t>Coût</t>
    </r>
    <r>
      <rPr>
        <sz val="12"/>
        <rFont val="Georgia"/>
        <family val="1"/>
      </rPr>
      <t xml:space="preserve">: Augmentation des coûts de développement ou de maintenance. 
</t>
    </r>
    <r>
      <rPr>
        <b/>
        <sz val="12"/>
        <rFont val="Georgia"/>
        <family val="1"/>
      </rPr>
      <t>Délai</t>
    </r>
    <r>
      <rPr>
        <sz val="12"/>
        <rFont val="Georgia"/>
        <family val="1"/>
      </rPr>
      <t xml:space="preserve">: Retard dans la mise sur le marché de l'application. 
</t>
    </r>
    <r>
      <rPr>
        <b/>
        <sz val="12"/>
        <rFont val="Georgia"/>
        <family val="1"/>
      </rPr>
      <t>Qualité</t>
    </r>
    <r>
      <rPr>
        <sz val="12"/>
        <rFont val="Georgia"/>
        <family val="1"/>
      </rPr>
      <t>: Application moins performante ou instable.</t>
    </r>
  </si>
  <si>
    <r>
      <rPr>
        <b/>
        <sz val="12"/>
        <rFont val="Georgia"/>
        <family val="1"/>
      </rPr>
      <t>Coût</t>
    </r>
    <r>
      <rPr>
        <sz val="12"/>
        <rFont val="Georgia"/>
        <family val="1"/>
      </rPr>
      <t xml:space="preserve">: Augmentation des coûts d'infrastructure ou de maintenance. 
</t>
    </r>
    <r>
      <rPr>
        <b/>
        <sz val="12"/>
        <rFont val="Georgia"/>
        <family val="1"/>
      </rPr>
      <t>Délai</t>
    </r>
    <r>
      <rPr>
        <sz val="12"/>
        <rFont val="Georgia"/>
        <family val="1"/>
      </rPr>
      <t xml:space="preserve">: Baisse des performances de l'application. 
</t>
    </r>
    <r>
      <rPr>
        <b/>
        <sz val="12"/>
        <rFont val="Georgia"/>
        <family val="1"/>
      </rPr>
      <t>Qualité</t>
    </r>
    <r>
      <rPr>
        <sz val="12"/>
        <rFont val="Georgia"/>
        <family val="1"/>
      </rPr>
      <t>: Application moins réactive et utilisable</t>
    </r>
  </si>
  <si>
    <r>
      <rPr>
        <b/>
        <sz val="12"/>
        <rFont val="Georgia"/>
        <family val="1"/>
      </rPr>
      <t>Coût</t>
    </r>
    <r>
      <rPr>
        <sz val="12"/>
        <rFont val="Georgia"/>
        <family val="1"/>
      </rPr>
      <t xml:space="preserve">: Perte de revenus potentiels ou coûts de développement d'une solution alternative. 
</t>
    </r>
    <r>
      <rPr>
        <b/>
        <sz val="12"/>
        <rFont val="Georgia"/>
        <family val="1"/>
      </rPr>
      <t>Délai</t>
    </r>
    <r>
      <rPr>
        <sz val="12"/>
        <rFont val="Georgia"/>
        <family val="1"/>
      </rPr>
      <t xml:space="preserve">: Impact sur les fonctionnalités de l'application et le calendrier de développement. 
</t>
    </r>
    <r>
      <rPr>
        <b/>
        <sz val="12"/>
        <rFont val="Georgia"/>
        <family val="1"/>
      </rPr>
      <t>Qualité</t>
    </r>
    <r>
      <rPr>
        <sz val="12"/>
        <rFont val="Georgia"/>
        <family val="1"/>
      </rPr>
      <t>: Baisse de la valeur de l'application pour les utilisateurs. Satisfaction client: Frustration des utilisateurs et perte de confiance dans l'application.</t>
    </r>
  </si>
  <si>
    <r>
      <rPr>
        <b/>
        <sz val="12"/>
        <rFont val="Georgia"/>
        <family val="1"/>
      </rPr>
      <t>Coût</t>
    </r>
    <r>
      <rPr>
        <sz val="12"/>
        <rFont val="Georgia"/>
        <family val="1"/>
      </rPr>
      <t xml:space="preserve">: Amendes réglementaires, frais juridiques et coûts de notification des clients. 
</t>
    </r>
    <r>
      <rPr>
        <b/>
        <sz val="12"/>
        <rFont val="Georgia"/>
        <family val="1"/>
      </rPr>
      <t>Délai</t>
    </r>
    <r>
      <rPr>
        <sz val="12"/>
        <rFont val="Georgia"/>
        <family val="1"/>
      </rPr>
      <t xml:space="preserve">: Enquête et résolution des incidents de sécurité. 
</t>
    </r>
    <r>
      <rPr>
        <b/>
        <sz val="12"/>
        <rFont val="Georgia"/>
        <family val="1"/>
      </rPr>
      <t>Qualité</t>
    </r>
    <r>
      <rPr>
        <sz val="12"/>
        <rFont val="Georgia"/>
        <family val="1"/>
      </rPr>
      <t>: Atteinte à la réputation de l'entreprise et perte de confiance des utilisateurs.</t>
    </r>
  </si>
  <si>
    <r>
      <rPr>
        <b/>
        <sz val="12"/>
        <rFont val="Georgia"/>
        <family val="1"/>
      </rPr>
      <t>Coût</t>
    </r>
    <r>
      <rPr>
        <sz val="12"/>
        <rFont val="Georgia"/>
        <family val="1"/>
      </rPr>
      <t xml:space="preserve">: Amendes réglementaires, frais juridiques, coûts de notification des clients et réparation des dommages. 
</t>
    </r>
    <r>
      <rPr>
        <b/>
        <sz val="12"/>
        <rFont val="Georgia"/>
        <family val="1"/>
      </rPr>
      <t>Délai</t>
    </r>
    <r>
      <rPr>
        <sz val="12"/>
        <rFont val="Georgia"/>
        <family val="1"/>
      </rPr>
      <t xml:space="preserve">: Interruption de l'application et investigation de la faille de sécurité. 
</t>
    </r>
    <r>
      <rPr>
        <b/>
        <sz val="12"/>
        <rFont val="Georgia"/>
        <family val="1"/>
      </rPr>
      <t>Qualité</t>
    </r>
    <r>
      <rPr>
        <sz val="12"/>
        <rFont val="Georgia"/>
        <family val="1"/>
      </rPr>
      <t xml:space="preserve">: Atteinte à la réputation de l'entreprise et perte de confiance des utilisateurs. </t>
    </r>
  </si>
  <si>
    <r>
      <rPr>
        <b/>
        <sz val="12"/>
        <rFont val="Georgia"/>
        <family val="1"/>
      </rPr>
      <t>Coût</t>
    </r>
    <r>
      <rPr>
        <sz val="12"/>
        <rFont val="Georgia"/>
        <family val="1"/>
      </rPr>
      <t xml:space="preserve">: Diminution des revenus et augmentation des dépenses marketing pour rester compétitif. 
</t>
    </r>
    <r>
      <rPr>
        <b/>
        <sz val="12"/>
        <rFont val="Georgia"/>
        <family val="1"/>
      </rPr>
      <t>Délai</t>
    </r>
    <r>
      <rPr>
        <sz val="12"/>
        <rFont val="Georgia"/>
        <family val="1"/>
      </rPr>
      <t xml:space="preserve">: Perte de temps pour développer de nouvelles fonctionnalités et s'adapter à la concurrence. 
</t>
    </r>
    <r>
      <rPr>
        <b/>
        <sz val="12"/>
        <rFont val="Georgia"/>
        <family val="1"/>
      </rPr>
      <t>Qualité</t>
    </r>
    <r>
      <rPr>
        <sz val="12"/>
        <rFont val="Georgia"/>
        <family val="1"/>
      </rPr>
      <t>: Application moins attrayante pour les utilisateurs par rapport aux offres concurrentes.</t>
    </r>
  </si>
  <si>
    <r>
      <rPr>
        <b/>
        <sz val="12"/>
        <color rgb="FF1F1F1F"/>
        <rFont val="Georgia"/>
        <family val="1"/>
      </rPr>
      <t>Coût</t>
    </r>
    <r>
      <rPr>
        <sz val="12"/>
        <color rgb="FF1F1F1F"/>
        <rFont val="Georgia"/>
        <family val="1"/>
      </rPr>
      <t xml:space="preserve">: Augmentation des dépenses marketing pour promouvoir l'application. 
</t>
    </r>
    <r>
      <rPr>
        <b/>
        <sz val="12"/>
        <color rgb="FF1F1F1F"/>
        <rFont val="Georgia"/>
        <family val="1"/>
      </rPr>
      <t>Délai</t>
    </r>
    <r>
      <rPr>
        <sz val="12"/>
        <color rgb="FF1F1F1F"/>
        <rFont val="Georgia"/>
        <family val="1"/>
      </rPr>
      <t xml:space="preserve">: Baisse de l'adoption de l'application et impact sur la croissance. 
</t>
    </r>
    <r>
      <rPr>
        <b/>
        <sz val="12"/>
        <color rgb="FF1F1F1F"/>
        <rFont val="Georgia"/>
        <family val="1"/>
      </rPr>
      <t>Qualité</t>
    </r>
    <r>
      <rPr>
        <sz val="12"/>
        <color rgb="FF1F1F1F"/>
        <rFont val="Georgia"/>
        <family val="1"/>
      </rPr>
      <t xml:space="preserve">: Perception négative de l'application auprès des utilisateurs potentiels. </t>
    </r>
  </si>
  <si>
    <r>
      <rPr>
        <b/>
        <sz val="12"/>
        <rFont val="Georgia"/>
        <family val="1"/>
      </rPr>
      <t>Coût</t>
    </r>
    <r>
      <rPr>
        <sz val="12"/>
        <rFont val="Georgia"/>
        <family val="1"/>
      </rPr>
      <t>: Amendes pouvant atteindre plusieurs millions d'euros, frais juridiques importants et coûts de mise en conformité. 
D</t>
    </r>
    <r>
      <rPr>
        <b/>
        <sz val="12"/>
        <rFont val="Georgia"/>
        <family val="1"/>
      </rPr>
      <t>élai</t>
    </r>
    <r>
      <rPr>
        <sz val="12"/>
        <rFont val="Georgia"/>
        <family val="1"/>
      </rPr>
      <t xml:space="preserve">: Procédures juridiques longues et coûteuses pouvant retarder le développement de l'application. 
</t>
    </r>
    <r>
      <rPr>
        <b/>
        <sz val="12"/>
        <rFont val="Georgia"/>
        <family val="1"/>
      </rPr>
      <t>Qualité</t>
    </r>
    <r>
      <rPr>
        <sz val="12"/>
        <rFont val="Georgia"/>
        <family val="1"/>
      </rPr>
      <t xml:space="preserve">: Atteinte à la réputation de l'entreprise et perte de confiance des utilisateurs. </t>
    </r>
  </si>
  <si>
    <r>
      <rPr>
        <b/>
        <sz val="12"/>
        <rFont val="Georgia"/>
        <family val="1"/>
      </rPr>
      <t>Coût</t>
    </r>
    <r>
      <rPr>
        <sz val="12"/>
        <rFont val="Georgia"/>
        <family val="1"/>
      </rPr>
      <t xml:space="preserve">: Augmentation des coûts de développement dus à des changements de cap, à des retouches ou à des retards. 
</t>
    </r>
    <r>
      <rPr>
        <b/>
        <sz val="12"/>
        <rFont val="Georgia"/>
        <family val="1"/>
      </rPr>
      <t>Délai</t>
    </r>
    <r>
      <rPr>
        <sz val="12"/>
        <rFont val="Georgia"/>
        <family val="1"/>
      </rPr>
      <t xml:space="preserve">: Retard dans la mise sur le marché de l'application. 
</t>
    </r>
    <r>
      <rPr>
        <b/>
        <sz val="12"/>
        <rFont val="Georgia"/>
        <family val="1"/>
      </rPr>
      <t>Qualité</t>
    </r>
    <r>
      <rPr>
        <sz val="12"/>
        <rFont val="Georgia"/>
        <family val="1"/>
      </rPr>
      <t>: Application moins performante ou instable, fonctionnalités incomplètes ou non conformes aux exigences.</t>
    </r>
  </si>
  <si>
    <r>
      <rPr>
        <b/>
        <sz val="12"/>
        <rFont val="Georgia"/>
        <family val="1"/>
      </rPr>
      <t>Coût</t>
    </r>
    <r>
      <rPr>
        <sz val="12"/>
        <rFont val="Georgia"/>
        <family val="1"/>
      </rPr>
      <t xml:space="preserve">: Augmentation des coûts de développement due à des duplications de travail et à une inefficacité accrue. 
</t>
    </r>
    <r>
      <rPr>
        <b/>
        <sz val="12"/>
        <rFont val="Georgia"/>
        <family val="1"/>
      </rPr>
      <t>Délai</t>
    </r>
    <r>
      <rPr>
        <sz val="12"/>
        <rFont val="Georgia"/>
        <family val="1"/>
      </rPr>
      <t xml:space="preserve">: Retard dans la livraison du projet. 
</t>
    </r>
    <r>
      <rPr>
        <b/>
        <sz val="12"/>
        <rFont val="Georgia"/>
        <family val="1"/>
      </rPr>
      <t>Qualité</t>
    </r>
    <r>
      <rPr>
        <sz val="12"/>
        <rFont val="Georgia"/>
        <family val="1"/>
      </rPr>
      <t>: Augmentation du nombre de bugs et de défauts dans l'application</t>
    </r>
  </si>
  <si>
    <r>
      <rPr>
        <b/>
        <sz val="12"/>
        <rFont val="Georgia"/>
        <family val="1"/>
      </rPr>
      <t>Coût</t>
    </r>
    <r>
      <rPr>
        <sz val="12"/>
        <rFont val="Georgia"/>
        <family val="1"/>
      </rPr>
      <t xml:space="preserve">: Dépassement du budget. 
</t>
    </r>
    <r>
      <rPr>
        <b/>
        <sz val="12"/>
        <rFont val="Georgia"/>
        <family val="1"/>
      </rPr>
      <t>Délai</t>
    </r>
    <r>
      <rPr>
        <sz val="12"/>
        <rFont val="Georgia"/>
        <family val="1"/>
      </rPr>
      <t xml:space="preserve">: Pas d'impact direct, mais pourrait entraîner des retards si des coupes budgétaires sont nécessaires. 
</t>
    </r>
    <r>
      <rPr>
        <b/>
        <sz val="12"/>
        <rFont val="Georgia"/>
        <family val="1"/>
      </rPr>
      <t>Qualité</t>
    </r>
    <r>
      <rPr>
        <sz val="12"/>
        <rFont val="Georgia"/>
        <family val="1"/>
      </rPr>
      <t>: Pas d'impact direct, mais pourrait entraîner une réduction des fonctionnalités si des coupes budgétaires sont nécessaires.</t>
    </r>
  </si>
  <si>
    <r>
      <rPr>
        <b/>
        <sz val="12"/>
        <rFont val="Georgia"/>
        <family val="1"/>
      </rPr>
      <t>Coût</t>
    </r>
    <r>
      <rPr>
        <sz val="12"/>
        <rFont val="Georgia"/>
        <family val="1"/>
      </rPr>
      <t xml:space="preserve">: Augmentation des coûts de développement due à des imprévus. 
</t>
    </r>
    <r>
      <rPr>
        <b/>
        <sz val="12"/>
        <rFont val="Georgia"/>
        <family val="1"/>
      </rPr>
      <t>Délai</t>
    </r>
    <r>
      <rPr>
        <sz val="12"/>
        <rFont val="Georgia"/>
        <family val="1"/>
      </rPr>
      <t xml:space="preserve">: Retard dans la livraison du projet. 
</t>
    </r>
    <r>
      <rPr>
        <b/>
        <sz val="12"/>
        <rFont val="Georgia"/>
        <family val="1"/>
      </rPr>
      <t>Qualité</t>
    </r>
    <r>
      <rPr>
        <sz val="12"/>
        <rFont val="Georgia"/>
        <family val="1"/>
      </rPr>
      <t>: Pas d'impact direct, mais pourrait entraîner des changements de conception ou des fonctionnalités compromises si les imprévus sont importants.</t>
    </r>
  </si>
  <si>
    <r>
      <rPr>
        <b/>
        <sz val="12"/>
        <rFont val="Georgia"/>
        <family val="1"/>
      </rPr>
      <t>Coût</t>
    </r>
    <r>
      <rPr>
        <sz val="12"/>
        <rFont val="Georgia"/>
        <family val="1"/>
      </rPr>
      <t xml:space="preserve">: Augmentation des coûts de maintenance due à des correctifs de bugs et à une assistance technique accrue. 
</t>
    </r>
    <r>
      <rPr>
        <b/>
        <sz val="12"/>
        <rFont val="Georgia"/>
        <family val="1"/>
      </rPr>
      <t>Délai</t>
    </r>
    <r>
      <rPr>
        <sz val="12"/>
        <rFont val="Georgia"/>
        <family val="1"/>
      </rPr>
      <t xml:space="preserve">: Pas d'impact direct, mais pourrait entraîner des retards dans le développement de nouvelles fonctionnalités si les correctifs de bugs sont prioritaires. 
</t>
    </r>
    <r>
      <rPr>
        <b/>
        <sz val="12"/>
        <rFont val="Georgia"/>
        <family val="1"/>
      </rPr>
      <t>Qualité</t>
    </r>
    <r>
      <rPr>
        <sz val="12"/>
        <rFont val="Georgia"/>
        <family val="1"/>
      </rPr>
      <t>: Diminution de la satisfaction des clients et de la réputation de l'application.</t>
    </r>
  </si>
  <si>
    <t>II. Méthode MoSCoW pour la pondération des User Stories</t>
  </si>
  <si>
    <t>III. Expression des Besoins</t>
  </si>
  <si>
    <r>
      <t>Sprint Planning:</t>
    </r>
    <r>
      <rPr>
        <sz val="12"/>
        <color rgb="FF000000"/>
        <rFont val="Georgia"/>
        <family val="1"/>
      </rPr>
      <t xml:space="preserve"> Réunion de lancement de chaque sprint pour définir les objectifs et les user stories à réaliser</t>
    </r>
    <r>
      <rPr>
        <b/>
        <sz val="12"/>
        <color rgb="FF000000"/>
        <rFont val="Georgia"/>
        <family val="1"/>
      </rPr>
      <t xml:space="preserve">. 
</t>
    </r>
    <r>
      <rPr>
        <sz val="12"/>
        <color rgb="FF000000"/>
        <rFont val="Georgia"/>
        <family val="1"/>
      </rPr>
      <t>Il s'agit d'estimer la charge de travail pour chaque user story puis repartir les tâches entre les membres de l'équipe.</t>
    </r>
  </si>
  <si>
    <r>
      <rPr>
        <b/>
        <sz val="12"/>
        <color theme="1"/>
        <rFont val="Georgia"/>
        <family val="1"/>
      </rPr>
      <t>Durée</t>
    </r>
    <r>
      <rPr>
        <sz val="12"/>
        <color theme="1"/>
        <rFont val="Georgia"/>
        <family val="1"/>
      </rPr>
      <t xml:space="preserve"> : 1 à 2h</t>
    </r>
  </si>
  <si>
    <r>
      <rPr>
        <b/>
        <sz val="12"/>
        <color theme="1"/>
        <rFont val="Georgia"/>
        <family val="1"/>
      </rPr>
      <t>Fréquence</t>
    </r>
    <r>
      <rPr>
        <sz val="12"/>
        <color theme="1"/>
        <rFont val="Georgia"/>
        <family val="1"/>
      </rPr>
      <t xml:space="preserve"> : Début de chaque sprint (1 mois ici)</t>
    </r>
  </si>
  <si>
    <r>
      <rPr>
        <b/>
        <sz val="12"/>
        <color theme="1"/>
        <rFont val="Georgia"/>
        <family val="1"/>
      </rPr>
      <t>Participants</t>
    </r>
    <r>
      <rPr>
        <sz val="12"/>
        <color theme="1"/>
        <rFont val="Georgia"/>
        <family val="1"/>
      </rPr>
      <t xml:space="preserve"> : Chef de projet, Dev Front, Dev Back, Data Scientist</t>
    </r>
  </si>
  <si>
    <r>
      <t>Daily Scrum:</t>
    </r>
    <r>
      <rPr>
        <sz val="12"/>
        <color rgb="FF000000"/>
        <rFont val="Georgia"/>
        <family val="1"/>
      </rPr>
      <t xml:space="preserve"> Réunion quotidienne de courte durée pour synchroniser l'équipe et identifier les obstacles</t>
    </r>
    <r>
      <rPr>
        <b/>
        <sz val="12"/>
        <color rgb="FF000000"/>
        <rFont val="Georgia"/>
        <family val="1"/>
      </rPr>
      <t xml:space="preserve">. 
</t>
    </r>
    <r>
      <rPr>
        <sz val="12"/>
        <color rgb="FF000000"/>
        <rFont val="Georgia"/>
        <family val="1"/>
      </rPr>
      <t>Permet d'adapter le plan de travail si nécéssaire.</t>
    </r>
  </si>
  <si>
    <r>
      <rPr>
        <b/>
        <sz val="12"/>
        <color theme="1"/>
        <rFont val="Georgia"/>
        <family val="1"/>
      </rPr>
      <t>Durée</t>
    </r>
    <r>
      <rPr>
        <sz val="12"/>
        <color theme="1"/>
        <rFont val="Georgia"/>
        <family val="1"/>
      </rPr>
      <t xml:space="preserve"> : 15 mins</t>
    </r>
  </si>
  <si>
    <r>
      <rPr>
        <b/>
        <sz val="12"/>
        <color theme="1"/>
        <rFont val="Georgia"/>
        <family val="1"/>
      </rPr>
      <t>Fréquence</t>
    </r>
    <r>
      <rPr>
        <sz val="12"/>
        <color theme="1"/>
        <rFont val="Georgia"/>
        <family val="1"/>
      </rPr>
      <t xml:space="preserve"> : Tous les jours ouvrables</t>
    </r>
  </si>
  <si>
    <r>
      <t>Sprint Review:</t>
    </r>
    <r>
      <rPr>
        <sz val="12"/>
        <color rgb="FF000000"/>
        <rFont val="Georgia"/>
        <family val="1"/>
      </rPr>
      <t xml:space="preserve"> Démonstration des fonctionnalités complétées lors du sprint aux parties prenantes et recueil de feedback</t>
    </r>
    <r>
      <rPr>
        <b/>
        <sz val="12"/>
        <color rgb="FF000000"/>
        <rFont val="Georgia"/>
        <family val="1"/>
      </rPr>
      <t xml:space="preserve">. 
</t>
    </r>
    <r>
      <rPr>
        <sz val="12"/>
        <color rgb="FF000000"/>
        <rFont val="Georgia"/>
        <family val="1"/>
      </rPr>
      <t>Identifier les priorités pour le prochain sprint</t>
    </r>
  </si>
  <si>
    <r>
      <rPr>
        <b/>
        <sz val="12"/>
        <color theme="1"/>
        <rFont val="Georgia"/>
        <family val="1"/>
      </rPr>
      <t>Durée</t>
    </r>
    <r>
      <rPr>
        <sz val="12"/>
        <color theme="1"/>
        <rFont val="Georgia"/>
        <family val="1"/>
      </rPr>
      <t xml:space="preserve"> : 1 à 2 heures</t>
    </r>
  </si>
  <si>
    <r>
      <rPr>
        <b/>
        <sz val="12"/>
        <color theme="1"/>
        <rFont val="Georgia"/>
        <family val="1"/>
      </rPr>
      <t>Fréquence</t>
    </r>
    <r>
      <rPr>
        <sz val="12"/>
        <color theme="1"/>
        <rFont val="Georgia"/>
        <family val="1"/>
      </rPr>
      <t xml:space="preserve"> : Fin de chaque sprint (1 mois ici)</t>
    </r>
  </si>
  <si>
    <r>
      <rPr>
        <b/>
        <sz val="12"/>
        <color theme="1"/>
        <rFont val="Georgia"/>
        <family val="1"/>
      </rPr>
      <t>Participants</t>
    </r>
    <r>
      <rPr>
        <sz val="12"/>
        <color theme="1"/>
        <rFont val="Georgia"/>
        <family val="1"/>
      </rPr>
      <t xml:space="preserve"> : Chef de projet, Dev front, Dev Back, Data Scientist et parties prenantes (Alicia la VP Product, équipe produit)</t>
    </r>
  </si>
  <si>
    <r>
      <t>Sprint Retrospective:</t>
    </r>
    <r>
      <rPr>
        <sz val="12"/>
        <color rgb="FF000000"/>
        <rFont val="Georgia"/>
        <family val="1"/>
      </rPr>
      <t xml:space="preserve"> Réunion de clôture du sprint pour analyser les succès, les échecs et identifier les améliorations pour le prochain sprint</t>
    </r>
    <r>
      <rPr>
        <b/>
        <sz val="12"/>
        <color rgb="FF000000"/>
        <rFont val="Georgia"/>
        <family val="1"/>
      </rPr>
      <t xml:space="preserve">
</t>
    </r>
    <r>
      <rPr>
        <sz val="12"/>
        <color rgb="FF000000"/>
        <rFont val="Georgia"/>
        <family val="1"/>
      </rPr>
      <t>Permet de renforcer la cohésion d'équipe.</t>
    </r>
  </si>
  <si>
    <r>
      <rPr>
        <b/>
        <sz val="12"/>
        <color theme="1"/>
        <rFont val="Georgia"/>
        <family val="1"/>
      </rPr>
      <t>Participants</t>
    </r>
    <r>
      <rPr>
        <sz val="12"/>
        <color theme="1"/>
        <rFont val="Georgia"/>
        <family val="1"/>
      </rPr>
      <t xml:space="preserve"> : Chef de projet, Dev front, Dev Back, Data Scientist</t>
    </r>
  </si>
  <si>
    <r>
      <t>Backlog Produit:</t>
    </r>
    <r>
      <rPr>
        <sz val="12"/>
        <color rgb="FF000000"/>
        <rFont val="Georgia"/>
        <family val="1"/>
      </rPr>
      <t xml:space="preserve"> Liste priorisée des User Stories (US) représentant les fonctionnalités à développer</t>
    </r>
  </si>
  <si>
    <r>
      <rPr>
        <b/>
        <sz val="12"/>
        <color theme="1"/>
        <rFont val="Georgia"/>
        <family val="1"/>
      </rPr>
      <t>Contenu</t>
    </r>
    <r>
      <rPr>
        <sz val="12"/>
        <color theme="1"/>
        <rFont val="Georgia"/>
        <family val="1"/>
      </rPr>
      <t xml:space="preserve"> : Chaque US doit être claire, concise et testable. Elle doit contenir les critères d'évaluations pour sa validation.</t>
    </r>
  </si>
  <si>
    <r>
      <rPr>
        <b/>
        <sz val="12"/>
        <color theme="1"/>
        <rFont val="Georgia"/>
        <family val="1"/>
      </rPr>
      <t>Priorisation</t>
    </r>
    <r>
      <rPr>
        <sz val="12"/>
        <color theme="1"/>
        <rFont val="Georgia"/>
        <family val="1"/>
      </rPr>
      <t xml:space="preserve"> : La méthode MoSCoW (Must Have, Should Have, Could Have, Would Have, Nice to Have) est utilisée pour prioriser les US. </t>
    </r>
  </si>
  <si>
    <r>
      <rPr>
        <b/>
        <sz val="12"/>
        <color theme="1"/>
        <rFont val="Georgia"/>
        <family val="1"/>
      </rPr>
      <t>Outils</t>
    </r>
    <r>
      <rPr>
        <sz val="12"/>
        <color theme="1"/>
        <rFont val="Georgia"/>
        <family val="1"/>
      </rPr>
      <t xml:space="preserve"> : Trello, Jira, Excel</t>
    </r>
  </si>
  <si>
    <r>
      <t>Burndown Chart:</t>
    </r>
    <r>
      <rPr>
        <sz val="12"/>
        <color rgb="FF000000"/>
        <rFont val="Georgia"/>
        <family val="1"/>
      </rPr>
      <t xml:space="preserve"> Graphique illustrant l'avancement du sprint en fonction du temps restant grâce aux Story Points.</t>
    </r>
    <r>
      <rPr>
        <b/>
        <sz val="12"/>
        <color rgb="FF000000"/>
        <rFont val="Georgia"/>
        <family val="1"/>
      </rPr>
      <t xml:space="preserve">
</t>
    </r>
    <r>
      <rPr>
        <sz val="12"/>
        <color rgb="FF000000"/>
        <rFont val="Georgia"/>
        <family val="1"/>
      </rPr>
      <t>Permet d'identifier visuellement les problèmes et de prendre des mesures correctives si nécéssaires.</t>
    </r>
  </si>
  <si>
    <r>
      <t>Tableau de Sprint:</t>
    </r>
    <r>
      <rPr>
        <sz val="12"/>
        <color rgb="FF000000"/>
        <rFont val="Georgia"/>
        <family val="1"/>
      </rPr>
      <t xml:space="preserve"> Planning détaillé des tâches à réaliser pour chaque sprint</t>
    </r>
  </si>
  <si>
    <r>
      <rPr>
        <b/>
        <sz val="12"/>
        <color rgb="FF000000"/>
        <rFont val="Georgia"/>
        <family val="1"/>
      </rPr>
      <t>Contenu</t>
    </r>
    <r>
      <rPr>
        <sz val="12"/>
        <color rgb="FF000000"/>
        <rFont val="Georgia"/>
        <family val="1"/>
      </rPr>
      <t xml:space="preserve"> : Le tableau doit inclure : 1. les US à réaliser, 2. les tâches à réaliser, 3. Les participants, </t>
    </r>
  </si>
  <si>
    <t>III. DESCRIPTION DU PROJET : Matrice SWOT</t>
  </si>
  <si>
    <t>IV. ANALYSE DES RISQUES</t>
  </si>
  <si>
    <r>
      <t>Impact sur les données personnelles :</t>
    </r>
    <r>
      <rPr>
        <sz val="12"/>
        <color rgb="FF000000"/>
        <rFont val="Georgia"/>
        <family val="1"/>
      </rPr>
      <t xml:space="preserve"> Prioriser les sous-besoins qui impliquent la collecte et le traitement de données personnelles sensibles.</t>
    </r>
  </si>
  <si>
    <r>
      <t>Couverture fonctionnelle :</t>
    </r>
    <r>
      <rPr>
        <sz val="12"/>
        <color rgb="FF000000"/>
        <rFont val="Georgia"/>
        <family val="1"/>
      </rPr>
      <t xml:space="preserve"> Sélectionner des sous-besoins qui représentent des fonctionnalités clés de l'application et couvrent différents types de traitements de données.</t>
    </r>
  </si>
  <si>
    <t>I. Organisation des onglets</t>
  </si>
  <si>
    <t>II. Résumé de la démarche</t>
  </si>
  <si>
    <t>Objectif:</t>
  </si>
  <si>
    <t>Développer une application mobile de recommandation d'articles vestimentaires basée sur des photos.</t>
  </si>
  <si>
    <t>Contexte:</t>
  </si>
  <si>
    <t>Fashion-Insta est une entreprise de mode avec des magasins physiques et un site e-commerce.</t>
  </si>
  <si>
    <t>L'application mobile doit permettre aux utilisateurs de se prendre en photo avec leurs habits favoris et d'obtenir des recommandations d'articles du même style vestimentaire.</t>
  </si>
  <si>
    <t>Le projet doit être rentable à court ou moyen terme.</t>
  </si>
  <si>
    <t>Le développement se fera en suivant une démarche agile basée sur SCRUM.</t>
  </si>
  <si>
    <t>Avancées:</t>
  </si>
  <si>
    <t>Les besoins métiers ont été recensés et formalisés dans un document.</t>
  </si>
  <si>
    <t>Les user stories ont été définies et priorisées dans un backlog.</t>
  </si>
  <si>
    <t>Le chiffrage des coûts de développement, d'infrastructure et de maintenance a été réalisé.</t>
  </si>
  <si>
    <t>Une analyse des risques a été menée.</t>
  </si>
  <si>
    <t>Un registre de traitements des données personnelles a été créé.</t>
  </si>
  <si>
    <t>Points clés:</t>
  </si>
  <si>
    <t>Le projet est prometteur et a le potentiel d'être rentable.</t>
  </si>
  <si>
    <t>La gestion des données personnelles est un enjeu important et doit être traitée avec attention.</t>
  </si>
  <si>
    <t>Il est important de bien identifier et gérer les risques du projet.</t>
  </si>
  <si>
    <t>Conclusion:</t>
  </si>
  <si>
    <t>Le projet d'application mobile IA pour Fashion-Insta est un projet ambitieux et prometteur. Avec une bonne exécution, il peut générer des bénéfices significatifs pour l'entreprise et améliorer l'expérience des utilisateurs.</t>
  </si>
  <si>
    <t>SPRINT 19 - JUILLET 2026</t>
  </si>
  <si>
    <t>SPRINT 20 - AOUT 2026</t>
  </si>
  <si>
    <t>Type de Risque</t>
  </si>
  <si>
    <t>Moyenne de la criticité</t>
  </si>
  <si>
    <t>Dépendences des besoins (pour les Dev Front et Back)</t>
  </si>
  <si>
    <t xml:space="preserve">Note : La partie Indépendant ne sera pas respectée.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</si>
</sst>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0.00\ &quot;€&quot;;[Red]\-#,##0.00\ &quot;€&quot;"/>
    <numFmt numFmtId="44" formatCode="_-* #,##0.00\ &quot;€&quot;_-;\-* #,##0.00\ &quot;€&quot;_-;_-* &quot;-&quot;??\ &quot;€&quot;_-;_-@_-"/>
    <numFmt numFmtId="164" formatCode="0.0"/>
    <numFmt numFmtId="165" formatCode="#&quot; &quot;##&quot; &quot;##&quot; &quot;##&quot; &quot;#0"/>
  </numFmts>
  <fonts count="51" x14ac:knownFonts="1">
    <font>
      <sz val="10"/>
      <color rgb="FF000000"/>
      <name val="Arial"/>
      <scheme val="minor"/>
    </font>
    <font>
      <sz val="10"/>
      <color rgb="FF000000"/>
      <name val="Arial"/>
      <family val="2"/>
      <scheme val="minor"/>
    </font>
    <font>
      <u/>
      <sz val="10"/>
      <color theme="10"/>
      <name val="Arial"/>
      <family val="2"/>
      <scheme val="minor"/>
    </font>
    <font>
      <sz val="10"/>
      <color rgb="FF000000"/>
      <name val="Georgia"/>
      <family val="1"/>
    </font>
    <font>
      <b/>
      <sz val="18"/>
      <color rgb="FF000000"/>
      <name val="Georgia"/>
      <family val="1"/>
    </font>
    <font>
      <b/>
      <sz val="10"/>
      <color rgb="FF000000"/>
      <name val="Georgia"/>
      <family val="1"/>
    </font>
    <font>
      <b/>
      <sz val="14"/>
      <color rgb="FF000000"/>
      <name val="Georgia"/>
      <family val="1"/>
    </font>
    <font>
      <b/>
      <sz val="12"/>
      <color rgb="FFFFFFFF"/>
      <name val="Georgia"/>
      <family val="1"/>
    </font>
    <font>
      <b/>
      <sz val="10"/>
      <color theme="1"/>
      <name val="Georgia"/>
      <family val="1"/>
    </font>
    <font>
      <sz val="10"/>
      <color theme="1"/>
      <name val="Georgia"/>
      <family val="1"/>
    </font>
    <font>
      <i/>
      <sz val="10"/>
      <color theme="1"/>
      <name val="Georgia"/>
      <family val="1"/>
    </font>
    <font>
      <b/>
      <sz val="12"/>
      <color theme="0"/>
      <name val="Georgia"/>
      <family val="1"/>
    </font>
    <font>
      <b/>
      <sz val="18"/>
      <color theme="0"/>
      <name val="Georgia"/>
      <family val="1"/>
    </font>
    <font>
      <b/>
      <u/>
      <sz val="11"/>
      <color rgb="FF000000"/>
      <name val="Georgia"/>
      <family val="1"/>
    </font>
    <font>
      <u/>
      <sz val="10"/>
      <color theme="10"/>
      <name val="Georgia"/>
      <family val="1"/>
    </font>
    <font>
      <b/>
      <sz val="12"/>
      <color rgb="FF000000"/>
      <name val="Georgia"/>
      <family val="1"/>
    </font>
    <font>
      <b/>
      <sz val="16"/>
      <color rgb="FF000000"/>
      <name val="Georgia"/>
      <family val="1"/>
    </font>
    <font>
      <b/>
      <u/>
      <sz val="10"/>
      <color rgb="FF000000"/>
      <name val="Georgia"/>
      <family val="1"/>
    </font>
    <font>
      <b/>
      <sz val="10"/>
      <color theme="0"/>
      <name val="Georgia"/>
      <family val="1"/>
    </font>
    <font>
      <sz val="12"/>
      <color rgb="FF000000"/>
      <name val="Georgia"/>
      <family val="1"/>
    </font>
    <font>
      <sz val="8"/>
      <name val="Arial"/>
      <family val="2"/>
      <scheme val="minor"/>
    </font>
    <font>
      <sz val="10"/>
      <color theme="0"/>
      <name val="Georgia"/>
      <family val="1"/>
    </font>
    <font>
      <b/>
      <sz val="10"/>
      <name val="Georgia"/>
      <family val="1"/>
    </font>
    <font>
      <sz val="10"/>
      <name val="Georgia"/>
      <family val="1"/>
    </font>
    <font>
      <b/>
      <sz val="13"/>
      <color theme="1" tint="0.24994659260841701"/>
      <name val="Arial"/>
      <family val="2"/>
      <scheme val="major"/>
    </font>
    <font>
      <b/>
      <sz val="13"/>
      <color theme="7"/>
      <name val="Arial"/>
      <family val="2"/>
      <scheme val="major"/>
    </font>
    <font>
      <b/>
      <sz val="11"/>
      <color theme="1" tint="0.34998626667073579"/>
      <name val="Arial"/>
      <family val="2"/>
      <scheme val="minor"/>
    </font>
    <font>
      <b/>
      <sz val="14"/>
      <color theme="0"/>
      <name val="Georgia"/>
      <family val="1"/>
    </font>
    <font>
      <b/>
      <sz val="16"/>
      <color theme="0"/>
      <name val="Georgia"/>
      <family val="1"/>
    </font>
    <font>
      <b/>
      <sz val="28"/>
      <color theme="0"/>
      <name val="Georgia"/>
      <family val="1"/>
    </font>
    <font>
      <sz val="12"/>
      <color rgb="FF271A38"/>
      <name val="Georgia"/>
      <family val="1"/>
    </font>
    <font>
      <b/>
      <sz val="24"/>
      <color rgb="FF000000"/>
      <name val="Georgia"/>
      <family val="1"/>
    </font>
    <font>
      <b/>
      <sz val="14"/>
      <color rgb="FFFFFFFF"/>
      <name val="Georgia"/>
      <family val="1"/>
    </font>
    <font>
      <sz val="11"/>
      <color rgb="FFFFFFFF"/>
      <name val="Georgia"/>
      <family val="1"/>
    </font>
    <font>
      <b/>
      <sz val="16"/>
      <color rgb="FFFFFFFF"/>
      <name val="Georgia"/>
      <family val="1"/>
    </font>
    <font>
      <b/>
      <sz val="11"/>
      <color rgb="FF1F4E78"/>
      <name val="Georgia"/>
      <family val="1"/>
    </font>
    <font>
      <b/>
      <sz val="11"/>
      <color rgb="FFFFFFFF"/>
      <name val="Georgia"/>
      <family val="1"/>
    </font>
    <font>
      <sz val="11"/>
      <color rgb="FF000000"/>
      <name val="Georgia"/>
      <family val="1"/>
    </font>
    <font>
      <sz val="11"/>
      <color rgb="FF1F4E78"/>
      <name val="Georgia"/>
      <family val="1"/>
    </font>
    <font>
      <b/>
      <sz val="10"/>
      <color rgb="FFFFFFFF"/>
      <name val="Georgia"/>
      <family val="1"/>
    </font>
    <font>
      <sz val="11"/>
      <color rgb="FF000000"/>
      <name val="Calibri"/>
      <family val="2"/>
    </font>
    <font>
      <b/>
      <sz val="12"/>
      <color rgb="FF271A38"/>
      <name val="Georgia"/>
      <family val="1"/>
    </font>
    <font>
      <b/>
      <sz val="12"/>
      <name val="Georgia"/>
      <family val="1"/>
    </font>
    <font>
      <sz val="12"/>
      <name val="Georgia"/>
      <family val="1"/>
    </font>
    <font>
      <sz val="12"/>
      <color rgb="FF1F1F1F"/>
      <name val="Georgia"/>
      <family val="1"/>
    </font>
    <font>
      <b/>
      <sz val="12"/>
      <color rgb="FF1F1F1F"/>
      <name val="Georgia"/>
      <family val="1"/>
    </font>
    <font>
      <b/>
      <sz val="12"/>
      <color theme="1"/>
      <name val="Georgia"/>
      <family val="1"/>
    </font>
    <font>
      <sz val="12"/>
      <color theme="1"/>
      <name val="Georgia"/>
      <family val="1"/>
    </font>
    <font>
      <b/>
      <u/>
      <sz val="16"/>
      <color rgb="FF000000"/>
      <name val="Georgia"/>
      <family val="1"/>
    </font>
    <font>
      <b/>
      <u/>
      <sz val="12"/>
      <color rgb="FF000000"/>
      <name val="Georgia"/>
      <family val="1"/>
    </font>
    <font>
      <sz val="12"/>
      <color theme="0"/>
      <name val="Georgia"/>
      <family val="1"/>
    </font>
  </fonts>
  <fills count="24">
    <fill>
      <patternFill patternType="none"/>
    </fill>
    <fill>
      <patternFill patternType="gray125"/>
    </fill>
    <fill>
      <patternFill patternType="solid">
        <fgColor rgb="FF000000"/>
        <bgColor rgb="FF000000"/>
      </patternFill>
    </fill>
    <fill>
      <patternFill patternType="solid">
        <fgColor theme="0"/>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1"/>
        <bgColor rgb="FF000000"/>
      </patternFill>
    </fill>
    <fill>
      <patternFill patternType="solid">
        <fgColor theme="1"/>
        <bgColor indexed="64"/>
      </patternFill>
    </fill>
    <fill>
      <patternFill patternType="darkDown">
        <bgColor theme="0"/>
      </patternFill>
    </fill>
    <fill>
      <patternFill patternType="solid">
        <fgColor theme="0" tint="-4.9989318521683403E-2"/>
        <bgColor indexed="64"/>
      </patternFill>
    </fill>
    <fill>
      <patternFill patternType="solid">
        <fgColor theme="7"/>
        <bgColor indexed="64"/>
      </patternFill>
    </fill>
    <fill>
      <patternFill patternType="solid">
        <fgColor rgb="FF3B96EC"/>
        <bgColor rgb="FF3B96EC"/>
      </patternFill>
    </fill>
    <fill>
      <patternFill patternType="solid">
        <fgColor rgb="FF004A99"/>
        <bgColor rgb="FF004A99"/>
      </patternFill>
    </fill>
    <fill>
      <patternFill patternType="solid">
        <fgColor rgb="FF5B9BD5"/>
        <bgColor rgb="FF5B9BD5"/>
      </patternFill>
    </fill>
    <fill>
      <patternFill patternType="solid">
        <fgColor rgb="FFDDEBF7"/>
        <bgColor rgb="FFDDEBF7"/>
      </patternFill>
    </fill>
    <fill>
      <patternFill patternType="solid">
        <fgColor rgb="FF9BC2E6"/>
        <bgColor rgb="FF9BC2E6"/>
      </patternFill>
    </fill>
    <fill>
      <patternFill patternType="solid">
        <fgColor rgb="FFFFFFFF"/>
        <bgColor rgb="FFFFFFFF"/>
      </patternFill>
    </fill>
    <fill>
      <patternFill patternType="solid">
        <fgColor theme="8"/>
        <bgColor indexed="64"/>
      </patternFill>
    </fill>
    <fill>
      <patternFill patternType="darkGrid">
        <fgColor auto="1"/>
        <bgColor rgb="FF9BC2E6"/>
      </patternFill>
    </fill>
    <fill>
      <patternFill patternType="darkDown">
        <fgColor auto="1"/>
        <bgColor rgb="FFDDEBF7"/>
      </patternFill>
    </fill>
    <fill>
      <patternFill patternType="solid">
        <fgColor rgb="FF002060"/>
        <bgColor indexed="64"/>
      </patternFill>
    </fill>
    <fill>
      <patternFill patternType="solid">
        <fgColor rgb="FF0070C0"/>
        <bgColor indexed="64"/>
      </patternFill>
    </fill>
    <fill>
      <patternFill patternType="solid">
        <fgColor theme="4" tint="0.79998168889431442"/>
        <bgColor indexed="64"/>
      </patternFill>
    </fill>
  </fills>
  <borders count="9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FFFFFF"/>
      </right>
      <top style="medium">
        <color indexed="64"/>
      </top>
      <bottom/>
      <diagonal/>
    </border>
    <border>
      <left style="thin">
        <color rgb="FFFFFFFF"/>
      </left>
      <right style="thin">
        <color rgb="FFFFFFFF"/>
      </right>
      <top style="medium">
        <color indexed="64"/>
      </top>
      <bottom/>
      <diagonal/>
    </border>
    <border>
      <left style="thin">
        <color rgb="FFFFFFFF"/>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FFFFFF"/>
      </left>
      <right style="thin">
        <color rgb="FFFFFFFF"/>
      </right>
      <top/>
      <bottom/>
      <diagonal/>
    </border>
    <border>
      <left/>
      <right/>
      <top/>
      <bottom style="thin">
        <color theme="7"/>
      </bottom>
      <diagonal/>
    </border>
    <border>
      <left style="medium">
        <color indexed="64"/>
      </left>
      <right style="thin">
        <color indexed="64"/>
      </right>
      <top style="thin">
        <color indexed="64"/>
      </top>
      <bottom/>
      <diagonal/>
    </border>
    <border>
      <left/>
      <right/>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style="thin">
        <color rgb="FFFFFFFF"/>
      </left>
      <right/>
      <top/>
      <bottom style="thin">
        <color rgb="FFFFFFFF"/>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style="thin">
        <color rgb="FFFFFFFF"/>
      </right>
      <top/>
      <bottom style="thin">
        <color rgb="FFFFFFFF"/>
      </bottom>
      <diagonal/>
    </border>
    <border>
      <left style="thin">
        <color rgb="FFFFFFFF"/>
      </left>
      <right/>
      <top/>
      <bottom/>
      <diagonal/>
    </border>
    <border>
      <left/>
      <right style="thin">
        <color rgb="FFFFFFFF"/>
      </right>
      <top style="thin">
        <color rgb="FFFFFFFF"/>
      </top>
      <bottom/>
      <diagonal/>
    </border>
    <border>
      <left style="thin">
        <color rgb="FFFFFFFF"/>
      </left>
      <right/>
      <top style="thin">
        <color rgb="FFFFFFFF"/>
      </top>
      <bottom/>
      <diagonal/>
    </border>
    <border>
      <left style="thin">
        <color rgb="FFFFFFFF"/>
      </left>
      <right style="thin">
        <color rgb="FFFFFFFF"/>
      </right>
      <top/>
      <bottom style="thin">
        <color rgb="FFFFFFFF"/>
      </bottom>
      <diagonal/>
    </border>
    <border>
      <left/>
      <right/>
      <top style="thin">
        <color rgb="FFFFFFFF"/>
      </top>
      <bottom/>
      <diagonal/>
    </border>
    <border>
      <left/>
      <right style="thin">
        <color rgb="FFFFFFFF"/>
      </right>
      <top/>
      <bottom/>
      <diagonal/>
    </border>
    <border>
      <left style="medium">
        <color indexed="64"/>
      </left>
      <right/>
      <top style="thin">
        <color rgb="FFFFFFFF"/>
      </top>
      <bottom style="thin">
        <color rgb="FFFFFFFF"/>
      </bottom>
      <diagonal/>
    </border>
    <border>
      <left/>
      <right style="medium">
        <color indexed="64"/>
      </right>
      <top style="thin">
        <color rgb="FFFFFFFF"/>
      </top>
      <bottom style="thin">
        <color rgb="FFFFFFFF"/>
      </bottom>
      <diagonal/>
    </border>
    <border>
      <left style="medium">
        <color indexed="64"/>
      </left>
      <right/>
      <top/>
      <bottom style="thin">
        <color rgb="FFFFFFFF"/>
      </bottom>
      <diagonal/>
    </border>
    <border>
      <left style="medium">
        <color indexed="64"/>
      </left>
      <right style="thin">
        <color rgb="FFFFFFFF"/>
      </right>
      <top style="thin">
        <color rgb="FFFFFFFF"/>
      </top>
      <bottom style="thin">
        <color rgb="FFFFFFFF"/>
      </bottom>
      <diagonal/>
    </border>
    <border>
      <left style="thin">
        <color rgb="FFFFFFFF"/>
      </left>
      <right style="medium">
        <color indexed="64"/>
      </right>
      <top style="thin">
        <color rgb="FFFFFFFF"/>
      </top>
      <bottom style="thin">
        <color rgb="FFFFFFFF"/>
      </bottom>
      <diagonal/>
    </border>
    <border>
      <left style="thin">
        <color rgb="FFFFFFFF"/>
      </left>
      <right style="medium">
        <color indexed="64"/>
      </right>
      <top/>
      <bottom style="thin">
        <color rgb="FFFFFFFF"/>
      </bottom>
      <diagonal/>
    </border>
    <border>
      <left style="medium">
        <color indexed="64"/>
      </left>
      <right style="thin">
        <color rgb="FFFFFFFF"/>
      </right>
      <top style="thin">
        <color rgb="FFFFFFFF"/>
      </top>
      <bottom/>
      <diagonal/>
    </border>
    <border>
      <left style="medium">
        <color indexed="64"/>
      </left>
      <right style="thin">
        <color rgb="FFFFFFFF"/>
      </right>
      <top/>
      <bottom style="thin">
        <color rgb="FFFFFFFF"/>
      </bottom>
      <diagonal/>
    </border>
    <border>
      <left style="thin">
        <color rgb="FFFFFFFF"/>
      </left>
      <right style="medium">
        <color indexed="64"/>
      </right>
      <top/>
      <bottom/>
      <diagonal/>
    </border>
    <border>
      <left style="thin">
        <color rgb="FFFFFFFF"/>
      </left>
      <right style="medium">
        <color indexed="64"/>
      </right>
      <top style="thin">
        <color rgb="FFFFFFFF"/>
      </top>
      <bottom/>
      <diagonal/>
    </border>
    <border>
      <left/>
      <right style="medium">
        <color indexed="64"/>
      </right>
      <top style="thin">
        <color rgb="FFFFFFFF"/>
      </top>
      <bottom/>
      <diagonal/>
    </border>
    <border>
      <left/>
      <right style="medium">
        <color indexed="64"/>
      </right>
      <top/>
      <bottom style="thin">
        <color rgb="FFFFFFFF"/>
      </bottom>
      <diagonal/>
    </border>
    <border>
      <left style="medium">
        <color indexed="64"/>
      </left>
      <right style="thin">
        <color rgb="FFFFFFFF"/>
      </right>
      <top/>
      <bottom/>
      <diagonal/>
    </border>
    <border>
      <left style="medium">
        <color indexed="64"/>
      </left>
      <right/>
      <top style="thin">
        <color rgb="FFE7E6E6"/>
      </top>
      <bottom/>
      <diagonal/>
    </border>
    <border>
      <left style="thin">
        <color indexed="64"/>
      </left>
      <right/>
      <top style="medium">
        <color indexed="64"/>
      </top>
      <bottom/>
      <diagonal/>
    </border>
  </borders>
  <cellStyleXfs count="8">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24" fillId="0" borderId="0" applyFill="0" applyBorder="0" applyProtection="0">
      <alignment horizontal="left" wrapText="1"/>
    </xf>
    <xf numFmtId="9" fontId="25" fillId="0" borderId="0" applyFill="0" applyBorder="0" applyProtection="0">
      <alignment horizontal="center" vertical="center"/>
    </xf>
    <xf numFmtId="0" fontId="26" fillId="0" borderId="0" applyFill="0" applyBorder="0" applyProtection="0">
      <alignment horizontal="center" wrapText="1"/>
    </xf>
    <xf numFmtId="3" fontId="26" fillId="0" borderId="63" applyFill="0" applyProtection="0">
      <alignment horizontal="center"/>
    </xf>
  </cellStyleXfs>
  <cellXfs count="805">
    <xf numFmtId="0" fontId="0" fillId="0" borderId="0" xfId="0"/>
    <xf numFmtId="0" fontId="3" fillId="0" borderId="0" xfId="0" applyFont="1"/>
    <xf numFmtId="0" fontId="5" fillId="4" borderId="15" xfId="0" applyFont="1" applyFill="1" applyBorder="1" applyAlignment="1">
      <alignment horizontal="center" vertical="center" wrapText="1"/>
    </xf>
    <xf numFmtId="0" fontId="5" fillId="4" borderId="16" xfId="0" applyFont="1" applyFill="1" applyBorder="1" applyAlignment="1">
      <alignment horizontal="center" vertical="center" wrapText="1"/>
    </xf>
    <xf numFmtId="0" fontId="5" fillId="4" borderId="16" xfId="0" applyFont="1" applyFill="1" applyBorder="1" applyAlignment="1">
      <alignment horizontal="center" vertical="center"/>
    </xf>
    <xf numFmtId="0" fontId="8" fillId="4" borderId="16" xfId="0" applyFont="1" applyFill="1" applyBorder="1" applyAlignment="1">
      <alignment horizontal="center" vertical="center" wrapText="1"/>
    </xf>
    <xf numFmtId="0" fontId="9" fillId="4" borderId="16" xfId="0" applyFont="1" applyFill="1" applyBorder="1" applyAlignment="1">
      <alignment horizontal="center" vertical="center" wrapText="1"/>
    </xf>
    <xf numFmtId="0" fontId="10" fillId="4" borderId="16" xfId="0" applyFont="1" applyFill="1" applyBorder="1" applyAlignment="1">
      <alignment horizontal="center" vertical="center" wrapText="1"/>
    </xf>
    <xf numFmtId="49" fontId="9" fillId="4" borderId="17" xfId="0" applyNumberFormat="1" applyFont="1" applyFill="1" applyBorder="1" applyAlignment="1">
      <alignment horizontal="center" vertical="center" wrapText="1"/>
    </xf>
    <xf numFmtId="0" fontId="5" fillId="5" borderId="18" xfId="0" applyFont="1" applyFill="1" applyBorder="1" applyAlignment="1">
      <alignment horizontal="center" vertical="center" wrapText="1"/>
    </xf>
    <xf numFmtId="0" fontId="5" fillId="5" borderId="19" xfId="0" applyFont="1" applyFill="1" applyBorder="1" applyAlignment="1">
      <alignment horizontal="center" vertical="center" wrapText="1"/>
    </xf>
    <xf numFmtId="0" fontId="5" fillId="5" borderId="19" xfId="0" applyFont="1" applyFill="1" applyBorder="1" applyAlignment="1">
      <alignment horizontal="center" vertical="center"/>
    </xf>
    <xf numFmtId="0" fontId="3" fillId="5" borderId="19" xfId="0" applyFont="1" applyFill="1" applyBorder="1" applyAlignment="1">
      <alignment horizontal="center" vertical="center" wrapText="1"/>
    </xf>
    <xf numFmtId="0" fontId="5" fillId="5" borderId="21"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3" xfId="0" applyFont="1" applyFill="1" applyBorder="1" applyAlignment="1">
      <alignment horizontal="center" vertical="center"/>
    </xf>
    <xf numFmtId="0" fontId="3" fillId="5" borderId="13" xfId="0" applyFont="1" applyFill="1" applyBorder="1" applyAlignment="1">
      <alignment horizontal="center" vertical="center" wrapText="1"/>
    </xf>
    <xf numFmtId="49" fontId="3" fillId="5" borderId="22" xfId="0" applyNumberFormat="1" applyFont="1" applyFill="1" applyBorder="1" applyAlignment="1">
      <alignment horizontal="center" vertical="center" wrapText="1"/>
    </xf>
    <xf numFmtId="0" fontId="5" fillId="5" borderId="23" xfId="0" applyFont="1" applyFill="1" applyBorder="1" applyAlignment="1">
      <alignment horizontal="center" vertical="center" wrapText="1"/>
    </xf>
    <xf numFmtId="0" fontId="5" fillId="5" borderId="24" xfId="0" applyFont="1" applyFill="1" applyBorder="1" applyAlignment="1">
      <alignment horizontal="center" vertical="center" wrapText="1"/>
    </xf>
    <xf numFmtId="0" fontId="5" fillId="5" borderId="24" xfId="0" applyFont="1" applyFill="1" applyBorder="1" applyAlignment="1">
      <alignment horizontal="center" vertical="center"/>
    </xf>
    <xf numFmtId="0" fontId="3" fillId="5" borderId="24"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9" xfId="0" applyFont="1" applyFill="1" applyBorder="1" applyAlignment="1">
      <alignment horizontal="center" vertical="center" wrapText="1"/>
    </xf>
    <xf numFmtId="0" fontId="5" fillId="4" borderId="19" xfId="0" applyFont="1" applyFill="1" applyBorder="1" applyAlignment="1">
      <alignment horizontal="center" vertical="center"/>
    </xf>
    <xf numFmtId="0" fontId="8" fillId="4" borderId="19"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10" fillId="4" borderId="19" xfId="0" applyFont="1" applyFill="1" applyBorder="1" applyAlignment="1">
      <alignment horizontal="center" vertical="center" wrapText="1"/>
    </xf>
    <xf numFmtId="49" fontId="9" fillId="4" borderId="20" xfId="0" applyNumberFormat="1"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4" borderId="13" xfId="0" applyFont="1" applyFill="1" applyBorder="1" applyAlignment="1">
      <alignment horizontal="center" vertical="center"/>
    </xf>
    <xf numFmtId="0" fontId="8" fillId="4" borderId="13" xfId="0" applyFont="1" applyFill="1" applyBorder="1" applyAlignment="1">
      <alignment horizontal="center" vertical="center" wrapText="1"/>
    </xf>
    <xf numFmtId="0" fontId="9" fillId="4" borderId="13" xfId="0" applyFont="1" applyFill="1" applyBorder="1" applyAlignment="1">
      <alignment horizontal="center" vertical="center" wrapText="1"/>
    </xf>
    <xf numFmtId="0" fontId="10" fillId="4" borderId="13" xfId="0" applyFont="1" applyFill="1" applyBorder="1" applyAlignment="1">
      <alignment horizontal="center" vertical="center" wrapText="1"/>
    </xf>
    <xf numFmtId="49" fontId="9" fillId="4" borderId="22" xfId="0" applyNumberFormat="1"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4" xfId="0" applyFont="1" applyFill="1" applyBorder="1" applyAlignment="1">
      <alignment horizontal="center" vertical="center"/>
    </xf>
    <xf numFmtId="0" fontId="8" fillId="4" borderId="24"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10" fillId="4" borderId="24" xfId="0" applyFont="1" applyFill="1" applyBorder="1" applyAlignment="1">
      <alignment horizontal="center" vertical="center" wrapText="1"/>
    </xf>
    <xf numFmtId="49" fontId="9" fillId="4" borderId="25" xfId="0" applyNumberFormat="1" applyFont="1" applyFill="1" applyBorder="1" applyAlignment="1">
      <alignment horizontal="center" vertical="center" wrapText="1"/>
    </xf>
    <xf numFmtId="0" fontId="5" fillId="5" borderId="15" xfId="0" applyFont="1" applyFill="1" applyBorder="1" applyAlignment="1">
      <alignment horizontal="center" vertical="center" wrapText="1"/>
    </xf>
    <xf numFmtId="0" fontId="5" fillId="5" borderId="16" xfId="0" applyFont="1" applyFill="1" applyBorder="1" applyAlignment="1">
      <alignment horizontal="center" vertical="center" wrapText="1"/>
    </xf>
    <xf numFmtId="0" fontId="3" fillId="5" borderId="16" xfId="0" applyFont="1" applyFill="1" applyBorder="1" applyAlignment="1">
      <alignment horizontal="center" vertical="center" wrapText="1"/>
    </xf>
    <xf numFmtId="0" fontId="3" fillId="5" borderId="17" xfId="0" quotePrefix="1"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20"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4" borderId="22" xfId="0" applyFont="1" applyFill="1" applyBorder="1" applyAlignment="1">
      <alignment horizontal="center" vertical="center"/>
    </xf>
    <xf numFmtId="0" fontId="3" fillId="4" borderId="22" xfId="0" quotePrefix="1" applyFont="1" applyFill="1" applyBorder="1" applyAlignment="1">
      <alignment horizontal="center" vertical="center" wrapText="1"/>
    </xf>
    <xf numFmtId="0" fontId="3" fillId="4" borderId="24" xfId="0" applyFont="1" applyFill="1" applyBorder="1" applyAlignment="1">
      <alignment horizontal="center" vertical="center" wrapText="1"/>
    </xf>
    <xf numFmtId="0" fontId="3" fillId="4" borderId="25" xfId="0" applyFont="1" applyFill="1" applyBorder="1" applyAlignment="1">
      <alignment horizontal="center" vertical="center"/>
    </xf>
    <xf numFmtId="0" fontId="3" fillId="5" borderId="20" xfId="0" applyFont="1" applyFill="1" applyBorder="1" applyAlignment="1">
      <alignment horizontal="center" vertical="center"/>
    </xf>
    <xf numFmtId="0" fontId="3" fillId="5" borderId="22" xfId="0" quotePrefix="1" applyFont="1" applyFill="1" applyBorder="1" applyAlignment="1">
      <alignment horizontal="center" vertical="center" wrapText="1"/>
    </xf>
    <xf numFmtId="0" fontId="3" fillId="5" borderId="22" xfId="0" applyFont="1" applyFill="1" applyBorder="1" applyAlignment="1">
      <alignment horizontal="center" vertical="center"/>
    </xf>
    <xf numFmtId="0" fontId="3" fillId="5" borderId="25" xfId="0" applyFont="1" applyFill="1" applyBorder="1" applyAlignment="1">
      <alignment horizontal="center" vertical="center"/>
    </xf>
    <xf numFmtId="0" fontId="5" fillId="3" borderId="0" xfId="0" applyFont="1" applyFill="1"/>
    <xf numFmtId="0" fontId="3" fillId="3" borderId="0" xfId="0" applyFont="1" applyFill="1"/>
    <xf numFmtId="0" fontId="5" fillId="3" borderId="0" xfId="0" applyFont="1" applyFill="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5" fillId="0" borderId="0" xfId="0" applyFont="1"/>
    <xf numFmtId="0" fontId="7" fillId="7" borderId="38" xfId="0" applyFont="1" applyFill="1" applyBorder="1" applyAlignment="1">
      <alignment horizontal="center" vertical="center" wrapText="1"/>
    </xf>
    <xf numFmtId="0" fontId="7" fillId="7" borderId="39" xfId="0" applyFont="1" applyFill="1" applyBorder="1" applyAlignment="1">
      <alignment horizontal="center" vertical="center" wrapText="1"/>
    </xf>
    <xf numFmtId="0" fontId="7" fillId="7" borderId="16" xfId="0" applyFont="1" applyFill="1" applyBorder="1" applyAlignment="1">
      <alignment horizontal="center" vertical="center" wrapText="1"/>
    </xf>
    <xf numFmtId="0" fontId="8" fillId="4" borderId="1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xf>
    <xf numFmtId="0" fontId="7" fillId="7" borderId="41" xfId="0" applyFont="1" applyFill="1" applyBorder="1" applyAlignment="1">
      <alignment horizontal="center" vertical="center" wrapText="1"/>
    </xf>
    <xf numFmtId="0" fontId="8" fillId="4" borderId="18" xfId="0" applyFont="1" applyFill="1" applyBorder="1" applyAlignment="1">
      <alignment horizontal="center" vertical="center" wrapText="1"/>
    </xf>
    <xf numFmtId="0" fontId="8" fillId="4" borderId="21"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3" fillId="5" borderId="17" xfId="0" applyFont="1" applyFill="1" applyBorder="1" applyAlignment="1">
      <alignment horizontal="center" vertical="center"/>
    </xf>
    <xf numFmtId="0" fontId="11" fillId="8" borderId="37" xfId="0" applyFont="1" applyFill="1" applyBorder="1" applyAlignment="1">
      <alignment horizontal="center" vertical="center"/>
    </xf>
    <xf numFmtId="0" fontId="3" fillId="3" borderId="0" xfId="0" applyFont="1" applyFill="1" applyAlignment="1">
      <alignment horizontal="right" wrapText="1"/>
    </xf>
    <xf numFmtId="0" fontId="5" fillId="3" borderId="38" xfId="0" applyFont="1" applyFill="1" applyBorder="1" applyAlignment="1">
      <alignment horizontal="center" vertical="center"/>
    </xf>
    <xf numFmtId="0" fontId="5" fillId="3" borderId="52" xfId="0" applyFont="1" applyFill="1" applyBorder="1" applyAlignment="1">
      <alignment horizontal="center" vertical="center"/>
    </xf>
    <xf numFmtId="0" fontId="3" fillId="3" borderId="18" xfId="0" applyFont="1" applyFill="1" applyBorder="1" applyAlignment="1">
      <alignment horizontal="center" vertical="center" wrapText="1"/>
    </xf>
    <xf numFmtId="9" fontId="3" fillId="3" borderId="20" xfId="2" applyFont="1" applyFill="1" applyBorder="1" applyAlignment="1">
      <alignment horizontal="center" vertical="center"/>
    </xf>
    <xf numFmtId="0" fontId="3" fillId="3" borderId="21" xfId="0" applyFont="1" applyFill="1" applyBorder="1" applyAlignment="1">
      <alignment horizontal="center" vertical="center" wrapText="1"/>
    </xf>
    <xf numFmtId="9" fontId="3" fillId="3" borderId="22" xfId="2" applyFont="1" applyFill="1" applyBorder="1" applyAlignment="1">
      <alignment horizontal="center" vertical="center"/>
    </xf>
    <xf numFmtId="0" fontId="3" fillId="3" borderId="23" xfId="0" applyFont="1" applyFill="1" applyBorder="1" applyAlignment="1">
      <alignment horizontal="center" vertical="center"/>
    </xf>
    <xf numFmtId="9" fontId="3" fillId="3" borderId="25" xfId="0" applyNumberFormat="1"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17" xfId="0" applyFont="1" applyFill="1" applyBorder="1" applyAlignment="1">
      <alignment horizontal="center" vertical="center"/>
    </xf>
    <xf numFmtId="0" fontId="3" fillId="3" borderId="18" xfId="0" applyFont="1" applyFill="1" applyBorder="1" applyAlignment="1">
      <alignment vertical="center" wrapText="1"/>
    </xf>
    <xf numFmtId="0" fontId="3" fillId="3" borderId="19" xfId="0" applyFont="1" applyFill="1" applyBorder="1" applyAlignment="1">
      <alignment horizontal="center" vertical="center"/>
    </xf>
    <xf numFmtId="0" fontId="3" fillId="3" borderId="21" xfId="0" applyFont="1" applyFill="1" applyBorder="1" applyAlignment="1">
      <alignment vertical="center" wrapText="1"/>
    </xf>
    <xf numFmtId="0" fontId="3" fillId="3" borderId="13" xfId="0" applyFont="1" applyFill="1" applyBorder="1" applyAlignment="1">
      <alignment horizontal="center" vertical="center"/>
    </xf>
    <xf numFmtId="0" fontId="3" fillId="3" borderId="23" xfId="0" applyFont="1" applyFill="1" applyBorder="1" applyAlignment="1">
      <alignment vertical="center" wrapText="1"/>
    </xf>
    <xf numFmtId="0" fontId="3" fillId="3" borderId="24" xfId="0" applyFont="1" applyFill="1" applyBorder="1" applyAlignment="1">
      <alignment horizontal="center" vertical="center"/>
    </xf>
    <xf numFmtId="9" fontId="3" fillId="3" borderId="25" xfId="2" applyFont="1" applyFill="1" applyBorder="1" applyAlignment="1">
      <alignment horizontal="center" vertical="center"/>
    </xf>
    <xf numFmtId="0" fontId="5" fillId="3" borderId="0" xfId="0" applyFont="1" applyFill="1" applyAlignment="1">
      <alignment horizontal="left" vertical="center" wrapText="1"/>
    </xf>
    <xf numFmtId="0" fontId="5" fillId="3" borderId="39" xfId="0" applyFont="1" applyFill="1" applyBorder="1" applyAlignment="1">
      <alignment horizontal="center" vertical="center"/>
    </xf>
    <xf numFmtId="44" fontId="3" fillId="3" borderId="19" xfId="1" applyFont="1" applyFill="1" applyBorder="1" applyAlignment="1">
      <alignment horizontal="center" vertical="center"/>
    </xf>
    <xf numFmtId="44" fontId="3" fillId="3" borderId="20" xfId="1" applyFont="1" applyFill="1" applyBorder="1" applyAlignment="1">
      <alignment horizontal="center" vertical="center"/>
    </xf>
    <xf numFmtId="44" fontId="3" fillId="3" borderId="13" xfId="1" applyFont="1" applyFill="1" applyBorder="1" applyAlignment="1">
      <alignment horizontal="center" vertical="center"/>
    </xf>
    <xf numFmtId="44" fontId="3" fillId="3" borderId="22" xfId="1" applyFont="1" applyFill="1" applyBorder="1" applyAlignment="1">
      <alignment horizontal="center" vertical="center"/>
    </xf>
    <xf numFmtId="0" fontId="3" fillId="3" borderId="23" xfId="0" applyFont="1" applyFill="1" applyBorder="1" applyAlignment="1">
      <alignment horizontal="center" vertical="center" wrapText="1"/>
    </xf>
    <xf numFmtId="44" fontId="3" fillId="3" borderId="24" xfId="1" applyFont="1" applyFill="1" applyBorder="1" applyAlignment="1">
      <alignment horizontal="center" vertical="center"/>
    </xf>
    <xf numFmtId="44" fontId="3" fillId="3" borderId="25" xfId="1" applyFont="1" applyFill="1" applyBorder="1" applyAlignment="1">
      <alignment horizontal="center" vertical="center"/>
    </xf>
    <xf numFmtId="44" fontId="11" fillId="8" borderId="37" xfId="1" applyFont="1" applyFill="1" applyBorder="1" applyAlignment="1">
      <alignment horizontal="center" vertical="center"/>
    </xf>
    <xf numFmtId="44" fontId="3" fillId="3" borderId="0" xfId="0" applyNumberFormat="1" applyFont="1" applyFill="1"/>
    <xf numFmtId="0" fontId="16" fillId="3" borderId="0" xfId="0" quotePrefix="1" applyFont="1" applyFill="1"/>
    <xf numFmtId="0" fontId="3" fillId="3" borderId="0" xfId="0" quotePrefix="1" applyFont="1" applyFill="1"/>
    <xf numFmtId="0" fontId="6" fillId="3" borderId="0" xfId="0" applyFont="1" applyFill="1"/>
    <xf numFmtId="0" fontId="17" fillId="3" borderId="0" xfId="0" applyFont="1" applyFill="1"/>
    <xf numFmtId="0" fontId="3" fillId="3" borderId="20" xfId="0" applyFont="1" applyFill="1" applyBorder="1" applyAlignment="1">
      <alignment horizontal="center" vertical="center"/>
    </xf>
    <xf numFmtId="164" fontId="3" fillId="3" borderId="13" xfId="0" applyNumberFormat="1" applyFont="1" applyFill="1" applyBorder="1" applyAlignment="1">
      <alignment horizontal="center" vertical="center"/>
    </xf>
    <xf numFmtId="0" fontId="3" fillId="3" borderId="22" xfId="0" applyFont="1" applyFill="1" applyBorder="1" applyAlignment="1">
      <alignment horizontal="center" vertical="center"/>
    </xf>
    <xf numFmtId="3" fontId="3" fillId="3" borderId="13" xfId="0" applyNumberFormat="1" applyFont="1" applyFill="1" applyBorder="1" applyAlignment="1">
      <alignment horizontal="center" vertical="center"/>
    </xf>
    <xf numFmtId="2" fontId="3" fillId="3" borderId="0" xfId="0" applyNumberFormat="1" applyFont="1" applyFill="1" applyAlignment="1">
      <alignment horizontal="center" vertical="center"/>
    </xf>
    <xf numFmtId="9" fontId="3" fillId="3" borderId="24" xfId="0" applyNumberFormat="1" applyFont="1" applyFill="1" applyBorder="1" applyAlignment="1">
      <alignment horizontal="center" vertical="center"/>
    </xf>
    <xf numFmtId="0" fontId="3" fillId="3" borderId="25" xfId="0" applyFont="1" applyFill="1" applyBorder="1" applyAlignment="1">
      <alignment horizontal="center" vertical="center"/>
    </xf>
    <xf numFmtId="0" fontId="18" fillId="8" borderId="0" xfId="0" applyFont="1" applyFill="1" applyAlignment="1">
      <alignment horizontal="center" vertical="center"/>
    </xf>
    <xf numFmtId="2" fontId="18" fillId="8" borderId="0" xfId="0" applyNumberFormat="1" applyFont="1" applyFill="1" applyAlignment="1">
      <alignment horizontal="center" vertical="center"/>
    </xf>
    <xf numFmtId="8" fontId="18" fillId="8" borderId="0" xfId="0" applyNumberFormat="1" applyFont="1" applyFill="1"/>
    <xf numFmtId="0" fontId="18" fillId="8" borderId="0" xfId="0" applyFont="1" applyFill="1"/>
    <xf numFmtId="8" fontId="3" fillId="3" borderId="0" xfId="0" applyNumberFormat="1" applyFont="1" applyFill="1"/>
    <xf numFmtId="11" fontId="3" fillId="3" borderId="0" xfId="0" applyNumberFormat="1" applyFont="1" applyFill="1"/>
    <xf numFmtId="8" fontId="5" fillId="3" borderId="0" xfId="0" applyNumberFormat="1" applyFont="1" applyFill="1"/>
    <xf numFmtId="0" fontId="6" fillId="3" borderId="0" xfId="0" quotePrefix="1" applyFont="1" applyFill="1"/>
    <xf numFmtId="0" fontId="5" fillId="3" borderId="0" xfId="0" quotePrefix="1" applyFont="1" applyFill="1"/>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5" xfId="0" applyFont="1" applyBorder="1" applyAlignment="1">
      <alignment horizontal="center" vertical="center" wrapText="1"/>
    </xf>
    <xf numFmtId="0" fontId="5" fillId="3" borderId="18" xfId="0" applyFont="1" applyFill="1" applyBorder="1" applyAlignment="1">
      <alignment horizontal="center" vertical="center"/>
    </xf>
    <xf numFmtId="0" fontId="5" fillId="3" borderId="20" xfId="0" applyFont="1" applyFill="1" applyBorder="1" applyAlignment="1">
      <alignment horizontal="center" vertical="center"/>
    </xf>
    <xf numFmtId="0" fontId="3" fillId="3" borderId="21" xfId="0" applyFont="1" applyFill="1" applyBorder="1" applyAlignment="1">
      <alignment horizontal="center" vertical="center"/>
    </xf>
    <xf numFmtId="3" fontId="3" fillId="3" borderId="22" xfId="0" applyNumberFormat="1" applyFont="1" applyFill="1" applyBorder="1" applyAlignment="1">
      <alignment horizontal="center" vertical="center"/>
    </xf>
    <xf numFmtId="0" fontId="18" fillId="8" borderId="23" xfId="0" applyFont="1" applyFill="1" applyBorder="1" applyAlignment="1">
      <alignment horizontal="center" vertical="center"/>
    </xf>
    <xf numFmtId="1" fontId="18" fillId="8" borderId="25" xfId="0" applyNumberFormat="1" applyFont="1" applyFill="1" applyBorder="1" applyAlignment="1">
      <alignment horizontal="center" vertical="center"/>
    </xf>
    <xf numFmtId="8" fontId="5" fillId="3" borderId="0" xfId="0" applyNumberFormat="1" applyFont="1" applyFill="1" applyAlignment="1">
      <alignment horizontal="center" vertical="center"/>
    </xf>
    <xf numFmtId="0" fontId="18" fillId="8" borderId="0" xfId="0" applyFont="1" applyFill="1" applyAlignment="1">
      <alignment horizontal="center" vertical="center" wrapText="1"/>
    </xf>
    <xf numFmtId="0" fontId="18" fillId="8" borderId="0" xfId="0" quotePrefix="1" applyFont="1" applyFill="1" applyAlignment="1">
      <alignment horizontal="center" vertical="center"/>
    </xf>
    <xf numFmtId="0" fontId="3" fillId="3" borderId="0" xfId="0" applyFont="1" applyFill="1" applyAlignment="1">
      <alignment wrapText="1"/>
    </xf>
    <xf numFmtId="0" fontId="5" fillId="3" borderId="0" xfId="0" applyFont="1" applyFill="1" applyAlignment="1">
      <alignment wrapText="1"/>
    </xf>
    <xf numFmtId="0" fontId="5" fillId="3" borderId="0" xfId="0" applyFont="1" applyFill="1" applyAlignment="1">
      <alignment vertical="center" wrapText="1"/>
    </xf>
    <xf numFmtId="0" fontId="3" fillId="3" borderId="0" xfId="0" applyFont="1" applyFill="1" applyAlignment="1">
      <alignment vertical="center" wrapText="1"/>
    </xf>
    <xf numFmtId="44" fontId="18" fillId="8" borderId="0" xfId="1" applyFont="1" applyFill="1"/>
    <xf numFmtId="44" fontId="18" fillId="3" borderId="0" xfId="1" applyFont="1" applyFill="1"/>
    <xf numFmtId="8" fontId="3" fillId="3" borderId="22" xfId="0" applyNumberFormat="1" applyFont="1" applyFill="1" applyBorder="1" applyAlignment="1">
      <alignment horizontal="center" vertical="center"/>
    </xf>
    <xf numFmtId="44" fontId="3" fillId="3" borderId="22" xfId="0" applyNumberFormat="1" applyFont="1" applyFill="1" applyBorder="1" applyAlignment="1">
      <alignment horizontal="center" vertical="center"/>
    </xf>
    <xf numFmtId="8" fontId="18" fillId="8" borderId="25" xfId="0" applyNumberFormat="1" applyFont="1" applyFill="1" applyBorder="1" applyAlignment="1">
      <alignment horizontal="center" vertical="center"/>
    </xf>
    <xf numFmtId="0" fontId="3" fillId="6" borderId="0" xfId="0" applyFont="1" applyFill="1"/>
    <xf numFmtId="44" fontId="3" fillId="3" borderId="0" xfId="1" applyFont="1" applyFill="1" applyBorder="1" applyAlignment="1">
      <alignment horizontal="center" vertical="center"/>
    </xf>
    <xf numFmtId="0" fontId="18" fillId="8" borderId="21" xfId="0" applyFont="1" applyFill="1" applyBorder="1" applyAlignment="1">
      <alignment horizontal="center" vertical="center" wrapText="1"/>
    </xf>
    <xf numFmtId="0" fontId="5" fillId="3" borderId="0" xfId="0" applyFont="1" applyFill="1" applyAlignment="1">
      <alignment vertical="center"/>
    </xf>
    <xf numFmtId="0" fontId="3" fillId="3" borderId="13" xfId="0" applyFont="1" applyFill="1" applyBorder="1"/>
    <xf numFmtId="0" fontId="3" fillId="3" borderId="25" xfId="0" applyFont="1" applyFill="1" applyBorder="1"/>
    <xf numFmtId="0" fontId="5" fillId="3" borderId="19" xfId="0" quotePrefix="1" applyFont="1" applyFill="1" applyBorder="1" applyAlignment="1">
      <alignment horizontal="center" vertical="center"/>
    </xf>
    <xf numFmtId="9" fontId="3" fillId="3" borderId="24" xfId="0" quotePrefix="1" applyNumberFormat="1" applyFont="1" applyFill="1" applyBorder="1" applyAlignment="1">
      <alignment horizontal="center" vertical="center"/>
    </xf>
    <xf numFmtId="44" fontId="3" fillId="3" borderId="13" xfId="0" applyNumberFormat="1" applyFont="1" applyFill="1" applyBorder="1"/>
    <xf numFmtId="44" fontId="3" fillId="3" borderId="22" xfId="0" applyNumberFormat="1" applyFont="1" applyFill="1" applyBorder="1"/>
    <xf numFmtId="0" fontId="3" fillId="3" borderId="24" xfId="0" applyFont="1" applyFill="1" applyBorder="1"/>
    <xf numFmtId="44" fontId="3" fillId="3" borderId="24" xfId="0" applyNumberFormat="1" applyFont="1" applyFill="1" applyBorder="1"/>
    <xf numFmtId="44" fontId="3" fillId="3" borderId="25" xfId="0" applyNumberFormat="1" applyFont="1" applyFill="1" applyBorder="1"/>
    <xf numFmtId="0" fontId="3" fillId="3" borderId="18" xfId="0" applyFont="1" applyFill="1" applyBorder="1" applyAlignment="1">
      <alignment horizontal="center" vertical="center"/>
    </xf>
    <xf numFmtId="44" fontId="3" fillId="3" borderId="19" xfId="0" applyNumberFormat="1" applyFont="1" applyFill="1" applyBorder="1" applyAlignment="1">
      <alignment horizontal="center" vertical="center"/>
    </xf>
    <xf numFmtId="44" fontId="3" fillId="3" borderId="13" xfId="0" applyNumberFormat="1" applyFont="1" applyFill="1" applyBorder="1" applyAlignment="1">
      <alignment horizontal="center" vertical="center"/>
    </xf>
    <xf numFmtId="44" fontId="3" fillId="3" borderId="24" xfId="0" applyNumberFormat="1" applyFont="1" applyFill="1" applyBorder="1" applyAlignment="1">
      <alignment horizontal="center" vertical="center"/>
    </xf>
    <xf numFmtId="44" fontId="3" fillId="3" borderId="25" xfId="0" applyNumberFormat="1" applyFont="1" applyFill="1" applyBorder="1" applyAlignment="1">
      <alignment horizontal="center" vertical="center"/>
    </xf>
    <xf numFmtId="0" fontId="5" fillId="3" borderId="38" xfId="0" applyFont="1" applyFill="1" applyBorder="1" applyAlignment="1">
      <alignment horizontal="center" vertical="center" wrapText="1"/>
    </xf>
    <xf numFmtId="0" fontId="5" fillId="3" borderId="39" xfId="0" applyFont="1" applyFill="1" applyBorder="1" applyAlignment="1">
      <alignment horizontal="center" vertical="center" wrapText="1"/>
    </xf>
    <xf numFmtId="2" fontId="3" fillId="3" borderId="13" xfId="0" applyNumberFormat="1" applyFont="1" applyFill="1" applyBorder="1"/>
    <xf numFmtId="2" fontId="3" fillId="3" borderId="22" xfId="0" applyNumberFormat="1" applyFont="1" applyFill="1" applyBorder="1"/>
    <xf numFmtId="2" fontId="3" fillId="3" borderId="24" xfId="0" applyNumberFormat="1" applyFont="1" applyFill="1" applyBorder="1"/>
    <xf numFmtId="2" fontId="3" fillId="3" borderId="25" xfId="0" applyNumberFormat="1" applyFont="1" applyFill="1" applyBorder="1"/>
    <xf numFmtId="0" fontId="3" fillId="3" borderId="26" xfId="0" applyFont="1" applyFill="1" applyBorder="1" applyAlignment="1">
      <alignment horizontal="center" vertical="center"/>
    </xf>
    <xf numFmtId="2" fontId="3" fillId="3" borderId="14" xfId="0" applyNumberFormat="1" applyFont="1" applyFill="1" applyBorder="1"/>
    <xf numFmtId="2" fontId="3" fillId="3" borderId="27" xfId="0" applyNumberFormat="1" applyFont="1" applyFill="1" applyBorder="1"/>
    <xf numFmtId="0" fontId="5" fillId="3" borderId="15" xfId="0" applyFont="1" applyFill="1" applyBorder="1" applyAlignment="1">
      <alignment horizontal="center" vertical="center" wrapText="1"/>
    </xf>
    <xf numFmtId="0" fontId="5" fillId="3" borderId="16" xfId="0" applyFont="1" applyFill="1" applyBorder="1"/>
    <xf numFmtId="0" fontId="5" fillId="3" borderId="17" xfId="0" applyFont="1" applyFill="1" applyBorder="1"/>
    <xf numFmtId="44" fontId="3" fillId="3" borderId="14" xfId="0" applyNumberFormat="1" applyFont="1" applyFill="1" applyBorder="1" applyAlignment="1">
      <alignment horizontal="center" vertical="center"/>
    </xf>
    <xf numFmtId="0" fontId="5" fillId="3" borderId="16" xfId="0" applyFont="1" applyFill="1" applyBorder="1" applyAlignment="1">
      <alignment horizontal="center" vertical="center" wrapText="1"/>
    </xf>
    <xf numFmtId="0" fontId="5" fillId="3" borderId="17" xfId="0" applyFont="1" applyFill="1" applyBorder="1" applyAlignment="1">
      <alignment horizontal="center" vertical="center" wrapText="1"/>
    </xf>
    <xf numFmtId="44" fontId="3" fillId="3" borderId="27" xfId="0" applyNumberFormat="1" applyFont="1" applyFill="1" applyBorder="1" applyAlignment="1">
      <alignment horizontal="center" vertical="center"/>
    </xf>
    <xf numFmtId="0" fontId="3" fillId="3" borderId="22" xfId="0" applyFont="1" applyFill="1" applyBorder="1"/>
    <xf numFmtId="9" fontId="3" fillId="3" borderId="27" xfId="0" applyNumberFormat="1" applyFont="1" applyFill="1" applyBorder="1" applyAlignment="1">
      <alignment horizontal="center" vertical="center"/>
    </xf>
    <xf numFmtId="0" fontId="3" fillId="3" borderId="14" xfId="0" applyFont="1" applyFill="1" applyBorder="1"/>
    <xf numFmtId="0" fontId="3" fillId="3" borderId="27" xfId="0" applyFont="1" applyFill="1" applyBorder="1"/>
    <xf numFmtId="0" fontId="3" fillId="9" borderId="13" xfId="0" applyFont="1" applyFill="1" applyBorder="1" applyAlignment="1">
      <alignment horizontal="center" vertical="center"/>
    </xf>
    <xf numFmtId="0" fontId="3" fillId="9" borderId="24" xfId="0" applyFont="1" applyFill="1" applyBorder="1" applyAlignment="1">
      <alignment horizontal="center" vertical="center"/>
    </xf>
    <xf numFmtId="0" fontId="5" fillId="3" borderId="54" xfId="0" applyFont="1" applyFill="1" applyBorder="1" applyAlignment="1">
      <alignment horizontal="center" vertical="center" wrapText="1"/>
    </xf>
    <xf numFmtId="44" fontId="3" fillId="3" borderId="53" xfId="0" applyNumberFormat="1" applyFont="1" applyFill="1" applyBorder="1" applyAlignment="1">
      <alignment horizontal="center" vertical="center"/>
    </xf>
    <xf numFmtId="44" fontId="3" fillId="3" borderId="44" xfId="0" applyNumberFormat="1" applyFont="1" applyFill="1" applyBorder="1" applyAlignment="1">
      <alignment horizontal="center" vertical="center"/>
    </xf>
    <xf numFmtId="44" fontId="3" fillId="3" borderId="59" xfId="0" applyNumberFormat="1" applyFont="1" applyFill="1" applyBorder="1" applyAlignment="1">
      <alignment horizontal="center" vertical="center"/>
    </xf>
    <xf numFmtId="44" fontId="3" fillId="3" borderId="26" xfId="0" applyNumberFormat="1" applyFont="1" applyFill="1" applyBorder="1" applyAlignment="1">
      <alignment horizontal="center" vertical="center"/>
    </xf>
    <xf numFmtId="0" fontId="3" fillId="9" borderId="21" xfId="0" applyFont="1" applyFill="1" applyBorder="1" applyAlignment="1">
      <alignment horizontal="center" vertical="center"/>
    </xf>
    <xf numFmtId="0" fontId="3" fillId="9" borderId="22" xfId="0" applyFont="1" applyFill="1" applyBorder="1" applyAlignment="1">
      <alignment horizontal="center" vertical="center"/>
    </xf>
    <xf numFmtId="0" fontId="3" fillId="9" borderId="23" xfId="0" applyFont="1" applyFill="1" applyBorder="1" applyAlignment="1">
      <alignment horizontal="center" vertical="center"/>
    </xf>
    <xf numFmtId="0" fontId="3" fillId="9" borderId="25" xfId="0" applyFont="1" applyFill="1" applyBorder="1" applyAlignment="1">
      <alignment horizontal="center" vertical="center"/>
    </xf>
    <xf numFmtId="8" fontId="3" fillId="3" borderId="26" xfId="0" applyNumberFormat="1" applyFont="1" applyFill="1" applyBorder="1" applyAlignment="1">
      <alignment horizontal="center" vertical="center"/>
    </xf>
    <xf numFmtId="8" fontId="3" fillId="3" borderId="27" xfId="0" applyNumberFormat="1" applyFont="1" applyFill="1" applyBorder="1" applyAlignment="1">
      <alignment horizontal="center" vertical="center"/>
    </xf>
    <xf numFmtId="44" fontId="3" fillId="3" borderId="21" xfId="0" applyNumberFormat="1" applyFont="1" applyFill="1" applyBorder="1" applyAlignment="1">
      <alignment horizontal="center" vertical="center"/>
    </xf>
    <xf numFmtId="44" fontId="3" fillId="3" borderId="23" xfId="0" applyNumberFormat="1" applyFont="1" applyFill="1" applyBorder="1" applyAlignment="1">
      <alignment horizontal="center" vertical="center"/>
    </xf>
    <xf numFmtId="44" fontId="3" fillId="3" borderId="14" xfId="0" applyNumberFormat="1" applyFont="1" applyFill="1" applyBorder="1"/>
    <xf numFmtId="0" fontId="5" fillId="3" borderId="16" xfId="0" applyFont="1" applyFill="1" applyBorder="1" applyAlignment="1">
      <alignment wrapText="1"/>
    </xf>
    <xf numFmtId="0" fontId="5" fillId="3" borderId="17" xfId="0" applyFont="1" applyFill="1" applyBorder="1" applyAlignment="1">
      <alignment wrapText="1"/>
    </xf>
    <xf numFmtId="44" fontId="3" fillId="3" borderId="27" xfId="0" applyNumberFormat="1" applyFont="1" applyFill="1" applyBorder="1"/>
    <xf numFmtId="0" fontId="5" fillId="3" borderId="13" xfId="0" applyFont="1" applyFill="1" applyBorder="1" applyAlignment="1">
      <alignment horizontal="center" vertical="center" wrapText="1"/>
    </xf>
    <xf numFmtId="0" fontId="4" fillId="3" borderId="4" xfId="0" applyFont="1" applyFill="1" applyBorder="1" applyAlignment="1">
      <alignment horizontal="center"/>
    </xf>
    <xf numFmtId="0" fontId="4" fillId="3" borderId="5" xfId="0" applyFont="1" applyFill="1" applyBorder="1" applyAlignment="1">
      <alignment horizontal="center"/>
    </xf>
    <xf numFmtId="0" fontId="7" fillId="7" borderId="40" xfId="0" applyFont="1" applyFill="1" applyBorder="1" applyAlignment="1">
      <alignment horizontal="center" vertical="center" wrapText="1"/>
    </xf>
    <xf numFmtId="9" fontId="3" fillId="3" borderId="22" xfId="0" applyNumberFormat="1" applyFont="1" applyFill="1" applyBorder="1" applyAlignment="1">
      <alignment horizontal="center" vertical="center"/>
    </xf>
    <xf numFmtId="1" fontId="3" fillId="3" borderId="25" xfId="0" applyNumberFormat="1" applyFont="1" applyFill="1" applyBorder="1" applyAlignment="1">
      <alignment horizontal="center" vertical="center"/>
    </xf>
    <xf numFmtId="3" fontId="3" fillId="3" borderId="14" xfId="0" applyNumberFormat="1" applyFont="1" applyFill="1" applyBorder="1" applyAlignment="1">
      <alignment horizontal="center" vertical="center"/>
    </xf>
    <xf numFmtId="0" fontId="3" fillId="3" borderId="27" xfId="0" applyFont="1" applyFill="1" applyBorder="1" applyAlignment="1">
      <alignment horizontal="center" vertical="center"/>
    </xf>
    <xf numFmtId="0" fontId="11" fillId="8" borderId="37" xfId="1" applyNumberFormat="1" applyFont="1" applyFill="1" applyBorder="1" applyAlignment="1">
      <alignment horizontal="center" vertical="center"/>
    </xf>
    <xf numFmtId="164" fontId="5" fillId="3" borderId="13" xfId="0" applyNumberFormat="1" applyFont="1" applyFill="1" applyBorder="1" applyAlignment="1">
      <alignment horizontal="center" vertical="center" wrapText="1"/>
    </xf>
    <xf numFmtId="0" fontId="5" fillId="3" borderId="24" xfId="0" applyFont="1" applyFill="1" applyBorder="1" applyAlignment="1">
      <alignment horizontal="center" vertical="center" wrapText="1"/>
    </xf>
    <xf numFmtId="164" fontId="5" fillId="3" borderId="24" xfId="0" applyNumberFormat="1" applyFont="1" applyFill="1" applyBorder="1" applyAlignment="1">
      <alignment horizontal="center" vertical="center" wrapText="1"/>
    </xf>
    <xf numFmtId="164" fontId="21" fillId="8" borderId="22" xfId="0" applyNumberFormat="1" applyFont="1" applyFill="1" applyBorder="1" applyAlignment="1">
      <alignment horizontal="center" vertical="center"/>
    </xf>
    <xf numFmtId="164" fontId="21" fillId="8" borderId="25" xfId="0" applyNumberFormat="1" applyFont="1" applyFill="1" applyBorder="1" applyAlignment="1">
      <alignment horizontal="center" vertical="center"/>
    </xf>
    <xf numFmtId="0" fontId="3" fillId="3" borderId="14" xfId="0" applyFont="1" applyFill="1" applyBorder="1" applyAlignment="1">
      <alignment horizontal="center" vertical="center"/>
    </xf>
    <xf numFmtId="0" fontId="5" fillId="3" borderId="14" xfId="0" applyFont="1" applyFill="1" applyBorder="1" applyAlignment="1">
      <alignment horizontal="center" vertical="center" wrapText="1"/>
    </xf>
    <xf numFmtId="164" fontId="5" fillId="3" borderId="14" xfId="0" applyNumberFormat="1" applyFont="1" applyFill="1" applyBorder="1" applyAlignment="1">
      <alignment horizontal="center" vertical="center" wrapText="1"/>
    </xf>
    <xf numFmtId="164" fontId="21" fillId="8" borderId="27" xfId="0" applyNumberFormat="1" applyFont="1" applyFill="1" applyBorder="1" applyAlignment="1">
      <alignment horizontal="center" vertical="center"/>
    </xf>
    <xf numFmtId="0" fontId="18" fillId="8" borderId="17" xfId="0" applyFont="1" applyFill="1" applyBorder="1" applyAlignment="1">
      <alignment horizontal="center" vertical="center" wrapText="1"/>
    </xf>
    <xf numFmtId="0" fontId="5" fillId="3" borderId="13" xfId="0" applyFont="1" applyFill="1" applyBorder="1" applyAlignment="1">
      <alignment horizontal="left" vertical="center" wrapText="1"/>
    </xf>
    <xf numFmtId="0" fontId="5" fillId="3" borderId="24" xfId="0" applyFont="1" applyFill="1" applyBorder="1" applyAlignment="1">
      <alignment horizontal="left" vertical="center" wrapText="1"/>
    </xf>
    <xf numFmtId="0" fontId="5" fillId="3" borderId="14" xfId="0" applyFont="1" applyFill="1" applyBorder="1" applyAlignment="1">
      <alignment horizontal="left" vertical="center" wrapText="1"/>
    </xf>
    <xf numFmtId="0" fontId="22" fillId="3" borderId="16" xfId="0" applyFont="1" applyFill="1" applyBorder="1" applyAlignment="1">
      <alignment horizontal="center" vertical="center" wrapText="1"/>
    </xf>
    <xf numFmtId="0" fontId="5" fillId="3" borderId="16" xfId="0" applyFont="1" applyFill="1" applyBorder="1" applyAlignment="1">
      <alignment horizontal="left" vertical="center" wrapText="1"/>
    </xf>
    <xf numFmtId="0" fontId="18" fillId="8" borderId="16" xfId="0" applyFont="1" applyFill="1" applyBorder="1" applyAlignment="1">
      <alignment wrapText="1"/>
    </xf>
    <xf numFmtId="0" fontId="18" fillId="8" borderId="17" xfId="0" applyFont="1" applyFill="1" applyBorder="1" applyAlignment="1">
      <alignment wrapText="1"/>
    </xf>
    <xf numFmtId="0" fontId="18" fillId="8" borderId="16" xfId="0" applyFont="1" applyFill="1" applyBorder="1" applyAlignment="1">
      <alignment horizontal="center" vertical="center" wrapText="1"/>
    </xf>
    <xf numFmtId="0" fontId="21" fillId="8" borderId="14" xfId="0" applyFont="1" applyFill="1" applyBorder="1" applyAlignment="1">
      <alignment horizontal="center" vertical="center"/>
    </xf>
    <xf numFmtId="0" fontId="21" fillId="8" borderId="27" xfId="0" applyFont="1" applyFill="1" applyBorder="1" applyAlignment="1">
      <alignment horizontal="center" vertical="center"/>
    </xf>
    <xf numFmtId="0" fontId="21" fillId="8" borderId="13" xfId="0" applyFont="1" applyFill="1" applyBorder="1" applyAlignment="1">
      <alignment horizontal="center" vertical="center"/>
    </xf>
    <xf numFmtId="0" fontId="21" fillId="8" borderId="22" xfId="0" applyFont="1" applyFill="1" applyBorder="1" applyAlignment="1">
      <alignment horizontal="center" vertical="center"/>
    </xf>
    <xf numFmtId="0" fontId="21" fillId="8" borderId="24" xfId="0" applyFont="1" applyFill="1" applyBorder="1" applyAlignment="1">
      <alignment horizontal="center" vertical="center"/>
    </xf>
    <xf numFmtId="0" fontId="21" fillId="8" borderId="25" xfId="0" applyFont="1" applyFill="1" applyBorder="1" applyAlignment="1">
      <alignment horizontal="center" vertical="center"/>
    </xf>
    <xf numFmtId="0" fontId="23" fillId="3" borderId="14" xfId="0" applyFont="1" applyFill="1" applyBorder="1" applyAlignment="1">
      <alignment horizontal="center" vertical="center"/>
    </xf>
    <xf numFmtId="0" fontId="23" fillId="3" borderId="13" xfId="0" applyFont="1" applyFill="1" applyBorder="1" applyAlignment="1">
      <alignment horizontal="center" vertical="center"/>
    </xf>
    <xf numFmtId="0" fontId="23" fillId="3" borderId="24" xfId="0" applyFont="1" applyFill="1" applyBorder="1" applyAlignment="1">
      <alignment horizontal="center" vertical="center"/>
    </xf>
    <xf numFmtId="8" fontId="21" fillId="8" borderId="27" xfId="0" applyNumberFormat="1" applyFont="1" applyFill="1" applyBorder="1" applyAlignment="1">
      <alignment horizontal="center" vertical="center"/>
    </xf>
    <xf numFmtId="0" fontId="22" fillId="3" borderId="15" xfId="0" applyFont="1" applyFill="1" applyBorder="1" applyAlignment="1">
      <alignment horizontal="center" vertical="center" wrapText="1"/>
    </xf>
    <xf numFmtId="0" fontId="23" fillId="3" borderId="26" xfId="0" applyFont="1" applyFill="1" applyBorder="1" applyAlignment="1">
      <alignment horizontal="center" vertical="center"/>
    </xf>
    <xf numFmtId="0" fontId="23" fillId="3" borderId="21" xfId="0" applyFont="1" applyFill="1" applyBorder="1" applyAlignment="1">
      <alignment horizontal="center" vertical="center"/>
    </xf>
    <xf numFmtId="0" fontId="23" fillId="3" borderId="23" xfId="0" applyFont="1" applyFill="1" applyBorder="1" applyAlignment="1">
      <alignment horizontal="center" vertical="center"/>
    </xf>
    <xf numFmtId="8" fontId="23" fillId="3" borderId="14" xfId="0" applyNumberFormat="1" applyFont="1" applyFill="1" applyBorder="1" applyAlignment="1">
      <alignment horizontal="center" vertical="center" wrapText="1"/>
    </xf>
    <xf numFmtId="44" fontId="23" fillId="3" borderId="14" xfId="0" applyNumberFormat="1" applyFont="1" applyFill="1" applyBorder="1" applyAlignment="1">
      <alignment horizontal="center" vertical="center" wrapText="1"/>
    </xf>
    <xf numFmtId="8" fontId="23" fillId="3" borderId="13" xfId="0" applyNumberFormat="1" applyFont="1" applyFill="1" applyBorder="1" applyAlignment="1">
      <alignment horizontal="center" vertical="center" wrapText="1"/>
    </xf>
    <xf numFmtId="44" fontId="23" fillId="3" borderId="13" xfId="0" applyNumberFormat="1" applyFont="1" applyFill="1" applyBorder="1" applyAlignment="1">
      <alignment horizontal="center" vertical="center" wrapText="1"/>
    </xf>
    <xf numFmtId="8" fontId="23" fillId="3" borderId="24" xfId="0" applyNumberFormat="1" applyFont="1" applyFill="1" applyBorder="1" applyAlignment="1">
      <alignment horizontal="center" vertical="center" wrapText="1"/>
    </xf>
    <xf numFmtId="44" fontId="23" fillId="3" borderId="24" xfId="0" applyNumberFormat="1" applyFont="1" applyFill="1" applyBorder="1" applyAlignment="1">
      <alignment horizontal="center" vertical="center" wrapText="1"/>
    </xf>
    <xf numFmtId="8" fontId="18" fillId="8" borderId="14" xfId="0" applyNumberFormat="1" applyFont="1" applyFill="1" applyBorder="1" applyAlignment="1">
      <alignment horizontal="center" vertical="center"/>
    </xf>
    <xf numFmtId="8" fontId="18" fillId="8" borderId="27" xfId="0" applyNumberFormat="1" applyFont="1" applyFill="1" applyBorder="1" applyAlignment="1">
      <alignment horizontal="center" vertical="center"/>
    </xf>
    <xf numFmtId="8" fontId="18" fillId="8" borderId="13" xfId="0" applyNumberFormat="1" applyFont="1" applyFill="1" applyBorder="1" applyAlignment="1">
      <alignment horizontal="center" vertical="center"/>
    </xf>
    <xf numFmtId="8" fontId="18" fillId="8" borderId="22" xfId="0" applyNumberFormat="1" applyFont="1" applyFill="1" applyBorder="1" applyAlignment="1">
      <alignment horizontal="center" vertical="center"/>
    </xf>
    <xf numFmtId="8" fontId="18" fillId="8" borderId="24" xfId="0" applyNumberFormat="1" applyFont="1" applyFill="1" applyBorder="1" applyAlignment="1">
      <alignment horizontal="center" vertical="center"/>
    </xf>
    <xf numFmtId="44" fontId="18" fillId="8" borderId="14" xfId="1" applyFont="1" applyFill="1" applyBorder="1"/>
    <xf numFmtId="44" fontId="18" fillId="8" borderId="27" xfId="1" applyFont="1" applyFill="1" applyBorder="1"/>
    <xf numFmtId="44" fontId="18" fillId="8" borderId="13" xfId="1" applyFont="1" applyFill="1" applyBorder="1"/>
    <xf numFmtId="44" fontId="18" fillId="8" borderId="22" xfId="1" applyFont="1" applyFill="1" applyBorder="1"/>
    <xf numFmtId="44" fontId="18" fillId="8" borderId="24" xfId="1" applyFont="1" applyFill="1" applyBorder="1"/>
    <xf numFmtId="44" fontId="18" fillId="8" borderId="25" xfId="1" applyFont="1" applyFill="1" applyBorder="1"/>
    <xf numFmtId="0" fontId="18" fillId="8" borderId="18" xfId="0" applyFont="1" applyFill="1" applyBorder="1" applyAlignment="1">
      <alignment horizontal="center" vertical="center" wrapText="1"/>
    </xf>
    <xf numFmtId="44" fontId="18" fillId="8" borderId="20" xfId="1" applyFont="1" applyFill="1" applyBorder="1" applyAlignment="1">
      <alignment horizontal="center" vertical="center"/>
    </xf>
    <xf numFmtId="44" fontId="18" fillId="8" borderId="22" xfId="1" applyFont="1" applyFill="1" applyBorder="1" applyAlignment="1">
      <alignment horizontal="center" vertical="center"/>
    </xf>
    <xf numFmtId="0" fontId="18" fillId="8" borderId="23" xfId="0" applyFont="1" applyFill="1" applyBorder="1" applyAlignment="1">
      <alignment horizontal="center" vertical="center" wrapText="1"/>
    </xf>
    <xf numFmtId="44" fontId="18" fillId="8" borderId="25" xfId="1" applyFont="1" applyFill="1" applyBorder="1" applyAlignment="1">
      <alignment horizontal="center" vertical="center"/>
    </xf>
    <xf numFmtId="0" fontId="4" fillId="3" borderId="0" xfId="0" applyFont="1" applyFill="1" applyAlignment="1">
      <alignment horizontal="center"/>
    </xf>
    <xf numFmtId="0" fontId="7" fillId="7" borderId="37" xfId="0" applyFont="1" applyFill="1" applyBorder="1" applyAlignment="1">
      <alignment horizontal="center" vertical="center" wrapText="1"/>
    </xf>
    <xf numFmtId="0" fontId="7" fillId="2" borderId="62" xfId="0" applyFont="1" applyFill="1" applyBorder="1" applyAlignment="1">
      <alignment horizontal="center" vertical="center" wrapText="1"/>
    </xf>
    <xf numFmtId="14" fontId="3" fillId="3" borderId="0" xfId="0" applyNumberFormat="1" applyFont="1" applyFill="1" applyAlignment="1">
      <alignment horizontal="center" vertical="center"/>
    </xf>
    <xf numFmtId="9" fontId="3" fillId="3" borderId="0" xfId="2" applyFont="1" applyFill="1" applyAlignment="1">
      <alignment horizontal="center" vertical="center"/>
    </xf>
    <xf numFmtId="1" fontId="3" fillId="3" borderId="0" xfId="0" applyNumberFormat="1" applyFont="1" applyFill="1"/>
    <xf numFmtId="0" fontId="4" fillId="3" borderId="5" xfId="0" applyFont="1" applyFill="1" applyBorder="1" applyAlignment="1">
      <alignment horizontal="center" vertical="center"/>
    </xf>
    <xf numFmtId="0" fontId="3" fillId="5" borderId="19" xfId="0" applyFont="1" applyFill="1" applyBorder="1" applyAlignment="1">
      <alignment horizontal="center" vertical="center"/>
    </xf>
    <xf numFmtId="0" fontId="3" fillId="5" borderId="13" xfId="0" applyFont="1" applyFill="1" applyBorder="1" applyAlignment="1">
      <alignment horizontal="center" vertical="center"/>
    </xf>
    <xf numFmtId="0" fontId="3" fillId="3" borderId="0" xfId="2" applyNumberFormat="1" applyFont="1" applyFill="1" applyBorder="1" applyAlignment="1">
      <alignment horizontal="center" vertical="center"/>
    </xf>
    <xf numFmtId="9" fontId="3" fillId="3" borderId="0" xfId="2" applyFont="1" applyFill="1" applyBorder="1" applyAlignment="1">
      <alignment horizontal="center" vertical="center"/>
    </xf>
    <xf numFmtId="0" fontId="5" fillId="4" borderId="49" xfId="0" applyFont="1" applyFill="1" applyBorder="1" applyAlignment="1">
      <alignment horizontal="center" vertical="center"/>
    </xf>
    <xf numFmtId="0" fontId="3" fillId="3" borderId="25"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7" borderId="17" xfId="0" applyFont="1" applyFill="1" applyBorder="1" applyAlignment="1">
      <alignment horizontal="center" vertical="center" wrapText="1"/>
    </xf>
    <xf numFmtId="0" fontId="4" fillId="3" borderId="0" xfId="0" applyFont="1" applyFill="1"/>
    <xf numFmtId="2" fontId="5" fillId="3" borderId="0" xfId="0" quotePrefix="1" applyNumberFormat="1" applyFont="1" applyFill="1" applyAlignment="1">
      <alignment horizontal="left" vertical="center"/>
    </xf>
    <xf numFmtId="0" fontId="5" fillId="4" borderId="64" xfId="0" applyFont="1" applyFill="1" applyBorder="1" applyAlignment="1">
      <alignment horizontal="center" vertical="center" wrapText="1"/>
    </xf>
    <xf numFmtId="0" fontId="3" fillId="4" borderId="49" xfId="0" applyFont="1" applyFill="1" applyBorder="1" applyAlignment="1">
      <alignment horizontal="center" vertical="center" wrapText="1"/>
    </xf>
    <xf numFmtId="0" fontId="3" fillId="4" borderId="50" xfId="0" applyFont="1" applyFill="1" applyBorder="1" applyAlignment="1">
      <alignment horizontal="center" vertical="center"/>
    </xf>
    <xf numFmtId="0" fontId="3" fillId="5" borderId="24" xfId="0" applyFont="1" applyFill="1" applyBorder="1" applyAlignment="1">
      <alignment horizontal="center" vertical="center"/>
    </xf>
    <xf numFmtId="0" fontId="5" fillId="3" borderId="0" xfId="0" quotePrefix="1" applyFont="1" applyFill="1" applyAlignment="1">
      <alignment horizontal="left" vertical="center"/>
    </xf>
    <xf numFmtId="0" fontId="9" fillId="10" borderId="0" xfId="0" applyFont="1" applyFill="1"/>
    <xf numFmtId="0" fontId="30" fillId="10" borderId="0" xfId="0" applyFont="1" applyFill="1"/>
    <xf numFmtId="0" fontId="3" fillId="10" borderId="0" xfId="0" applyFont="1" applyFill="1"/>
    <xf numFmtId="0" fontId="5" fillId="10" borderId="0" xfId="0" applyFont="1" applyFill="1"/>
    <xf numFmtId="0" fontId="5" fillId="10" borderId="0" xfId="0" applyFont="1" applyFill="1" applyAlignment="1">
      <alignment horizontal="left" vertical="center" indent="1"/>
    </xf>
    <xf numFmtId="0" fontId="6" fillId="10" borderId="0" xfId="0" applyFont="1" applyFill="1"/>
    <xf numFmtId="0" fontId="31" fillId="10" borderId="0" xfId="0" applyFont="1" applyFill="1" applyAlignment="1">
      <alignment vertical="center"/>
    </xf>
    <xf numFmtId="0" fontId="9" fillId="10" borderId="5" xfId="0" applyFont="1" applyFill="1" applyBorder="1"/>
    <xf numFmtId="0" fontId="9" fillId="10" borderId="6" xfId="0" applyFont="1" applyFill="1" applyBorder="1"/>
    <xf numFmtId="0" fontId="9" fillId="10" borderId="7" xfId="0" applyFont="1" applyFill="1" applyBorder="1"/>
    <xf numFmtId="0" fontId="9" fillId="10" borderId="8" xfId="0" applyFont="1" applyFill="1" applyBorder="1"/>
    <xf numFmtId="0" fontId="9" fillId="10" borderId="9" xfId="0" applyFont="1" applyFill="1" applyBorder="1"/>
    <xf numFmtId="0" fontId="8" fillId="3" borderId="0" xfId="0" applyFont="1" applyFill="1" applyAlignment="1">
      <alignment horizontal="center" vertical="center" wrapText="1"/>
    </xf>
    <xf numFmtId="0" fontId="9" fillId="3" borderId="0" xfId="0" applyFont="1" applyFill="1" applyAlignment="1">
      <alignment horizontal="center" vertical="center" wrapText="1"/>
    </xf>
    <xf numFmtId="0" fontId="10" fillId="3" borderId="0" xfId="0" applyFont="1" applyFill="1" applyAlignment="1">
      <alignment horizontal="center" vertical="center" wrapText="1"/>
    </xf>
    <xf numFmtId="0" fontId="6" fillId="3" borderId="0" xfId="0" applyFont="1" applyFill="1" applyAlignment="1">
      <alignment horizontal="left" vertical="center"/>
    </xf>
    <xf numFmtId="0" fontId="15" fillId="3" borderId="0" xfId="0" applyFont="1" applyFill="1" applyAlignment="1">
      <alignment horizontal="left" vertical="center"/>
    </xf>
    <xf numFmtId="49" fontId="33" fillId="13" borderId="67" xfId="0" applyNumberFormat="1" applyFont="1" applyFill="1" applyBorder="1" applyAlignment="1">
      <alignment horizontal="center" vertical="top"/>
    </xf>
    <xf numFmtId="0" fontId="36" fillId="13" borderId="66" xfId="0" applyFont="1" applyFill="1" applyBorder="1" applyAlignment="1">
      <alignment horizontal="center" vertical="center"/>
    </xf>
    <xf numFmtId="14" fontId="35" fillId="15" borderId="70" xfId="0" applyNumberFormat="1" applyFont="1" applyFill="1" applyBorder="1" applyAlignment="1">
      <alignment horizontal="left" vertical="center"/>
    </xf>
    <xf numFmtId="49" fontId="35" fillId="15" borderId="69" xfId="0" applyNumberFormat="1" applyFont="1" applyFill="1" applyBorder="1" applyAlignment="1">
      <alignment vertical="center"/>
    </xf>
    <xf numFmtId="49" fontId="35" fillId="16" borderId="69" xfId="0" applyNumberFormat="1" applyFont="1" applyFill="1" applyBorder="1" applyAlignment="1">
      <alignment horizontal="left" vertical="center"/>
    </xf>
    <xf numFmtId="14" fontId="35" fillId="15" borderId="70" xfId="0" applyNumberFormat="1" applyFont="1" applyFill="1" applyBorder="1" applyAlignment="1">
      <alignment horizontal="left" vertical="center" shrinkToFit="1"/>
    </xf>
    <xf numFmtId="14" fontId="35" fillId="15" borderId="69" xfId="0" applyNumberFormat="1" applyFont="1" applyFill="1" applyBorder="1" applyAlignment="1">
      <alignment horizontal="left" vertical="center"/>
    </xf>
    <xf numFmtId="49" fontId="35" fillId="16" borderId="71" xfId="0" applyNumberFormat="1" applyFont="1" applyFill="1" applyBorder="1" applyAlignment="1">
      <alignment horizontal="left" vertical="center" shrinkToFit="1"/>
    </xf>
    <xf numFmtId="49" fontId="35" fillId="16" borderId="70" xfId="0" applyNumberFormat="1" applyFont="1" applyFill="1" applyBorder="1" applyAlignment="1">
      <alignment horizontal="left" vertical="center"/>
    </xf>
    <xf numFmtId="49" fontId="37" fillId="13" borderId="67" xfId="0" applyNumberFormat="1" applyFont="1" applyFill="1" applyBorder="1" applyAlignment="1">
      <alignment vertical="top"/>
    </xf>
    <xf numFmtId="0" fontId="37" fillId="0" borderId="76" xfId="0" applyFont="1" applyBorder="1" applyAlignment="1">
      <alignment vertical="top"/>
    </xf>
    <xf numFmtId="49" fontId="38" fillId="0" borderId="66" xfId="0" applyNumberFormat="1" applyFont="1" applyBorder="1" applyAlignment="1">
      <alignment horizontal="left" vertical="top" wrapText="1"/>
    </xf>
    <xf numFmtId="49" fontId="38" fillId="0" borderId="67" xfId="0" applyNumberFormat="1" applyFont="1" applyBorder="1" applyAlignment="1">
      <alignment horizontal="left" vertical="top" wrapText="1"/>
    </xf>
    <xf numFmtId="49" fontId="37" fillId="0" borderId="67" xfId="0" applyNumberFormat="1" applyFont="1" applyBorder="1" applyAlignment="1">
      <alignment horizontal="center" vertical="top"/>
    </xf>
    <xf numFmtId="0" fontId="36" fillId="13" borderId="69" xfId="0" applyFont="1" applyFill="1" applyBorder="1" applyAlignment="1">
      <alignment horizontal="center" vertical="center"/>
    </xf>
    <xf numFmtId="0" fontId="32" fillId="12" borderId="4" xfId="0" applyFont="1" applyFill="1" applyBorder="1" applyAlignment="1">
      <alignment horizontal="left" vertical="center" wrapText="1"/>
    </xf>
    <xf numFmtId="0" fontId="33" fillId="12" borderId="5" xfId="0" applyFont="1" applyFill="1" applyBorder="1" applyAlignment="1">
      <alignment vertical="top"/>
    </xf>
    <xf numFmtId="0" fontId="34" fillId="12" borderId="5" xfId="0" applyFont="1" applyFill="1" applyBorder="1" applyAlignment="1">
      <alignment vertical="top"/>
    </xf>
    <xf numFmtId="49" fontId="34" fillId="12" borderId="6" xfId="0" applyNumberFormat="1" applyFont="1" applyFill="1" applyBorder="1" applyAlignment="1">
      <alignment vertical="center"/>
    </xf>
    <xf numFmtId="0" fontId="36" fillId="13" borderId="78" xfId="0" applyFont="1" applyFill="1" applyBorder="1" applyAlignment="1">
      <alignment horizontal="right" vertical="center" wrapText="1"/>
    </xf>
    <xf numFmtId="49" fontId="33" fillId="13" borderId="79" xfId="0" applyNumberFormat="1" applyFont="1" applyFill="1" applyBorder="1" applyAlignment="1">
      <alignment horizontal="center" vertical="top"/>
    </xf>
    <xf numFmtId="0" fontId="36" fillId="14" borderId="80" xfId="0" applyFont="1" applyFill="1" applyBorder="1" applyAlignment="1">
      <alignment horizontal="right" vertical="center" wrapText="1"/>
    </xf>
    <xf numFmtId="0" fontId="36" fillId="14" borderId="78" xfId="0" applyFont="1" applyFill="1" applyBorder="1" applyAlignment="1">
      <alignment horizontal="right" vertical="center" wrapText="1"/>
    </xf>
    <xf numFmtId="49" fontId="35" fillId="16" borderId="79" xfId="0" applyNumberFormat="1" applyFont="1" applyFill="1" applyBorder="1" applyAlignment="1">
      <alignment horizontal="left" vertical="center"/>
    </xf>
    <xf numFmtId="0" fontId="36" fillId="14" borderId="81" xfId="0" applyFont="1" applyFill="1" applyBorder="1" applyAlignment="1">
      <alignment horizontal="right" vertical="center" wrapText="1"/>
    </xf>
    <xf numFmtId="0" fontId="37" fillId="0" borderId="46" xfId="0" applyFont="1" applyBorder="1" applyAlignment="1">
      <alignment horizontal="right" vertical="center"/>
    </xf>
    <xf numFmtId="0" fontId="37" fillId="0" borderId="0" xfId="0" applyFont="1" applyAlignment="1">
      <alignment vertical="top"/>
    </xf>
    <xf numFmtId="0" fontId="37" fillId="0" borderId="7" xfId="0" applyFont="1" applyBorder="1" applyAlignment="1">
      <alignment vertical="top"/>
    </xf>
    <xf numFmtId="0" fontId="36" fillId="13" borderId="82" xfId="0" applyFont="1" applyFill="1" applyBorder="1" applyAlignment="1">
      <alignment horizontal="center" vertical="center"/>
    </xf>
    <xf numFmtId="14" fontId="35" fillId="15" borderId="79" xfId="0" applyNumberFormat="1" applyFont="1" applyFill="1" applyBorder="1" applyAlignment="1">
      <alignment horizontal="left" vertical="center"/>
    </xf>
    <xf numFmtId="0" fontId="36" fillId="17" borderId="46" xfId="0" applyFont="1" applyFill="1" applyBorder="1" applyAlignment="1">
      <alignment horizontal="right" vertical="center" wrapText="1"/>
    </xf>
    <xf numFmtId="49" fontId="37" fillId="17" borderId="0" xfId="0" applyNumberFormat="1" applyFont="1" applyFill="1" applyAlignment="1">
      <alignment vertical="top"/>
    </xf>
    <xf numFmtId="49" fontId="37" fillId="17" borderId="7" xfId="0" applyNumberFormat="1" applyFont="1" applyFill="1" applyBorder="1" applyAlignment="1">
      <alignment vertical="top"/>
    </xf>
    <xf numFmtId="49" fontId="37" fillId="13" borderId="79" xfId="0" applyNumberFormat="1" applyFont="1" applyFill="1" applyBorder="1" applyAlignment="1">
      <alignment vertical="top"/>
    </xf>
    <xf numFmtId="0" fontId="37" fillId="0" borderId="46" xfId="0" applyFont="1" applyBorder="1" applyAlignment="1">
      <alignment horizontal="right" vertical="center" wrapText="1"/>
    </xf>
    <xf numFmtId="0" fontId="36" fillId="13" borderId="46" xfId="0" applyFont="1" applyFill="1" applyBorder="1" applyAlignment="1">
      <alignment horizontal="right" vertical="center" wrapText="1"/>
    </xf>
    <xf numFmtId="0" fontId="36" fillId="14" borderId="46" xfId="0" applyFont="1" applyFill="1" applyBorder="1" applyAlignment="1">
      <alignment horizontal="right" vertical="center" wrapText="1"/>
    </xf>
    <xf numFmtId="0" fontId="36" fillId="0" borderId="46" xfId="0" applyFont="1" applyBorder="1" applyAlignment="1">
      <alignment horizontal="right" vertical="center" wrapText="1"/>
    </xf>
    <xf numFmtId="49" fontId="37" fillId="0" borderId="79" xfId="0" applyNumberFormat="1" applyFont="1" applyBorder="1" applyAlignment="1">
      <alignment horizontal="center" vertical="top"/>
    </xf>
    <xf numFmtId="0" fontId="36" fillId="13" borderId="91" xfId="0" applyFont="1" applyFill="1" applyBorder="1" applyAlignment="1">
      <alignment horizontal="right" vertical="center"/>
    </xf>
    <xf numFmtId="0" fontId="36" fillId="14" borderId="47" xfId="0" applyFont="1" applyFill="1" applyBorder="1" applyAlignment="1">
      <alignment horizontal="right" vertical="center" wrapText="1"/>
    </xf>
    <xf numFmtId="49" fontId="14" fillId="15" borderId="79" xfId="3" applyNumberFormat="1" applyFont="1" applyFill="1" applyBorder="1" applyAlignment="1">
      <alignment vertical="center"/>
    </xf>
    <xf numFmtId="165" fontId="14" fillId="16" borderId="79" xfId="3" applyNumberFormat="1" applyFont="1" applyFill="1" applyBorder="1" applyAlignment="1">
      <alignment horizontal="left" vertical="center"/>
    </xf>
    <xf numFmtId="0" fontId="3" fillId="19" borderId="82" xfId="0" applyFont="1" applyFill="1" applyBorder="1"/>
    <xf numFmtId="0" fontId="3" fillId="20" borderId="82" xfId="0" applyFont="1" applyFill="1" applyBorder="1"/>
    <xf numFmtId="0" fontId="3" fillId="3" borderId="0" xfId="0" applyFont="1" applyFill="1" applyAlignment="1">
      <alignment horizontal="left" vertical="center" indent="1"/>
    </xf>
    <xf numFmtId="0" fontId="5" fillId="3" borderId="0" xfId="0" applyFont="1" applyFill="1" applyAlignment="1">
      <alignment horizontal="left" vertical="center" indent="1"/>
    </xf>
    <xf numFmtId="0" fontId="4" fillId="3" borderId="2" xfId="0" applyFont="1" applyFill="1" applyBorder="1" applyAlignment="1">
      <alignment horizontal="center"/>
    </xf>
    <xf numFmtId="0" fontId="30" fillId="0" borderId="0" xfId="0" applyFont="1" applyAlignment="1">
      <alignment vertical="center"/>
    </xf>
    <xf numFmtId="0" fontId="19" fillId="0" borderId="0" xfId="0" applyFont="1" applyAlignment="1">
      <alignment horizontal="left" vertical="center"/>
    </xf>
    <xf numFmtId="0" fontId="30" fillId="0" borderId="0" xfId="0" applyFont="1" applyAlignment="1">
      <alignment horizontal="left" vertical="center" indent="1"/>
    </xf>
    <xf numFmtId="0" fontId="19" fillId="3" borderId="0" xfId="0" applyFont="1" applyFill="1" applyAlignment="1">
      <alignment horizontal="center" vertical="center"/>
    </xf>
    <xf numFmtId="0" fontId="19" fillId="3" borderId="0" xfId="0" applyFont="1" applyFill="1" applyAlignment="1">
      <alignment horizontal="left" vertical="center"/>
    </xf>
    <xf numFmtId="0" fontId="11" fillId="21" borderId="13" xfId="0" applyFont="1" applyFill="1" applyBorder="1" applyAlignment="1">
      <alignment horizontal="center" vertical="center" wrapText="1"/>
    </xf>
    <xf numFmtId="0" fontId="11" fillId="22" borderId="13" xfId="0" applyFont="1" applyFill="1" applyBorder="1" applyAlignment="1">
      <alignment horizontal="center" vertical="top" wrapText="1"/>
    </xf>
    <xf numFmtId="0" fontId="42" fillId="23" borderId="13" xfId="0" applyFont="1" applyFill="1" applyBorder="1" applyAlignment="1">
      <alignment horizontal="center" vertical="center" wrapText="1"/>
    </xf>
    <xf numFmtId="0" fontId="43" fillId="23" borderId="13" xfId="0" applyFont="1" applyFill="1" applyBorder="1" applyAlignment="1">
      <alignment horizontal="center" vertical="center" wrapText="1"/>
    </xf>
    <xf numFmtId="0" fontId="19" fillId="23" borderId="13" xfId="0" quotePrefix="1" applyFont="1" applyFill="1" applyBorder="1" applyAlignment="1">
      <alignment horizontal="center" wrapText="1"/>
    </xf>
    <xf numFmtId="0" fontId="43" fillId="23" borderId="13" xfId="0" quotePrefix="1" applyFont="1" applyFill="1" applyBorder="1" applyAlignment="1">
      <alignment horizontal="center" vertical="center" wrapText="1"/>
    </xf>
    <xf numFmtId="0" fontId="15" fillId="23" borderId="13" xfId="0" applyFont="1" applyFill="1" applyBorder="1" applyAlignment="1">
      <alignment horizontal="center" vertical="center" wrapText="1"/>
    </xf>
    <xf numFmtId="0" fontId="44" fillId="23" borderId="13" xfId="0" applyFont="1" applyFill="1" applyBorder="1" applyAlignment="1">
      <alignment horizontal="center" vertical="center" wrapText="1"/>
    </xf>
    <xf numFmtId="49" fontId="3" fillId="5" borderId="20" xfId="0" quotePrefix="1" applyNumberFormat="1" applyFont="1" applyFill="1" applyBorder="1" applyAlignment="1">
      <alignment horizontal="center" vertical="center" wrapText="1"/>
    </xf>
    <xf numFmtId="49" fontId="3" fillId="5" borderId="25" xfId="0" applyNumberFormat="1"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4" borderId="25"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5" borderId="25"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18" fillId="8" borderId="52" xfId="0" applyFont="1" applyFill="1" applyBorder="1" applyAlignment="1">
      <alignment horizontal="center" vertical="center" wrapText="1"/>
    </xf>
    <xf numFmtId="44" fontId="18" fillId="8" borderId="20" xfId="0" applyNumberFormat="1" applyFont="1" applyFill="1" applyBorder="1" applyAlignment="1">
      <alignment horizontal="center" vertical="center"/>
    </xf>
    <xf numFmtId="44" fontId="18" fillId="8" borderId="22" xfId="0" applyNumberFormat="1" applyFont="1" applyFill="1" applyBorder="1" applyAlignment="1">
      <alignment horizontal="center" vertical="center"/>
    </xf>
    <xf numFmtId="44" fontId="18" fillId="8" borderId="25" xfId="0" applyNumberFormat="1" applyFont="1" applyFill="1" applyBorder="1" applyAlignment="1">
      <alignment horizontal="center" vertical="center"/>
    </xf>
    <xf numFmtId="0" fontId="46" fillId="4" borderId="41" xfId="0" applyFont="1" applyFill="1" applyBorder="1" applyAlignment="1">
      <alignment horizontal="center" vertical="center" wrapText="1"/>
    </xf>
    <xf numFmtId="0" fontId="15" fillId="4" borderId="16" xfId="0" applyFont="1" applyFill="1" applyBorder="1" applyAlignment="1">
      <alignment horizontal="center" vertical="center"/>
    </xf>
    <xf numFmtId="0" fontId="19" fillId="4" borderId="16" xfId="0" applyFont="1" applyFill="1" applyBorder="1" applyAlignment="1">
      <alignment horizontal="center" vertical="center" wrapText="1"/>
    </xf>
    <xf numFmtId="0" fontId="19" fillId="4" borderId="17" xfId="0" applyFont="1" applyFill="1" applyBorder="1" applyAlignment="1">
      <alignment horizontal="center" vertical="center"/>
    </xf>
    <xf numFmtId="0" fontId="11" fillId="8" borderId="16" xfId="0" applyFont="1" applyFill="1" applyBorder="1" applyAlignment="1">
      <alignment horizontal="center" vertical="center" wrapText="1"/>
    </xf>
    <xf numFmtId="0" fontId="15" fillId="5" borderId="28" xfId="0" applyFont="1" applyFill="1" applyBorder="1" applyAlignment="1">
      <alignment horizontal="center" vertical="center" wrapText="1"/>
    </xf>
    <xf numFmtId="0" fontId="15" fillId="5" borderId="19" xfId="0" applyFont="1" applyFill="1" applyBorder="1" applyAlignment="1">
      <alignment horizontal="center" vertical="center"/>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xf>
    <xf numFmtId="0" fontId="11" fillId="8" borderId="19" xfId="0" applyFont="1" applyFill="1" applyBorder="1" applyAlignment="1">
      <alignment horizontal="center" vertical="center" wrapText="1"/>
    </xf>
    <xf numFmtId="0" fontId="15" fillId="5" borderId="29" xfId="0" applyFont="1" applyFill="1" applyBorder="1" applyAlignment="1">
      <alignment horizontal="center" vertical="center" wrapText="1"/>
    </xf>
    <xf numFmtId="0" fontId="15" fillId="5" borderId="13" xfId="0" applyFont="1" applyFill="1" applyBorder="1" applyAlignment="1">
      <alignment horizontal="center" vertical="center"/>
    </xf>
    <xf numFmtId="0" fontId="19" fillId="5" borderId="13" xfId="0" applyFont="1" applyFill="1" applyBorder="1" applyAlignment="1">
      <alignment horizontal="center" vertical="center" wrapText="1"/>
    </xf>
    <xf numFmtId="0" fontId="19" fillId="5" borderId="22" xfId="0" applyFont="1" applyFill="1" applyBorder="1" applyAlignment="1">
      <alignment horizontal="center" vertical="center"/>
    </xf>
    <xf numFmtId="0" fontId="11" fillId="8" borderId="13" xfId="0" applyFont="1" applyFill="1" applyBorder="1" applyAlignment="1">
      <alignment horizontal="center" vertical="center" wrapText="1"/>
    </xf>
    <xf numFmtId="0" fontId="15" fillId="5" borderId="30" xfId="0" applyFont="1" applyFill="1" applyBorder="1" applyAlignment="1">
      <alignment horizontal="center" vertical="center" wrapText="1"/>
    </xf>
    <xf numFmtId="0" fontId="15" fillId="5" borderId="24" xfId="0" applyFont="1" applyFill="1" applyBorder="1" applyAlignment="1">
      <alignment horizontal="center" vertical="center"/>
    </xf>
    <xf numFmtId="0" fontId="19" fillId="5" borderId="24" xfId="0" applyFont="1" applyFill="1" applyBorder="1" applyAlignment="1">
      <alignment horizontal="center" vertical="center" wrapText="1"/>
    </xf>
    <xf numFmtId="0" fontId="19" fillId="5" borderId="25" xfId="0" applyFont="1" applyFill="1" applyBorder="1" applyAlignment="1">
      <alignment horizontal="center" vertical="center"/>
    </xf>
    <xf numFmtId="0" fontId="11" fillId="8" borderId="24" xfId="0" applyFont="1" applyFill="1" applyBorder="1" applyAlignment="1">
      <alignment horizontal="center" vertical="center" wrapText="1"/>
    </xf>
    <xf numFmtId="0" fontId="46" fillId="4" borderId="28" xfId="0" applyFont="1" applyFill="1" applyBorder="1" applyAlignment="1">
      <alignment horizontal="center" vertical="center" wrapText="1"/>
    </xf>
    <xf numFmtId="0" fontId="15" fillId="4" borderId="19" xfId="0" applyFont="1" applyFill="1" applyBorder="1" applyAlignment="1">
      <alignment horizontal="center" vertical="center"/>
    </xf>
    <xf numFmtId="0" fontId="19" fillId="4" borderId="19" xfId="0" applyFont="1" applyFill="1" applyBorder="1" applyAlignment="1">
      <alignment horizontal="center" vertical="center" wrapText="1"/>
    </xf>
    <xf numFmtId="0" fontId="19" fillId="4" borderId="20" xfId="0" applyFont="1" applyFill="1" applyBorder="1" applyAlignment="1">
      <alignment horizontal="center" vertical="center"/>
    </xf>
    <xf numFmtId="0" fontId="46" fillId="4" borderId="29" xfId="0" applyFont="1" applyFill="1" applyBorder="1" applyAlignment="1">
      <alignment horizontal="center" vertical="center" wrapText="1"/>
    </xf>
    <xf numFmtId="0" fontId="15" fillId="4" borderId="13" xfId="0" applyFont="1" applyFill="1" applyBorder="1" applyAlignment="1">
      <alignment horizontal="center" vertical="center"/>
    </xf>
    <xf numFmtId="0" fontId="19" fillId="4" borderId="13" xfId="0" applyFont="1" applyFill="1" applyBorder="1" applyAlignment="1">
      <alignment horizontal="center" vertical="center" wrapText="1"/>
    </xf>
    <xf numFmtId="0" fontId="19" fillId="4" borderId="22" xfId="0" applyFont="1" applyFill="1" applyBorder="1" applyAlignment="1">
      <alignment horizontal="center" vertical="center"/>
    </xf>
    <xf numFmtId="0" fontId="46" fillId="4" borderId="30" xfId="0" applyFont="1" applyFill="1" applyBorder="1" applyAlignment="1">
      <alignment horizontal="center" vertical="center" wrapText="1"/>
    </xf>
    <xf numFmtId="0" fontId="15" fillId="4" borderId="24" xfId="0" applyFont="1" applyFill="1" applyBorder="1" applyAlignment="1">
      <alignment horizontal="center" vertical="center"/>
    </xf>
    <xf numFmtId="0" fontId="19" fillId="4" borderId="24" xfId="0" applyFont="1" applyFill="1" applyBorder="1" applyAlignment="1">
      <alignment horizontal="center" vertical="center" wrapText="1"/>
    </xf>
    <xf numFmtId="0" fontId="19" fillId="4" borderId="25" xfId="0" applyFont="1" applyFill="1" applyBorder="1" applyAlignment="1">
      <alignment horizontal="center" vertical="center"/>
    </xf>
    <xf numFmtId="0" fontId="15" fillId="5" borderId="41" xfId="0" applyFont="1" applyFill="1" applyBorder="1" applyAlignment="1">
      <alignment horizontal="center" vertical="center" wrapText="1"/>
    </xf>
    <xf numFmtId="0" fontId="15" fillId="5" borderId="16" xfId="0" applyFont="1" applyFill="1" applyBorder="1" applyAlignment="1">
      <alignment horizontal="center" vertical="center" wrapText="1"/>
    </xf>
    <xf numFmtId="0" fontId="19" fillId="5" borderId="16" xfId="0" applyFont="1" applyFill="1" applyBorder="1" applyAlignment="1">
      <alignment horizontal="center" vertical="center" wrapText="1"/>
    </xf>
    <xf numFmtId="0" fontId="19" fillId="5" borderId="17" xfId="0" applyFont="1" applyFill="1" applyBorder="1" applyAlignment="1">
      <alignment horizontal="center" vertical="center"/>
    </xf>
    <xf numFmtId="0" fontId="15" fillId="4" borderId="28" xfId="0" applyFont="1" applyFill="1" applyBorder="1" applyAlignment="1">
      <alignment horizontal="center" vertical="center" wrapText="1"/>
    </xf>
    <xf numFmtId="0" fontId="15" fillId="4" borderId="29" xfId="0" applyFont="1" applyFill="1" applyBorder="1" applyAlignment="1">
      <alignment horizontal="center" vertical="center" wrapText="1"/>
    </xf>
    <xf numFmtId="0" fontId="15" fillId="4" borderId="48" xfId="0" applyFont="1" applyFill="1" applyBorder="1" applyAlignment="1">
      <alignment horizontal="center" vertical="center" wrapText="1"/>
    </xf>
    <xf numFmtId="0" fontId="15" fillId="4" borderId="49" xfId="0" applyFont="1" applyFill="1" applyBorder="1" applyAlignment="1">
      <alignment horizontal="center" vertical="center"/>
    </xf>
    <xf numFmtId="0" fontId="19" fillId="4" borderId="49" xfId="0" applyFont="1" applyFill="1" applyBorder="1" applyAlignment="1">
      <alignment horizontal="center" vertical="center" wrapText="1"/>
    </xf>
    <xf numFmtId="0" fontId="19" fillId="4" borderId="50" xfId="0" applyFont="1" applyFill="1" applyBorder="1" applyAlignment="1">
      <alignment horizontal="center" vertical="center"/>
    </xf>
    <xf numFmtId="0" fontId="15" fillId="5" borderId="18" xfId="0" applyFont="1" applyFill="1" applyBorder="1" applyAlignment="1">
      <alignment horizontal="center" vertical="center" wrapText="1"/>
    </xf>
    <xf numFmtId="0" fontId="11" fillId="8" borderId="28" xfId="0" applyFont="1" applyFill="1" applyBorder="1" applyAlignment="1">
      <alignment horizontal="center" vertical="center" wrapText="1"/>
    </xf>
    <xf numFmtId="0" fontId="15" fillId="5" borderId="21" xfId="0" applyFont="1" applyFill="1" applyBorder="1" applyAlignment="1">
      <alignment horizontal="center" vertical="center" wrapText="1"/>
    </xf>
    <xf numFmtId="0" fontId="11" fillId="8" borderId="29" xfId="0" applyFont="1" applyFill="1" applyBorder="1" applyAlignment="1">
      <alignment horizontal="center" vertical="center" wrapText="1"/>
    </xf>
    <xf numFmtId="0" fontId="15" fillId="5" borderId="23" xfId="0" applyFont="1" applyFill="1" applyBorder="1" applyAlignment="1">
      <alignment horizontal="center" vertical="center" wrapText="1"/>
    </xf>
    <xf numFmtId="0" fontId="11" fillId="8" borderId="48" xfId="0" applyFont="1" applyFill="1" applyBorder="1" applyAlignment="1">
      <alignment horizontal="center" vertical="center" wrapText="1"/>
    </xf>
    <xf numFmtId="0" fontId="11" fillId="8" borderId="49" xfId="0" applyFont="1" applyFill="1" applyBorder="1" applyAlignment="1">
      <alignment horizontal="center" vertical="center" wrapText="1"/>
    </xf>
    <xf numFmtId="0" fontId="19" fillId="3" borderId="0" xfId="0" applyFont="1" applyFill="1"/>
    <xf numFmtId="0" fontId="48" fillId="3" borderId="0" xfId="0" applyFont="1" applyFill="1"/>
    <xf numFmtId="0" fontId="15" fillId="3" borderId="0" xfId="0" applyFont="1" applyFill="1"/>
    <xf numFmtId="0" fontId="49" fillId="3" borderId="0" xfId="0" applyFont="1" applyFill="1"/>
    <xf numFmtId="0" fontId="46" fillId="4" borderId="18" xfId="0" applyFont="1" applyFill="1" applyBorder="1" applyAlignment="1">
      <alignment horizontal="center" vertical="center" wrapText="1"/>
    </xf>
    <xf numFmtId="0" fontId="46" fillId="4" borderId="19" xfId="0" applyFont="1" applyFill="1" applyBorder="1" applyAlignment="1">
      <alignment horizontal="center" vertical="center" wrapText="1"/>
    </xf>
    <xf numFmtId="14" fontId="46" fillId="4" borderId="19" xfId="0" applyNumberFormat="1" applyFont="1" applyFill="1" applyBorder="1" applyAlignment="1">
      <alignment horizontal="center" vertical="center" wrapText="1"/>
    </xf>
    <xf numFmtId="0" fontId="19" fillId="3" borderId="19" xfId="2" applyNumberFormat="1" applyFont="1" applyFill="1" applyBorder="1" applyAlignment="1">
      <alignment horizontal="center" vertical="center"/>
    </xf>
    <xf numFmtId="0" fontId="19" fillId="3" borderId="19" xfId="0" applyFont="1" applyFill="1" applyBorder="1" applyAlignment="1">
      <alignment horizontal="center" vertical="center"/>
    </xf>
    <xf numFmtId="0" fontId="15" fillId="3" borderId="20" xfId="0" applyFont="1" applyFill="1" applyBorder="1" applyAlignment="1">
      <alignment horizontal="center" vertical="center"/>
    </xf>
    <xf numFmtId="0" fontId="15" fillId="5" borderId="24" xfId="0" applyFont="1" applyFill="1" applyBorder="1" applyAlignment="1">
      <alignment horizontal="center" vertical="center" wrapText="1"/>
    </xf>
    <xf numFmtId="14" fontId="15" fillId="5" borderId="24" xfId="0" applyNumberFormat="1" applyFont="1" applyFill="1" applyBorder="1" applyAlignment="1">
      <alignment horizontal="center" vertical="center" wrapText="1"/>
    </xf>
    <xf numFmtId="0" fontId="19" fillId="3" borderId="24" xfId="2" applyNumberFormat="1" applyFont="1" applyFill="1" applyBorder="1" applyAlignment="1">
      <alignment horizontal="center" vertical="center"/>
    </xf>
    <xf numFmtId="0" fontId="19" fillId="3" borderId="24" xfId="0" applyFont="1" applyFill="1" applyBorder="1" applyAlignment="1">
      <alignment horizontal="center" vertical="center"/>
    </xf>
    <xf numFmtId="0" fontId="19" fillId="3" borderId="25" xfId="0" applyFont="1" applyFill="1" applyBorder="1" applyAlignment="1">
      <alignment horizontal="center" vertical="center" wrapText="1"/>
    </xf>
    <xf numFmtId="0" fontId="15" fillId="5" borderId="19" xfId="0" applyFont="1" applyFill="1" applyBorder="1" applyAlignment="1">
      <alignment horizontal="center" vertical="center" wrapText="1"/>
    </xf>
    <xf numFmtId="14" fontId="15" fillId="5" borderId="19" xfId="0" applyNumberFormat="1" applyFont="1" applyFill="1" applyBorder="1" applyAlignment="1">
      <alignment horizontal="center" vertical="center" wrapText="1"/>
    </xf>
    <xf numFmtId="17" fontId="15" fillId="5" borderId="19" xfId="0" applyNumberFormat="1" applyFont="1" applyFill="1" applyBorder="1" applyAlignment="1">
      <alignment horizontal="center" vertical="center" wrapText="1"/>
    </xf>
    <xf numFmtId="0" fontId="19" fillId="3" borderId="25"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0" xfId="0" applyFont="1" applyFill="1" applyBorder="1" applyAlignment="1">
      <alignment horizontal="center" vertical="center" wrapText="1"/>
    </xf>
    <xf numFmtId="0" fontId="15" fillId="5" borderId="13" xfId="0" applyFont="1" applyFill="1" applyBorder="1" applyAlignment="1">
      <alignment horizontal="center" vertical="center" wrapText="1"/>
    </xf>
    <xf numFmtId="14" fontId="15" fillId="5" borderId="13" xfId="0" applyNumberFormat="1" applyFont="1" applyFill="1" applyBorder="1" applyAlignment="1">
      <alignment horizontal="center" vertical="center" wrapText="1"/>
    </xf>
    <xf numFmtId="0" fontId="19" fillId="3" borderId="13" xfId="2" applyNumberFormat="1" applyFont="1" applyFill="1" applyBorder="1" applyAlignment="1">
      <alignment horizontal="center" vertical="center"/>
    </xf>
    <xf numFmtId="0" fontId="19" fillId="3" borderId="13" xfId="0" applyFont="1" applyFill="1" applyBorder="1" applyAlignment="1">
      <alignment horizontal="center" vertical="center"/>
    </xf>
    <xf numFmtId="0" fontId="19" fillId="3" borderId="22" xfId="0" applyFont="1" applyFill="1" applyBorder="1" applyAlignment="1">
      <alignment horizontal="center" vertical="center"/>
    </xf>
    <xf numFmtId="0" fontId="15" fillId="3" borderId="22" xfId="0" applyFont="1" applyFill="1" applyBorder="1" applyAlignment="1">
      <alignment horizontal="center" vertical="center" wrapText="1"/>
    </xf>
    <xf numFmtId="0" fontId="46" fillId="4" borderId="23" xfId="0" applyFont="1" applyFill="1" applyBorder="1" applyAlignment="1">
      <alignment horizontal="center" vertical="center" wrapText="1"/>
    </xf>
    <xf numFmtId="0" fontId="15" fillId="4" borderId="24" xfId="0" applyFont="1" applyFill="1" applyBorder="1" applyAlignment="1">
      <alignment horizontal="center" vertical="center" wrapText="1"/>
    </xf>
    <xf numFmtId="14" fontId="15" fillId="4" borderId="24" xfId="0" applyNumberFormat="1" applyFont="1" applyFill="1" applyBorder="1" applyAlignment="1">
      <alignment horizontal="center" vertical="center"/>
    </xf>
    <xf numFmtId="9" fontId="19" fillId="3" borderId="24" xfId="2" applyFont="1" applyFill="1" applyBorder="1" applyAlignment="1">
      <alignment horizontal="center" vertical="center"/>
    </xf>
    <xf numFmtId="0" fontId="46" fillId="4" borderId="21" xfId="0" applyFont="1" applyFill="1" applyBorder="1" applyAlignment="1">
      <alignment horizontal="center" vertical="center" wrapText="1"/>
    </xf>
    <xf numFmtId="0" fontId="15" fillId="4" borderId="13" xfId="0" applyFont="1" applyFill="1" applyBorder="1" applyAlignment="1">
      <alignment horizontal="center" vertical="center" wrapText="1"/>
    </xf>
    <xf numFmtId="14" fontId="15" fillId="4" borderId="13" xfId="0" applyNumberFormat="1" applyFont="1" applyFill="1" applyBorder="1" applyAlignment="1">
      <alignment horizontal="center" vertical="center"/>
    </xf>
    <xf numFmtId="9" fontId="19" fillId="3" borderId="13" xfId="2" applyFont="1" applyFill="1" applyBorder="1" applyAlignment="1">
      <alignment horizontal="center" vertical="center"/>
    </xf>
    <xf numFmtId="0" fontId="15" fillId="3" borderId="22" xfId="0" applyFont="1" applyFill="1" applyBorder="1" applyAlignment="1">
      <alignment horizontal="center" vertical="center"/>
    </xf>
    <xf numFmtId="0" fontId="15" fillId="4" borderId="19" xfId="0" applyFont="1" applyFill="1" applyBorder="1" applyAlignment="1">
      <alignment horizontal="center" vertical="center" wrapText="1"/>
    </xf>
    <xf numFmtId="14" fontId="15" fillId="4" borderId="19" xfId="0" applyNumberFormat="1" applyFont="1" applyFill="1" applyBorder="1" applyAlignment="1">
      <alignment horizontal="center" vertical="center"/>
    </xf>
    <xf numFmtId="9" fontId="19" fillId="3" borderId="19" xfId="2" applyFont="1" applyFill="1" applyBorder="1" applyAlignment="1">
      <alignment horizontal="center" vertical="center"/>
    </xf>
    <xf numFmtId="14" fontId="15" fillId="5" borderId="24" xfId="0" applyNumberFormat="1" applyFont="1" applyFill="1" applyBorder="1" applyAlignment="1">
      <alignment horizontal="center" vertical="center"/>
    </xf>
    <xf numFmtId="14" fontId="15" fillId="5" borderId="19" xfId="0" applyNumberFormat="1" applyFont="1" applyFill="1" applyBorder="1" applyAlignment="1">
      <alignment horizontal="center" vertical="center"/>
    </xf>
    <xf numFmtId="0" fontId="15" fillId="3" borderId="25" xfId="0" applyFont="1" applyFill="1" applyBorder="1" applyAlignment="1">
      <alignment horizontal="center" vertical="center"/>
    </xf>
    <xf numFmtId="14" fontId="15" fillId="5" borderId="13" xfId="0" applyNumberFormat="1" applyFont="1" applyFill="1" applyBorder="1" applyAlignment="1">
      <alignment horizontal="center" vertical="center"/>
    </xf>
    <xf numFmtId="0" fontId="15" fillId="3" borderId="15" xfId="0" applyFont="1" applyFill="1" applyBorder="1" applyAlignment="1">
      <alignment horizontal="center" vertical="center"/>
    </xf>
    <xf numFmtId="0" fontId="15" fillId="3" borderId="54" xfId="0" applyFont="1" applyFill="1" applyBorder="1" applyAlignment="1">
      <alignment horizontal="center" vertical="center"/>
    </xf>
    <xf numFmtId="0" fontId="11" fillId="8" borderId="15" xfId="0" applyFont="1" applyFill="1" applyBorder="1" applyAlignment="1">
      <alignment horizontal="center" vertical="center" wrapText="1"/>
    </xf>
    <xf numFmtId="0" fontId="11" fillId="8" borderId="17" xfId="0" applyFont="1" applyFill="1" applyBorder="1" applyAlignment="1">
      <alignment horizontal="center" vertical="center"/>
    </xf>
    <xf numFmtId="17" fontId="19" fillId="3" borderId="18" xfId="0" applyNumberFormat="1" applyFont="1" applyFill="1" applyBorder="1" applyAlignment="1">
      <alignment horizontal="center" vertical="center"/>
    </xf>
    <xf numFmtId="0" fontId="19" fillId="3" borderId="55" xfId="0" applyFont="1" applyFill="1" applyBorder="1" applyAlignment="1">
      <alignment horizontal="center" vertical="center"/>
    </xf>
    <xf numFmtId="1" fontId="50" fillId="8" borderId="26" xfId="0" applyNumberFormat="1" applyFont="1" applyFill="1" applyBorder="1" applyAlignment="1">
      <alignment horizontal="center" vertical="center" wrapText="1"/>
    </xf>
    <xf numFmtId="1" fontId="50" fillId="8" borderId="27" xfId="0" applyNumberFormat="1" applyFont="1" applyFill="1" applyBorder="1" applyAlignment="1">
      <alignment horizontal="center" vertical="center"/>
    </xf>
    <xf numFmtId="17" fontId="19" fillId="3" borderId="21" xfId="0" applyNumberFormat="1" applyFont="1" applyFill="1" applyBorder="1" applyAlignment="1">
      <alignment horizontal="center" vertical="center"/>
    </xf>
    <xf numFmtId="0" fontId="19" fillId="3" borderId="44" xfId="0" applyFont="1" applyFill="1" applyBorder="1" applyAlignment="1">
      <alignment horizontal="center" vertical="center"/>
    </xf>
    <xf numFmtId="1" fontId="50" fillId="8" borderId="21" xfId="0" applyNumberFormat="1" applyFont="1" applyFill="1" applyBorder="1" applyAlignment="1">
      <alignment horizontal="center" vertical="center" wrapText="1"/>
    </xf>
    <xf numFmtId="1" fontId="50" fillId="8" borderId="22" xfId="0" applyNumberFormat="1" applyFont="1" applyFill="1" applyBorder="1" applyAlignment="1">
      <alignment horizontal="center" vertical="center"/>
    </xf>
    <xf numFmtId="17" fontId="19" fillId="3" borderId="23" xfId="0" applyNumberFormat="1" applyFont="1" applyFill="1" applyBorder="1" applyAlignment="1">
      <alignment horizontal="center" vertical="center"/>
    </xf>
    <xf numFmtId="0" fontId="19" fillId="3" borderId="59" xfId="0" applyFont="1" applyFill="1" applyBorder="1" applyAlignment="1">
      <alignment horizontal="center" vertical="center"/>
    </xf>
    <xf numFmtId="1" fontId="50" fillId="8" borderId="23" xfId="0" applyNumberFormat="1" applyFont="1" applyFill="1" applyBorder="1" applyAlignment="1">
      <alignment horizontal="center" vertical="center" wrapText="1"/>
    </xf>
    <xf numFmtId="1" fontId="50" fillId="8" borderId="25" xfId="0" applyNumberFormat="1" applyFont="1" applyFill="1" applyBorder="1" applyAlignment="1">
      <alignment horizontal="center" vertical="center"/>
    </xf>
    <xf numFmtId="0" fontId="11" fillId="8" borderId="14" xfId="0" applyFont="1" applyFill="1" applyBorder="1" applyAlignment="1">
      <alignment horizontal="center" vertical="center"/>
    </xf>
    <xf numFmtId="0" fontId="19" fillId="3" borderId="0" xfId="0" applyFont="1" applyFill="1" applyAlignment="1">
      <alignment horizontal="center" vertical="center" wrapText="1"/>
    </xf>
    <xf numFmtId="0" fontId="19" fillId="3" borderId="0" xfId="0" quotePrefix="1" applyFont="1" applyFill="1" applyAlignment="1">
      <alignment horizontal="left" vertical="center"/>
    </xf>
    <xf numFmtId="0" fontId="19" fillId="0" borderId="0" xfId="0" applyFont="1"/>
    <xf numFmtId="0" fontId="19" fillId="10" borderId="0" xfId="0" applyFont="1" applyFill="1"/>
    <xf numFmtId="0" fontId="15" fillId="10" borderId="4" xfId="0" applyFont="1" applyFill="1" applyBorder="1" applyAlignment="1">
      <alignment horizontal="left" vertical="center" indent="1"/>
    </xf>
    <xf numFmtId="0" fontId="47" fillId="10" borderId="5" xfId="0" applyFont="1" applyFill="1" applyBorder="1"/>
    <xf numFmtId="0" fontId="19" fillId="10" borderId="46" xfId="0" applyFont="1" applyFill="1" applyBorder="1" applyAlignment="1">
      <alignment horizontal="left" vertical="center" indent="2"/>
    </xf>
    <xf numFmtId="0" fontId="47" fillId="10" borderId="0" xfId="0" applyFont="1" applyFill="1"/>
    <xf numFmtId="0" fontId="15" fillId="10" borderId="46" xfId="0" applyFont="1" applyFill="1" applyBorder="1" applyAlignment="1">
      <alignment horizontal="left" vertical="center" indent="1"/>
    </xf>
    <xf numFmtId="0" fontId="19" fillId="10" borderId="47" xfId="0" applyFont="1" applyFill="1" applyBorder="1" applyAlignment="1">
      <alignment horizontal="left" vertical="center" indent="2"/>
    </xf>
    <xf numFmtId="0" fontId="47" fillId="10" borderId="8" xfId="0" applyFont="1" applyFill="1" applyBorder="1"/>
    <xf numFmtId="0" fontId="47" fillId="10" borderId="7" xfId="0" applyFont="1" applyFill="1" applyBorder="1"/>
    <xf numFmtId="0" fontId="15" fillId="10" borderId="47" xfId="0" applyFont="1" applyFill="1" applyBorder="1" applyAlignment="1">
      <alignment horizontal="left" vertical="center" indent="1"/>
    </xf>
    <xf numFmtId="0" fontId="47" fillId="10" borderId="9" xfId="0" applyFont="1" applyFill="1" applyBorder="1"/>
    <xf numFmtId="0" fontId="46" fillId="10" borderId="0" xfId="0" applyFont="1" applyFill="1"/>
    <xf numFmtId="0" fontId="15" fillId="10" borderId="46" xfId="0" applyFont="1" applyFill="1" applyBorder="1" applyAlignment="1">
      <alignment vertical="center"/>
    </xf>
    <xf numFmtId="0" fontId="19" fillId="10" borderId="0" xfId="0" applyFont="1" applyFill="1" applyAlignment="1">
      <alignment vertical="center"/>
    </xf>
    <xf numFmtId="0" fontId="15" fillId="10" borderId="0" xfId="0" applyFont="1" applyFill="1" applyAlignment="1">
      <alignment vertical="center"/>
    </xf>
    <xf numFmtId="0" fontId="15" fillId="10" borderId="7" xfId="0" applyFont="1" applyFill="1" applyBorder="1" applyAlignment="1">
      <alignment vertical="center"/>
    </xf>
    <xf numFmtId="0" fontId="47" fillId="10" borderId="46" xfId="0" applyFont="1" applyFill="1" applyBorder="1"/>
    <xf numFmtId="0" fontId="47" fillId="10" borderId="47" xfId="0" applyFont="1" applyFill="1" applyBorder="1"/>
    <xf numFmtId="0" fontId="19" fillId="10" borderId="4" xfId="0" applyFont="1" applyFill="1" applyBorder="1" applyAlignment="1">
      <alignment horizontal="left" vertical="center" indent="1"/>
    </xf>
    <xf numFmtId="0" fontId="19" fillId="10" borderId="46" xfId="0" applyFont="1" applyFill="1" applyBorder="1" applyAlignment="1">
      <alignment horizontal="left" vertical="center" indent="1"/>
    </xf>
    <xf numFmtId="0" fontId="19" fillId="10" borderId="47" xfId="0" applyFont="1" applyFill="1" applyBorder="1" applyAlignment="1">
      <alignment horizontal="left" vertical="center" indent="1"/>
    </xf>
    <xf numFmtId="0" fontId="19" fillId="3" borderId="0" xfId="0" quotePrefix="1" applyFont="1" applyFill="1"/>
    <xf numFmtId="0" fontId="12" fillId="3" borderId="0" xfId="0" applyFont="1" applyFill="1" applyAlignment="1">
      <alignment vertical="center"/>
    </xf>
    <xf numFmtId="0" fontId="15" fillId="3" borderId="0" xfId="0" applyFont="1" applyFill="1" applyAlignment="1">
      <alignment vertical="center"/>
    </xf>
    <xf numFmtId="0" fontId="19" fillId="3" borderId="0" xfId="0" applyFont="1" applyFill="1" applyAlignment="1">
      <alignment vertical="center"/>
    </xf>
    <xf numFmtId="0" fontId="19" fillId="3" borderId="0" xfId="0" quotePrefix="1" applyFont="1" applyFill="1" applyAlignment="1">
      <alignment vertical="center" wrapText="1"/>
    </xf>
    <xf numFmtId="0" fontId="19" fillId="3" borderId="0" xfId="0" quotePrefix="1" applyFont="1" applyFill="1" applyAlignment="1">
      <alignment vertical="center"/>
    </xf>
    <xf numFmtId="0" fontId="15" fillId="3" borderId="42" xfId="0" applyFont="1" applyFill="1" applyBorder="1" applyAlignment="1">
      <alignment horizontal="center" vertical="center"/>
    </xf>
    <xf numFmtId="0" fontId="15" fillId="3" borderId="36" xfId="0" applyFont="1" applyFill="1" applyBorder="1" applyAlignment="1">
      <alignment horizontal="center" vertical="center"/>
    </xf>
    <xf numFmtId="0" fontId="19" fillId="3" borderId="19" xfId="0" applyFont="1" applyFill="1" applyBorder="1" applyAlignment="1">
      <alignment horizontal="center" vertical="center" wrapText="1"/>
    </xf>
    <xf numFmtId="0" fontId="15" fillId="3" borderId="1" xfId="0" applyFont="1" applyFill="1" applyBorder="1" applyAlignment="1">
      <alignment horizontal="center" vertical="center"/>
    </xf>
    <xf numFmtId="0" fontId="19" fillId="0" borderId="16" xfId="0" applyFont="1" applyBorder="1" applyAlignment="1">
      <alignment horizontal="center" vertical="center" wrapText="1"/>
    </xf>
    <xf numFmtId="0" fontId="15" fillId="3" borderId="0" xfId="0" applyFont="1" applyFill="1" applyAlignment="1">
      <alignment horizontal="left" vertical="center" indent="1"/>
    </xf>
    <xf numFmtId="0" fontId="19" fillId="3" borderId="0" xfId="0" applyFont="1" applyFill="1" applyAlignment="1">
      <alignment horizontal="left" vertical="center" indent="1"/>
    </xf>
    <xf numFmtId="0" fontId="18" fillId="8" borderId="0" xfId="0" applyFont="1" applyFill="1" applyAlignment="1">
      <alignment horizontal="center"/>
    </xf>
    <xf numFmtId="8" fontId="18" fillId="8" borderId="0" xfId="0" applyNumberFormat="1" applyFont="1" applyFill="1" applyAlignment="1">
      <alignment horizontal="center"/>
    </xf>
    <xf numFmtId="0" fontId="5" fillId="3" borderId="15" xfId="0" applyFont="1" applyFill="1" applyBorder="1"/>
    <xf numFmtId="0" fontId="3" fillId="3" borderId="0" xfId="0" applyFont="1" applyFill="1" applyAlignment="1">
      <alignment vertical="center"/>
    </xf>
    <xf numFmtId="0" fontId="3" fillId="3" borderId="0" xfId="0" applyFont="1" applyFill="1" applyAlignment="1">
      <alignment horizontal="left" vertical="center"/>
    </xf>
    <xf numFmtId="0" fontId="5" fillId="3" borderId="0" xfId="0" applyFont="1" applyFill="1" applyAlignment="1">
      <alignment horizontal="left" vertical="center"/>
    </xf>
    <xf numFmtId="0" fontId="19" fillId="3" borderId="21"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15" fillId="3" borderId="18" xfId="0" applyFont="1" applyFill="1" applyBorder="1" applyAlignment="1">
      <alignment horizontal="center" vertical="center"/>
    </xf>
    <xf numFmtId="0" fontId="28" fillId="8" borderId="0" xfId="0" applyFont="1" applyFill="1" applyAlignment="1">
      <alignment horizontal="center"/>
    </xf>
    <xf numFmtId="0" fontId="5" fillId="3" borderId="16" xfId="0" applyFont="1" applyFill="1" applyBorder="1" applyAlignment="1">
      <alignment horizontal="center"/>
    </xf>
    <xf numFmtId="0" fontId="5" fillId="3" borderId="17" xfId="0" applyFont="1" applyFill="1" applyBorder="1" applyAlignment="1">
      <alignment horizontal="center"/>
    </xf>
    <xf numFmtId="0" fontId="18" fillId="8" borderId="14" xfId="0" applyFont="1" applyFill="1" applyBorder="1" applyAlignment="1">
      <alignment horizontal="left"/>
    </xf>
    <xf numFmtId="0" fontId="22" fillId="11" borderId="13" xfId="0" applyFont="1" applyFill="1" applyBorder="1" applyAlignment="1">
      <alignment horizontal="left"/>
    </xf>
    <xf numFmtId="0" fontId="5" fillId="18" borderId="13" xfId="0" applyFont="1" applyFill="1" applyBorder="1" applyAlignment="1">
      <alignment horizontal="left"/>
    </xf>
    <xf numFmtId="0" fontId="12" fillId="8" borderId="1" xfId="0" applyFont="1" applyFill="1" applyBorder="1" applyAlignment="1">
      <alignment horizontal="center"/>
    </xf>
    <xf numFmtId="0" fontId="12" fillId="8" borderId="2" xfId="0" applyFont="1" applyFill="1" applyBorder="1" applyAlignment="1">
      <alignment horizontal="center"/>
    </xf>
    <xf numFmtId="0" fontId="12" fillId="8" borderId="3" xfId="0" applyFont="1" applyFill="1" applyBorder="1" applyAlignment="1">
      <alignment horizontal="center"/>
    </xf>
    <xf numFmtId="0" fontId="5" fillId="4" borderId="19" xfId="0" applyFont="1" applyFill="1" applyBorder="1" applyAlignment="1">
      <alignment horizontal="center" vertical="center"/>
    </xf>
    <xf numFmtId="0" fontId="5" fillId="4" borderId="13" xfId="0" applyFont="1" applyFill="1" applyBorder="1" applyAlignment="1">
      <alignment horizontal="center" vertical="center"/>
    </xf>
    <xf numFmtId="0" fontId="5" fillId="4" borderId="24" xfId="0" applyFont="1" applyFill="1" applyBorder="1" applyAlignment="1">
      <alignment horizontal="center" vertical="center"/>
    </xf>
    <xf numFmtId="0" fontId="5" fillId="5" borderId="19"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24" xfId="0" applyFont="1" applyFill="1" applyBorder="1" applyAlignment="1">
      <alignment horizontal="center" vertical="center" wrapText="1"/>
    </xf>
    <xf numFmtId="0" fontId="5" fillId="5" borderId="18" xfId="0" applyFont="1" applyFill="1" applyBorder="1" applyAlignment="1">
      <alignment horizontal="center" vertical="center" wrapText="1"/>
    </xf>
    <xf numFmtId="0" fontId="5" fillId="5" borderId="21" xfId="0" applyFont="1" applyFill="1" applyBorder="1" applyAlignment="1">
      <alignment horizontal="center" vertical="center" wrapText="1"/>
    </xf>
    <xf numFmtId="0" fontId="5" fillId="5" borderId="2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23" xfId="0" applyFont="1" applyFill="1" applyBorder="1" applyAlignment="1">
      <alignment horizontal="center" vertical="center" wrapText="1"/>
    </xf>
    <xf numFmtId="0" fontId="5" fillId="4" borderId="18" xfId="0" applyFont="1" applyFill="1" applyBorder="1" applyAlignment="1">
      <alignment horizontal="center" vertical="center"/>
    </xf>
    <xf numFmtId="0" fontId="5" fillId="4" borderId="21" xfId="0" applyFont="1" applyFill="1" applyBorder="1" applyAlignment="1">
      <alignment horizontal="center" vertical="center"/>
    </xf>
    <xf numFmtId="0" fontId="5" fillId="4" borderId="23" xfId="0" applyFont="1" applyFill="1" applyBorder="1" applyAlignment="1">
      <alignment horizontal="center" vertical="center"/>
    </xf>
    <xf numFmtId="0" fontId="19" fillId="3" borderId="0" xfId="0" applyFont="1" applyFill="1" applyAlignment="1">
      <alignment horizontal="left" vertical="center" wrapText="1"/>
    </xf>
    <xf numFmtId="0" fontId="5" fillId="4" borderId="19"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12" fillId="8" borderId="5" xfId="0" applyFont="1" applyFill="1" applyBorder="1" applyAlignment="1">
      <alignment horizontal="center" vertical="center" wrapText="1"/>
    </xf>
    <xf numFmtId="0" fontId="12" fillId="8" borderId="5" xfId="0" applyFont="1" applyFill="1" applyBorder="1" applyAlignment="1">
      <alignment horizontal="center" vertical="center"/>
    </xf>
    <xf numFmtId="0" fontId="12" fillId="8" borderId="0" xfId="0" applyFont="1" applyFill="1" applyAlignment="1">
      <alignment horizontal="center" vertical="center"/>
    </xf>
    <xf numFmtId="0" fontId="3" fillId="3" borderId="59" xfId="0" applyFont="1" applyFill="1" applyBorder="1" applyAlignment="1">
      <alignment horizontal="center"/>
    </xf>
    <xf numFmtId="0" fontId="3" fillId="3" borderId="60" xfId="0" applyFont="1" applyFill="1" applyBorder="1" applyAlignment="1">
      <alignment horizontal="center"/>
    </xf>
    <xf numFmtId="0" fontId="3" fillId="3" borderId="61" xfId="0" applyFont="1" applyFill="1" applyBorder="1" applyAlignment="1">
      <alignment horizontal="center"/>
    </xf>
    <xf numFmtId="0" fontId="14" fillId="3" borderId="44" xfId="3" applyFont="1" applyFill="1" applyBorder="1" applyAlignment="1">
      <alignment horizontal="center"/>
    </xf>
    <xf numFmtId="0" fontId="3" fillId="3" borderId="45" xfId="0" applyFont="1" applyFill="1" applyBorder="1" applyAlignment="1">
      <alignment horizontal="center"/>
    </xf>
    <xf numFmtId="0" fontId="3" fillId="3" borderId="58" xfId="0" applyFont="1" applyFill="1" applyBorder="1" applyAlignment="1">
      <alignment horizontal="center"/>
    </xf>
    <xf numFmtId="0" fontId="3" fillId="3" borderId="44" xfId="0" applyFont="1" applyFill="1" applyBorder="1" applyAlignment="1">
      <alignment horizontal="center"/>
    </xf>
    <xf numFmtId="0" fontId="3" fillId="3" borderId="55" xfId="0" applyFont="1" applyFill="1" applyBorder="1" applyAlignment="1">
      <alignment horizontal="center"/>
    </xf>
    <xf numFmtId="0" fontId="3" fillId="3" borderId="56" xfId="0" applyFont="1" applyFill="1" applyBorder="1" applyAlignment="1">
      <alignment horizontal="center"/>
    </xf>
    <xf numFmtId="0" fontId="3" fillId="3" borderId="57" xfId="0" applyFont="1" applyFill="1" applyBorder="1" applyAlignment="1">
      <alignment horizontal="center"/>
    </xf>
    <xf numFmtId="0" fontId="5" fillId="3" borderId="54" xfId="0" applyFont="1" applyFill="1" applyBorder="1" applyAlignment="1">
      <alignment horizont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15" fillId="3" borderId="1" xfId="0" applyFont="1" applyFill="1" applyBorder="1" applyAlignment="1">
      <alignment horizontal="center"/>
    </xf>
    <xf numFmtId="0" fontId="15" fillId="3" borderId="2" xfId="0" applyFont="1" applyFill="1" applyBorder="1" applyAlignment="1">
      <alignment horizontal="center"/>
    </xf>
    <xf numFmtId="0" fontId="15" fillId="3" borderId="3" xfId="0" applyFont="1" applyFill="1" applyBorder="1" applyAlignment="1">
      <alignment horizontal="center"/>
    </xf>
    <xf numFmtId="0" fontId="5" fillId="3" borderId="0" xfId="0" applyFont="1" applyFill="1" applyAlignment="1">
      <alignment horizontal="left" vertical="center" wrapText="1"/>
    </xf>
    <xf numFmtId="0" fontId="5" fillId="3" borderId="15" xfId="0" applyFont="1" applyFill="1" applyBorder="1" applyAlignment="1">
      <alignment horizontal="center" vertical="center"/>
    </xf>
    <xf numFmtId="0" fontId="5" fillId="3" borderId="17" xfId="0" applyFont="1" applyFill="1" applyBorder="1" applyAlignment="1">
      <alignment horizontal="center" vertical="center"/>
    </xf>
    <xf numFmtId="0" fontId="5" fillId="3" borderId="1" xfId="0" applyFont="1" applyFill="1" applyBorder="1" applyAlignment="1">
      <alignment horizontal="center"/>
    </xf>
    <xf numFmtId="0" fontId="18" fillId="8" borderId="0" xfId="0" applyFont="1" applyFill="1" applyAlignment="1">
      <alignment horizontal="center" vertical="center" wrapText="1"/>
    </xf>
    <xf numFmtId="0" fontId="12" fillId="8" borderId="4" xfId="0" applyFont="1" applyFill="1" applyBorder="1" applyAlignment="1">
      <alignment horizontal="center"/>
    </xf>
    <xf numFmtId="0" fontId="12" fillId="8" borderId="5" xfId="0" applyFont="1" applyFill="1" applyBorder="1" applyAlignment="1">
      <alignment horizontal="center"/>
    </xf>
    <xf numFmtId="0" fontId="3" fillId="3" borderId="19" xfId="0" applyFont="1" applyFill="1" applyBorder="1" applyAlignment="1">
      <alignment horizontal="left"/>
    </xf>
    <xf numFmtId="0" fontId="3" fillId="3" borderId="20" xfId="0" applyFont="1" applyFill="1" applyBorder="1" applyAlignment="1">
      <alignment horizontal="left"/>
    </xf>
    <xf numFmtId="0" fontId="3" fillId="3" borderId="13" xfId="0" applyFont="1" applyFill="1" applyBorder="1" applyAlignment="1">
      <alignment horizontal="left"/>
    </xf>
    <xf numFmtId="0" fontId="3" fillId="3" borderId="22" xfId="0" applyFont="1" applyFill="1" applyBorder="1" applyAlignment="1">
      <alignment horizontal="left"/>
    </xf>
    <xf numFmtId="0" fontId="3" fillId="3" borderId="24" xfId="0" applyFont="1" applyFill="1" applyBorder="1" applyAlignment="1">
      <alignment horizontal="left"/>
    </xf>
    <xf numFmtId="0" fontId="3" fillId="3" borderId="25" xfId="0" applyFont="1" applyFill="1" applyBorder="1" applyAlignment="1">
      <alignment horizontal="left"/>
    </xf>
    <xf numFmtId="0" fontId="5" fillId="3" borderId="4" xfId="0" applyFont="1" applyFill="1" applyBorder="1" applyAlignment="1">
      <alignment horizontal="center" vertical="center"/>
    </xf>
    <xf numFmtId="0" fontId="5" fillId="3" borderId="46" xfId="0" applyFont="1" applyFill="1" applyBorder="1" applyAlignment="1">
      <alignment horizontal="center" vertical="center"/>
    </xf>
    <xf numFmtId="0" fontId="5" fillId="3" borderId="47" xfId="0" applyFont="1" applyFill="1" applyBorder="1" applyAlignment="1">
      <alignment horizontal="center" vertical="center"/>
    </xf>
    <xf numFmtId="0" fontId="3" fillId="3" borderId="29" xfId="0" applyFont="1" applyFill="1" applyBorder="1" applyAlignment="1">
      <alignment horizontal="left" vertical="center"/>
    </xf>
    <xf numFmtId="0" fontId="3" fillId="3" borderId="13" xfId="0" applyFont="1" applyFill="1" applyBorder="1" applyAlignment="1">
      <alignment horizontal="left" vertical="center"/>
    </xf>
    <xf numFmtId="0" fontId="3" fillId="3" borderId="22" xfId="0" applyFont="1" applyFill="1" applyBorder="1" applyAlignment="1">
      <alignment horizontal="left" vertical="center"/>
    </xf>
    <xf numFmtId="0" fontId="3" fillId="3" borderId="48" xfId="0" applyFont="1" applyFill="1" applyBorder="1" applyAlignment="1">
      <alignment horizontal="left" vertical="center"/>
    </xf>
    <xf numFmtId="0" fontId="3" fillId="3" borderId="49" xfId="0" applyFont="1" applyFill="1" applyBorder="1" applyAlignment="1">
      <alignment horizontal="left" vertical="center"/>
    </xf>
    <xf numFmtId="0" fontId="3" fillId="3" borderId="50" xfId="0" applyFont="1" applyFill="1" applyBorder="1" applyAlignment="1">
      <alignment horizontal="left" vertical="center"/>
    </xf>
    <xf numFmtId="0" fontId="12" fillId="8" borderId="6" xfId="0" applyFont="1" applyFill="1" applyBorder="1" applyAlignment="1">
      <alignment horizontal="center"/>
    </xf>
    <xf numFmtId="0" fontId="5" fillId="3" borderId="32" xfId="0" applyFont="1" applyFill="1" applyBorder="1" applyAlignment="1">
      <alignment horizontal="center" vertical="center"/>
    </xf>
    <xf numFmtId="0" fontId="5" fillId="3" borderId="33" xfId="0" applyFont="1" applyFill="1" applyBorder="1" applyAlignment="1">
      <alignment horizontal="center" vertical="center"/>
    </xf>
    <xf numFmtId="0" fontId="5" fillId="3" borderId="34" xfId="0" applyFont="1" applyFill="1" applyBorder="1" applyAlignment="1">
      <alignment horizontal="center" vertical="center"/>
    </xf>
    <xf numFmtId="0" fontId="5" fillId="3" borderId="35" xfId="0" applyFont="1" applyFill="1" applyBorder="1" applyAlignment="1">
      <alignment horizontal="center" vertical="center"/>
    </xf>
    <xf numFmtId="0" fontId="5" fillId="3" borderId="51" xfId="0" applyFont="1" applyFill="1" applyBorder="1" applyAlignment="1">
      <alignment horizontal="center" vertical="center"/>
    </xf>
    <xf numFmtId="0" fontId="3" fillId="3" borderId="28" xfId="0" applyFont="1" applyFill="1" applyBorder="1" applyAlignment="1">
      <alignment horizontal="left" vertical="center"/>
    </xf>
    <xf numFmtId="0" fontId="3" fillId="3" borderId="19" xfId="0" applyFont="1" applyFill="1" applyBorder="1" applyAlignment="1">
      <alignment horizontal="left" vertical="center"/>
    </xf>
    <xf numFmtId="0" fontId="3" fillId="3" borderId="20" xfId="0" applyFont="1" applyFill="1" applyBorder="1" applyAlignment="1">
      <alignment horizontal="left" vertical="center"/>
    </xf>
    <xf numFmtId="0" fontId="3" fillId="3" borderId="30" xfId="0" applyFont="1" applyFill="1" applyBorder="1" applyAlignment="1">
      <alignment horizontal="left" vertical="center"/>
    </xf>
    <xf numFmtId="0" fontId="3" fillId="3" borderId="24" xfId="0" applyFont="1" applyFill="1" applyBorder="1" applyAlignment="1">
      <alignment horizontal="left" vertical="center"/>
    </xf>
    <xf numFmtId="0" fontId="3" fillId="3" borderId="25" xfId="0" applyFont="1" applyFill="1" applyBorder="1" applyAlignment="1">
      <alignment horizontal="left" vertical="center"/>
    </xf>
    <xf numFmtId="0" fontId="3" fillId="3" borderId="31" xfId="0" applyFont="1" applyFill="1" applyBorder="1" applyAlignment="1">
      <alignment horizontal="left" vertical="center"/>
    </xf>
    <xf numFmtId="0" fontId="3" fillId="3" borderId="14" xfId="0" applyFont="1" applyFill="1" applyBorder="1" applyAlignment="1">
      <alignment horizontal="left" vertical="center"/>
    </xf>
    <xf numFmtId="0" fontId="3" fillId="3" borderId="27" xfId="0" applyFont="1" applyFill="1" applyBorder="1" applyAlignment="1">
      <alignment horizontal="left" vertical="center"/>
    </xf>
    <xf numFmtId="0" fontId="7" fillId="7" borderId="42" xfId="0" applyFont="1" applyFill="1" applyBorder="1" applyAlignment="1">
      <alignment horizontal="center" vertical="center" wrapText="1"/>
    </xf>
    <xf numFmtId="0" fontId="7" fillId="7" borderId="40" xfId="0" applyFont="1" applyFill="1" applyBorder="1" applyAlignment="1">
      <alignment horizontal="center" vertical="center" wrapText="1"/>
    </xf>
    <xf numFmtId="0" fontId="7" fillId="7" borderId="43" xfId="0" applyFont="1" applyFill="1" applyBorder="1" applyAlignment="1">
      <alignment horizontal="center" vertical="center" wrapText="1"/>
    </xf>
    <xf numFmtId="0" fontId="5" fillId="3" borderId="0" xfId="0" applyFont="1" applyFill="1" applyAlignment="1">
      <alignment horizontal="center" vertical="center" wrapText="1"/>
    </xf>
    <xf numFmtId="0" fontId="3" fillId="3" borderId="0" xfId="0" applyFont="1" applyFill="1" applyAlignment="1">
      <alignment horizontal="left" wrapText="1"/>
    </xf>
    <xf numFmtId="0" fontId="5" fillId="3" borderId="6" xfId="0" applyFont="1" applyFill="1" applyBorder="1" applyAlignment="1">
      <alignment horizontal="center" vertical="center"/>
    </xf>
    <xf numFmtId="0" fontId="15" fillId="3" borderId="4" xfId="0" applyFont="1" applyFill="1" applyBorder="1" applyAlignment="1">
      <alignment horizontal="center"/>
    </xf>
    <xf numFmtId="0" fontId="15" fillId="3" borderId="6" xfId="0" applyFont="1" applyFill="1" applyBorder="1" applyAlignment="1">
      <alignment horizontal="center"/>
    </xf>
    <xf numFmtId="0" fontId="5" fillId="3" borderId="16" xfId="0" applyFont="1" applyFill="1" applyBorder="1" applyAlignment="1">
      <alignment horizontal="center" vertical="center"/>
    </xf>
    <xf numFmtId="0" fontId="5" fillId="3" borderId="26"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21"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23" xfId="0" applyFont="1" applyFill="1" applyBorder="1" applyAlignment="1">
      <alignment horizontal="center" vertical="center"/>
    </xf>
    <xf numFmtId="0" fontId="5" fillId="3" borderId="24" xfId="0" applyFont="1" applyFill="1" applyBorder="1" applyAlignment="1">
      <alignment horizontal="center" vertical="center"/>
    </xf>
    <xf numFmtId="0" fontId="3" fillId="3" borderId="14" xfId="0" applyFont="1" applyFill="1" applyBorder="1" applyAlignment="1">
      <alignment horizontal="center"/>
    </xf>
    <xf numFmtId="0" fontId="3" fillId="3" borderId="13" xfId="0" applyFont="1" applyFill="1" applyBorder="1" applyAlignment="1">
      <alignment horizontal="center"/>
    </xf>
    <xf numFmtId="0" fontId="3" fillId="3" borderId="24" xfId="0" applyFont="1" applyFill="1" applyBorder="1" applyAlignment="1">
      <alignment horizontal="center"/>
    </xf>
    <xf numFmtId="0" fontId="3" fillId="3" borderId="8" xfId="0" applyFont="1" applyFill="1" applyBorder="1" applyAlignment="1">
      <alignment horizontal="center"/>
    </xf>
    <xf numFmtId="0" fontId="28" fillId="6" borderId="15" xfId="0" applyFont="1" applyFill="1" applyBorder="1" applyAlignment="1">
      <alignment horizontal="center" vertical="center"/>
    </xf>
    <xf numFmtId="0" fontId="28" fillId="6" borderId="16" xfId="0" applyFont="1" applyFill="1" applyBorder="1" applyAlignment="1">
      <alignment horizontal="center" vertical="center"/>
    </xf>
    <xf numFmtId="0" fontId="28" fillId="6" borderId="17" xfId="0" applyFont="1" applyFill="1" applyBorder="1" applyAlignment="1">
      <alignment horizontal="center" vertical="center"/>
    </xf>
    <xf numFmtId="0" fontId="4" fillId="3" borderId="1" xfId="0" applyFont="1" applyFill="1" applyBorder="1" applyAlignment="1">
      <alignment horizontal="center"/>
    </xf>
    <xf numFmtId="0" fontId="4" fillId="3" borderId="2"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29" fillId="8" borderId="14" xfId="0" applyFont="1" applyFill="1" applyBorder="1" applyAlignment="1">
      <alignment horizontal="center" vertical="center"/>
    </xf>
    <xf numFmtId="0" fontId="29" fillId="8" borderId="13" xfId="0" applyFont="1" applyFill="1" applyBorder="1" applyAlignment="1">
      <alignment horizontal="center" vertical="center"/>
    </xf>
    <xf numFmtId="0" fontId="15" fillId="3" borderId="20" xfId="0" applyFont="1" applyFill="1" applyBorder="1" applyAlignment="1">
      <alignment horizontal="center" vertical="center" wrapText="1"/>
    </xf>
    <xf numFmtId="0" fontId="15" fillId="3" borderId="22" xfId="0" applyFont="1" applyFill="1" applyBorder="1" applyAlignment="1">
      <alignment horizontal="center" vertical="center" wrapText="1"/>
    </xf>
    <xf numFmtId="0" fontId="27" fillId="8" borderId="1" xfId="0" applyFont="1" applyFill="1" applyBorder="1" applyAlignment="1">
      <alignment horizontal="center"/>
    </xf>
    <xf numFmtId="0" fontId="27" fillId="8" borderId="2" xfId="0" applyFont="1" applyFill="1" applyBorder="1" applyAlignment="1">
      <alignment horizontal="center"/>
    </xf>
    <xf numFmtId="0" fontId="27" fillId="8" borderId="3" xfId="0" applyFont="1" applyFill="1" applyBorder="1" applyAlignment="1">
      <alignment horizontal="center"/>
    </xf>
    <xf numFmtId="0" fontId="15" fillId="10" borderId="4" xfId="0" applyFont="1" applyFill="1" applyBorder="1" applyAlignment="1">
      <alignment horizontal="left" vertical="center" wrapText="1"/>
    </xf>
    <xf numFmtId="0" fontId="15" fillId="10" borderId="5" xfId="0" applyFont="1" applyFill="1" applyBorder="1" applyAlignment="1">
      <alignment horizontal="left" vertical="center" wrapText="1"/>
    </xf>
    <xf numFmtId="0" fontId="15" fillId="10" borderId="6" xfId="0" applyFont="1" applyFill="1" applyBorder="1" applyAlignment="1">
      <alignment horizontal="left" vertical="center" wrapText="1"/>
    </xf>
    <xf numFmtId="0" fontId="15" fillId="10" borderId="46" xfId="0" applyFont="1" applyFill="1" applyBorder="1" applyAlignment="1">
      <alignment horizontal="left" vertical="center" wrapText="1"/>
    </xf>
    <xf numFmtId="0" fontId="15" fillId="10" borderId="0" xfId="0" applyFont="1" applyFill="1" applyAlignment="1">
      <alignment horizontal="left" vertical="center" wrapText="1"/>
    </xf>
    <xf numFmtId="0" fontId="15" fillId="10" borderId="7" xfId="0" applyFont="1" applyFill="1" applyBorder="1" applyAlignment="1">
      <alignment horizontal="left" vertical="center" wrapText="1"/>
    </xf>
    <xf numFmtId="0" fontId="15" fillId="10" borderId="4" xfId="0" applyFont="1" applyFill="1" applyBorder="1" applyAlignment="1">
      <alignment horizontal="left" vertical="center"/>
    </xf>
    <xf numFmtId="0" fontId="15" fillId="10" borderId="5" xfId="0" applyFont="1" applyFill="1" applyBorder="1" applyAlignment="1">
      <alignment horizontal="left" vertical="center"/>
    </xf>
    <xf numFmtId="0" fontId="15" fillId="10" borderId="6" xfId="0" applyFont="1" applyFill="1" applyBorder="1" applyAlignment="1">
      <alignment horizontal="left" vertical="center"/>
    </xf>
    <xf numFmtId="0" fontId="15" fillId="10" borderId="0" xfId="0" applyFont="1" applyFill="1" applyAlignment="1">
      <alignment horizontal="left" vertical="center"/>
    </xf>
    <xf numFmtId="0" fontId="15" fillId="10" borderId="7" xfId="0" applyFont="1" applyFill="1" applyBorder="1" applyAlignment="1">
      <alignment horizontal="left" vertical="center"/>
    </xf>
    <xf numFmtId="0" fontId="15" fillId="10" borderId="46" xfId="0" applyFont="1" applyFill="1" applyBorder="1" applyAlignment="1">
      <alignment horizontal="left" vertical="center"/>
    </xf>
    <xf numFmtId="0" fontId="39" fillId="13" borderId="69" xfId="0" applyFont="1" applyFill="1" applyBorder="1" applyAlignment="1">
      <alignment horizontal="center" vertical="center"/>
    </xf>
    <xf numFmtId="0" fontId="36" fillId="13" borderId="69" xfId="0" applyFont="1" applyFill="1" applyBorder="1" applyAlignment="1">
      <alignment horizontal="center" vertical="center"/>
    </xf>
    <xf numFmtId="0" fontId="36" fillId="13" borderId="82" xfId="0" applyFont="1" applyFill="1" applyBorder="1" applyAlignment="1">
      <alignment horizontal="center" vertical="center"/>
    </xf>
    <xf numFmtId="49" fontId="35" fillId="16" borderId="76" xfId="0" applyNumberFormat="1" applyFont="1" applyFill="1" applyBorder="1" applyAlignment="1">
      <alignment horizontal="center" vertical="center" wrapText="1"/>
    </xf>
    <xf numFmtId="49" fontId="35" fillId="16" borderId="88" xfId="0" applyNumberFormat="1" applyFont="1" applyFill="1" applyBorder="1" applyAlignment="1">
      <alignment horizontal="center" vertical="center" wrapText="1"/>
    </xf>
    <xf numFmtId="49" fontId="35" fillId="16" borderId="0" xfId="0" applyNumberFormat="1" applyFont="1" applyFill="1" applyAlignment="1">
      <alignment horizontal="center" vertical="center" wrapText="1"/>
    </xf>
    <xf numFmtId="49" fontId="35" fillId="16" borderId="7" xfId="0" applyNumberFormat="1" applyFont="1" applyFill="1" applyBorder="1" applyAlignment="1">
      <alignment horizontal="center" vertical="center" wrapText="1"/>
    </xf>
    <xf numFmtId="49" fontId="35" fillId="16" borderId="8" xfId="0" applyNumberFormat="1" applyFont="1" applyFill="1" applyBorder="1" applyAlignment="1">
      <alignment horizontal="center" vertical="center" wrapText="1"/>
    </xf>
    <xf numFmtId="49" fontId="35" fillId="16" borderId="9" xfId="0" applyNumberFormat="1" applyFont="1" applyFill="1" applyBorder="1" applyAlignment="1">
      <alignment horizontal="center" vertical="center" wrapText="1"/>
    </xf>
    <xf numFmtId="49" fontId="35" fillId="16" borderId="69" xfId="0" applyNumberFormat="1" applyFont="1" applyFill="1" applyBorder="1" applyAlignment="1">
      <alignment horizontal="left" vertical="center" wrapText="1"/>
    </xf>
    <xf numFmtId="0" fontId="3" fillId="16" borderId="68" xfId="0" applyFont="1" applyFill="1" applyBorder="1"/>
    <xf numFmtId="0" fontId="3" fillId="16" borderId="83" xfId="0" applyFont="1" applyFill="1" applyBorder="1"/>
    <xf numFmtId="0" fontId="3" fillId="15" borderId="66" xfId="0" applyFont="1" applyFill="1" applyBorder="1"/>
    <xf numFmtId="0" fontId="3" fillId="15" borderId="82" xfId="0" applyFont="1" applyFill="1" applyBorder="1"/>
    <xf numFmtId="0" fontId="3" fillId="16" borderId="66" xfId="0" applyFont="1" applyFill="1" applyBorder="1"/>
    <xf numFmtId="0" fontId="3" fillId="16" borderId="82" xfId="0" applyFont="1" applyFill="1" applyBorder="1"/>
    <xf numFmtId="0" fontId="3" fillId="15" borderId="69" xfId="0" applyFont="1" applyFill="1" applyBorder="1"/>
    <xf numFmtId="0" fontId="3" fillId="16" borderId="69" xfId="0" applyFont="1" applyFill="1" applyBorder="1"/>
    <xf numFmtId="0" fontId="36" fillId="13" borderId="71" xfId="0" applyFont="1" applyFill="1" applyBorder="1" applyAlignment="1">
      <alignment horizontal="center" vertical="center"/>
    </xf>
    <xf numFmtId="0" fontId="36" fillId="13" borderId="72" xfId="0" applyFont="1" applyFill="1" applyBorder="1" applyAlignment="1">
      <alignment horizontal="center" vertical="center"/>
    </xf>
    <xf numFmtId="0" fontId="36" fillId="13" borderId="86" xfId="0" applyFont="1" applyFill="1" applyBorder="1" applyAlignment="1">
      <alignment horizontal="center" vertical="center"/>
    </xf>
    <xf numFmtId="0" fontId="36" fillId="14" borderId="84" xfId="0" applyFont="1" applyFill="1" applyBorder="1" applyAlignment="1">
      <alignment horizontal="right" vertical="center" wrapText="1"/>
    </xf>
    <xf numFmtId="0" fontId="36" fillId="14" borderId="85" xfId="0" applyFont="1" applyFill="1" applyBorder="1" applyAlignment="1">
      <alignment horizontal="right" vertical="center" wrapText="1"/>
    </xf>
    <xf numFmtId="49" fontId="35" fillId="15" borderId="74" xfId="0" applyNumberFormat="1" applyFont="1" applyFill="1" applyBorder="1" applyAlignment="1">
      <alignment horizontal="left" vertical="center"/>
    </xf>
    <xf numFmtId="49" fontId="35" fillId="15" borderId="76" xfId="0" applyNumberFormat="1" applyFont="1" applyFill="1" applyBorder="1" applyAlignment="1">
      <alignment horizontal="left" vertical="center"/>
    </xf>
    <xf numFmtId="49" fontId="35" fillId="15" borderId="73" xfId="0" applyNumberFormat="1" applyFont="1" applyFill="1" applyBorder="1" applyAlignment="1">
      <alignment horizontal="left" vertical="center"/>
    </xf>
    <xf numFmtId="49" fontId="35" fillId="15" borderId="68" xfId="0" applyNumberFormat="1" applyFont="1" applyFill="1" applyBorder="1" applyAlignment="1">
      <alignment horizontal="left" vertical="center"/>
    </xf>
    <xf numFmtId="49" fontId="35" fillId="15" borderId="65" xfId="0" applyNumberFormat="1" applyFont="1" applyFill="1" applyBorder="1" applyAlignment="1">
      <alignment horizontal="left" vertical="center"/>
    </xf>
    <xf numFmtId="49" fontId="35" fillId="15" borderId="71" xfId="0" applyNumberFormat="1" applyFont="1" applyFill="1" applyBorder="1" applyAlignment="1">
      <alignment horizontal="left" vertical="center"/>
    </xf>
    <xf numFmtId="0" fontId="3" fillId="15" borderId="74" xfId="0" applyFont="1" applyFill="1" applyBorder="1" applyAlignment="1">
      <alignment horizontal="center" wrapText="1"/>
    </xf>
    <xf numFmtId="0" fontId="3" fillId="15" borderId="76" xfId="0" applyFont="1" applyFill="1" applyBorder="1" applyAlignment="1">
      <alignment horizontal="center" wrapText="1"/>
    </xf>
    <xf numFmtId="0" fontId="3" fillId="15" borderId="88" xfId="0" applyFont="1" applyFill="1" applyBorder="1" applyAlignment="1">
      <alignment horizontal="center" wrapText="1"/>
    </xf>
    <xf numFmtId="0" fontId="3" fillId="15" borderId="68" xfId="0" applyFont="1" applyFill="1" applyBorder="1" applyAlignment="1">
      <alignment horizontal="center" wrapText="1"/>
    </xf>
    <xf numFmtId="0" fontId="3" fillId="15" borderId="65" xfId="0" applyFont="1" applyFill="1" applyBorder="1" applyAlignment="1">
      <alignment horizontal="center" wrapText="1"/>
    </xf>
    <xf numFmtId="0" fontId="3" fillId="15" borderId="89" xfId="0" applyFont="1" applyFill="1" applyBorder="1" applyAlignment="1">
      <alignment horizontal="center" wrapText="1"/>
    </xf>
    <xf numFmtId="0" fontId="36" fillId="14" borderId="90" xfId="0" applyFont="1" applyFill="1" applyBorder="1" applyAlignment="1">
      <alignment horizontal="right" vertical="center" wrapText="1"/>
    </xf>
    <xf numFmtId="49" fontId="35" fillId="16" borderId="74" xfId="0" applyNumberFormat="1" applyFont="1" applyFill="1" applyBorder="1" applyAlignment="1">
      <alignment horizontal="left" vertical="center" wrapText="1"/>
    </xf>
    <xf numFmtId="49" fontId="35" fillId="16" borderId="76" xfId="0" applyNumberFormat="1" applyFont="1" applyFill="1" applyBorder="1" applyAlignment="1">
      <alignment horizontal="left" vertical="center" wrapText="1"/>
    </xf>
    <xf numFmtId="49" fontId="35" fillId="16" borderId="73" xfId="0" applyNumberFormat="1" applyFont="1" applyFill="1" applyBorder="1" applyAlignment="1">
      <alignment horizontal="left" vertical="center" wrapText="1"/>
    </xf>
    <xf numFmtId="49" fontId="35" fillId="16" borderId="72" xfId="0" applyNumberFormat="1" applyFont="1" applyFill="1" applyBorder="1" applyAlignment="1">
      <alignment horizontal="left" vertical="center" wrapText="1"/>
    </xf>
    <xf numFmtId="49" fontId="35" fillId="16" borderId="0" xfId="0" applyNumberFormat="1" applyFont="1" applyFill="1" applyAlignment="1">
      <alignment horizontal="left" vertical="center" wrapText="1"/>
    </xf>
    <xf numFmtId="49" fontId="35" fillId="16" borderId="77" xfId="0" applyNumberFormat="1" applyFont="1" applyFill="1" applyBorder="1" applyAlignment="1">
      <alignment horizontal="left" vertical="center" wrapText="1"/>
    </xf>
    <xf numFmtId="49" fontId="35" fillId="16" borderId="68" xfId="0" applyNumberFormat="1" applyFont="1" applyFill="1" applyBorder="1" applyAlignment="1">
      <alignment horizontal="left" vertical="center" wrapText="1"/>
    </xf>
    <xf numFmtId="49" fontId="35" fillId="16" borderId="65" xfId="0" applyNumberFormat="1" applyFont="1" applyFill="1" applyBorder="1" applyAlignment="1">
      <alignment horizontal="left" vertical="center" wrapText="1"/>
    </xf>
    <xf numFmtId="49" fontId="35" fillId="16" borderId="71" xfId="0" applyNumberFormat="1" applyFont="1" applyFill="1" applyBorder="1" applyAlignment="1">
      <alignment horizontal="left" vertical="center" wrapText="1"/>
    </xf>
    <xf numFmtId="0" fontId="3" fillId="16" borderId="74" xfId="0" applyFont="1" applyFill="1" applyBorder="1" applyAlignment="1">
      <alignment horizontal="center" wrapText="1"/>
    </xf>
    <xf numFmtId="0" fontId="3" fillId="16" borderId="76" xfId="0" applyFont="1" applyFill="1" applyBorder="1" applyAlignment="1">
      <alignment horizontal="center" wrapText="1"/>
    </xf>
    <xf numFmtId="0" fontId="3" fillId="16" borderId="88" xfId="0" applyFont="1" applyFill="1" applyBorder="1" applyAlignment="1">
      <alignment horizontal="center" wrapText="1"/>
    </xf>
    <xf numFmtId="0" fontId="3" fillId="16" borderId="72" xfId="0" applyFont="1" applyFill="1" applyBorder="1" applyAlignment="1">
      <alignment horizontal="center" wrapText="1"/>
    </xf>
    <xf numFmtId="0" fontId="3" fillId="16" borderId="0" xfId="0" applyFont="1" applyFill="1" applyAlignment="1">
      <alignment horizontal="center" wrapText="1"/>
    </xf>
    <xf numFmtId="0" fontId="3" fillId="16" borderId="7" xfId="0" applyFont="1" applyFill="1" applyBorder="1" applyAlignment="1">
      <alignment horizontal="center" wrapText="1"/>
    </xf>
    <xf numFmtId="0" fontId="3" fillId="16" borderId="68" xfId="0" applyFont="1" applyFill="1" applyBorder="1" applyAlignment="1">
      <alignment horizontal="center" wrapText="1"/>
    </xf>
    <xf numFmtId="0" fontId="3" fillId="16" borderId="65" xfId="0" applyFont="1" applyFill="1" applyBorder="1" applyAlignment="1">
      <alignment horizontal="center" wrapText="1"/>
    </xf>
    <xf numFmtId="0" fontId="3" fillId="16" borderId="89" xfId="0" applyFont="1" applyFill="1" applyBorder="1" applyAlignment="1">
      <alignment horizontal="center" wrapText="1"/>
    </xf>
    <xf numFmtId="49" fontId="35" fillId="15" borderId="69" xfId="0" applyNumberFormat="1" applyFont="1" applyFill="1" applyBorder="1" applyAlignment="1">
      <alignment horizontal="left" vertical="center"/>
    </xf>
    <xf numFmtId="0" fontId="3" fillId="15" borderId="68" xfId="0" applyFont="1" applyFill="1" applyBorder="1"/>
    <xf numFmtId="0" fontId="3" fillId="15" borderId="83" xfId="0" applyFont="1" applyFill="1" applyBorder="1"/>
    <xf numFmtId="0" fontId="3" fillId="16" borderId="73" xfId="0" applyFont="1" applyFill="1" applyBorder="1"/>
    <xf numFmtId="0" fontId="3" fillId="16" borderId="74" xfId="0" applyFont="1" applyFill="1" applyBorder="1"/>
    <xf numFmtId="0" fontId="3" fillId="16" borderId="87" xfId="0" applyFont="1" applyFill="1" applyBorder="1"/>
    <xf numFmtId="0" fontId="36" fillId="13" borderId="75" xfId="0" applyFont="1" applyFill="1" applyBorder="1" applyAlignment="1">
      <alignment horizontal="center" vertical="center"/>
    </xf>
    <xf numFmtId="0" fontId="36" fillId="13" borderId="68" xfId="0" applyFont="1" applyFill="1" applyBorder="1" applyAlignment="1">
      <alignment horizontal="center" vertical="center"/>
    </xf>
    <xf numFmtId="0" fontId="36" fillId="13" borderId="83" xfId="0" applyFont="1" applyFill="1" applyBorder="1" applyAlignment="1">
      <alignment horizontal="center" vertical="center"/>
    </xf>
    <xf numFmtId="0" fontId="3" fillId="19" borderId="69" xfId="0" applyFont="1" applyFill="1" applyBorder="1"/>
    <xf numFmtId="0" fontId="3" fillId="20" borderId="69" xfId="0" applyFont="1" applyFill="1" applyBorder="1"/>
    <xf numFmtId="0" fontId="3" fillId="16" borderId="70" xfId="0" applyFont="1" applyFill="1" applyBorder="1"/>
    <xf numFmtId="0" fontId="36" fillId="14" borderId="84" xfId="0" applyFont="1" applyFill="1" applyBorder="1" applyAlignment="1">
      <alignment horizontal="center" vertical="center" wrapText="1"/>
    </xf>
    <xf numFmtId="0" fontId="36" fillId="14" borderId="85" xfId="0" applyFont="1" applyFill="1" applyBorder="1" applyAlignment="1">
      <alignment horizontal="center" vertical="center" wrapText="1"/>
    </xf>
    <xf numFmtId="0" fontId="3" fillId="15" borderId="69" xfId="0" applyFont="1" applyFill="1" applyBorder="1" applyAlignment="1">
      <alignment vertical="center"/>
    </xf>
    <xf numFmtId="0" fontId="3" fillId="15" borderId="66" xfId="0" applyFont="1" applyFill="1" applyBorder="1" applyAlignment="1">
      <alignment vertical="center"/>
    </xf>
    <xf numFmtId="0" fontId="3" fillId="15" borderId="82" xfId="0" applyFont="1" applyFill="1" applyBorder="1" applyAlignment="1">
      <alignment vertical="center"/>
    </xf>
    <xf numFmtId="0" fontId="3" fillId="15" borderId="67" xfId="0" applyFont="1" applyFill="1" applyBorder="1" applyAlignment="1">
      <alignment vertical="center"/>
    </xf>
    <xf numFmtId="0" fontId="3" fillId="15" borderId="79" xfId="0" applyFont="1" applyFill="1" applyBorder="1" applyAlignment="1">
      <alignment vertical="center"/>
    </xf>
    <xf numFmtId="0" fontId="3" fillId="16" borderId="67" xfId="0" applyFont="1" applyFill="1" applyBorder="1" applyAlignment="1">
      <alignment vertical="center"/>
    </xf>
    <xf numFmtId="0" fontId="3" fillId="16" borderId="79" xfId="0" applyFont="1" applyFill="1" applyBorder="1" applyAlignment="1">
      <alignment vertical="center"/>
    </xf>
    <xf numFmtId="0" fontId="23" fillId="16" borderId="67" xfId="0" applyFont="1" applyFill="1" applyBorder="1" applyAlignment="1">
      <alignment horizontal="left" vertical="top" wrapText="1"/>
    </xf>
    <xf numFmtId="0" fontId="23" fillId="16" borderId="79" xfId="0" applyFont="1" applyFill="1" applyBorder="1" applyAlignment="1">
      <alignment horizontal="left" vertical="top" wrapText="1"/>
    </xf>
    <xf numFmtId="0" fontId="3" fillId="15" borderId="67" xfId="0" applyFont="1" applyFill="1" applyBorder="1"/>
    <xf numFmtId="0" fontId="3" fillId="15" borderId="79" xfId="0" applyFont="1" applyFill="1" applyBorder="1"/>
    <xf numFmtId="0" fontId="12" fillId="8" borderId="1" xfId="0" applyFont="1" applyFill="1" applyBorder="1" applyAlignment="1">
      <alignment horizontal="center" vertical="center"/>
    </xf>
    <xf numFmtId="0" fontId="12" fillId="8" borderId="2" xfId="0" applyFont="1" applyFill="1" applyBorder="1" applyAlignment="1">
      <alignment horizontal="center" vertical="center"/>
    </xf>
    <xf numFmtId="0" fontId="12" fillId="8" borderId="3" xfId="0" applyFont="1" applyFill="1" applyBorder="1" applyAlignment="1">
      <alignment horizontal="center" vertical="center"/>
    </xf>
    <xf numFmtId="49" fontId="35" fillId="16" borderId="67" xfId="0" applyNumberFormat="1" applyFont="1" applyFill="1" applyBorder="1" applyAlignment="1">
      <alignment horizontal="left" vertical="center"/>
    </xf>
    <xf numFmtId="49" fontId="35" fillId="16" borderId="79" xfId="0" applyNumberFormat="1" applyFont="1" applyFill="1" applyBorder="1" applyAlignment="1">
      <alignment horizontal="left" vertical="center"/>
    </xf>
    <xf numFmtId="14" fontId="23" fillId="15" borderId="67" xfId="0" applyNumberFormat="1" applyFont="1" applyFill="1" applyBorder="1" applyAlignment="1">
      <alignment horizontal="left"/>
    </xf>
    <xf numFmtId="0" fontId="23" fillId="15" borderId="67" xfId="0" applyFont="1" applyFill="1" applyBorder="1" applyAlignment="1">
      <alignment horizontal="left"/>
    </xf>
    <xf numFmtId="0" fontId="23" fillId="15" borderId="79" xfId="0" applyFont="1" applyFill="1" applyBorder="1" applyAlignment="1">
      <alignment horizontal="left"/>
    </xf>
    <xf numFmtId="14" fontId="3" fillId="16" borderId="66" xfId="0" applyNumberFormat="1" applyFont="1" applyFill="1" applyBorder="1" applyAlignment="1">
      <alignment horizontal="left"/>
    </xf>
    <xf numFmtId="0" fontId="3" fillId="16" borderId="66" xfId="0" applyFont="1" applyFill="1" applyBorder="1" applyAlignment="1">
      <alignment horizontal="left"/>
    </xf>
    <xf numFmtId="0" fontId="3" fillId="16" borderId="82" xfId="0" applyFont="1" applyFill="1" applyBorder="1" applyAlignment="1">
      <alignment horizontal="left"/>
    </xf>
    <xf numFmtId="0" fontId="3" fillId="16" borderId="66" xfId="0" applyFont="1" applyFill="1" applyBorder="1" applyAlignment="1">
      <alignment horizontal="center"/>
    </xf>
    <xf numFmtId="0" fontId="3" fillId="16" borderId="67" xfId="0" applyFont="1" applyFill="1" applyBorder="1" applyAlignment="1">
      <alignment horizontal="center"/>
    </xf>
    <xf numFmtId="0" fontId="3" fillId="16" borderId="70" xfId="0" applyFont="1" applyFill="1" applyBorder="1" applyAlignment="1">
      <alignment horizontal="center"/>
    </xf>
    <xf numFmtId="14" fontId="3" fillId="16" borderId="66" xfId="0" applyNumberFormat="1" applyFont="1" applyFill="1" applyBorder="1"/>
    <xf numFmtId="0" fontId="3" fillId="16" borderId="67" xfId="0" applyFont="1" applyFill="1" applyBorder="1"/>
    <xf numFmtId="0" fontId="3" fillId="16" borderId="79" xfId="0" applyFont="1" applyFill="1" applyBorder="1"/>
    <xf numFmtId="0" fontId="3" fillId="16" borderId="74" xfId="0" applyFont="1" applyFill="1" applyBorder="1" applyAlignment="1">
      <alignment horizontal="center" vertical="center"/>
    </xf>
    <xf numFmtId="0" fontId="3" fillId="16" borderId="76" xfId="0" applyFont="1" applyFill="1" applyBorder="1" applyAlignment="1">
      <alignment horizontal="center" vertical="center"/>
    </xf>
    <xf numFmtId="0" fontId="3" fillId="16" borderId="73" xfId="0" applyFont="1" applyFill="1" applyBorder="1" applyAlignment="1">
      <alignment horizontal="center" vertical="center"/>
    </xf>
    <xf numFmtId="0" fontId="3" fillId="16" borderId="68" xfId="0" applyFont="1" applyFill="1" applyBorder="1" applyAlignment="1">
      <alignment horizontal="center" vertical="center"/>
    </xf>
    <xf numFmtId="0" fontId="3" fillId="16" borderId="65" xfId="0" applyFont="1" applyFill="1" applyBorder="1" applyAlignment="1">
      <alignment horizontal="center" vertical="center"/>
    </xf>
    <xf numFmtId="0" fontId="3" fillId="16" borderId="71" xfId="0" applyFont="1" applyFill="1" applyBorder="1" applyAlignment="1">
      <alignment horizontal="center" vertical="center"/>
    </xf>
    <xf numFmtId="0" fontId="3" fillId="16" borderId="74" xfId="0" applyFont="1" applyFill="1" applyBorder="1" applyAlignment="1">
      <alignment horizontal="left" vertical="center"/>
    </xf>
    <xf numFmtId="0" fontId="3" fillId="16" borderId="76" xfId="0" applyFont="1" applyFill="1" applyBorder="1" applyAlignment="1">
      <alignment horizontal="left" vertical="center"/>
    </xf>
    <xf numFmtId="0" fontId="3" fillId="16" borderId="88" xfId="0" applyFont="1" applyFill="1" applyBorder="1" applyAlignment="1">
      <alignment horizontal="left" vertical="center"/>
    </xf>
    <xf numFmtId="0" fontId="3" fillId="16" borderId="68" xfId="0" applyFont="1" applyFill="1" applyBorder="1" applyAlignment="1">
      <alignment horizontal="left" vertical="center"/>
    </xf>
    <xf numFmtId="0" fontId="3" fillId="16" borderId="65" xfId="0" applyFont="1" applyFill="1" applyBorder="1" applyAlignment="1">
      <alignment horizontal="left" vertical="center"/>
    </xf>
    <xf numFmtId="0" fontId="3" fillId="16" borderId="89" xfId="0" applyFont="1" applyFill="1" applyBorder="1" applyAlignment="1">
      <alignment horizontal="left" vertical="center"/>
    </xf>
    <xf numFmtId="0" fontId="3" fillId="15" borderId="69" xfId="0" applyFont="1" applyFill="1" applyBorder="1" applyAlignment="1">
      <alignment vertical="center" wrapText="1"/>
    </xf>
    <xf numFmtId="0" fontId="15" fillId="23" borderId="13" xfId="0" applyFont="1" applyFill="1" applyBorder="1" applyAlignment="1">
      <alignment horizontal="center" vertical="center" wrapText="1"/>
    </xf>
    <xf numFmtId="0" fontId="19" fillId="0" borderId="19" xfId="0" applyFont="1" applyBorder="1" applyAlignment="1">
      <alignment horizontal="center" vertical="center" wrapText="1"/>
    </xf>
    <xf numFmtId="0" fontId="19" fillId="0" borderId="24" xfId="0" applyFont="1" applyBorder="1" applyAlignment="1">
      <alignment horizontal="center" vertical="center" wrapText="1"/>
    </xf>
    <xf numFmtId="0" fontId="15" fillId="3" borderId="4" xfId="0" applyFont="1" applyFill="1" applyBorder="1" applyAlignment="1">
      <alignment horizontal="center" vertical="center"/>
    </xf>
    <xf numFmtId="0" fontId="15" fillId="3" borderId="46" xfId="0" applyFont="1" applyFill="1" applyBorder="1" applyAlignment="1">
      <alignment horizontal="center" vertical="center"/>
    </xf>
    <xf numFmtId="0" fontId="15" fillId="3" borderId="47" xfId="0" applyFont="1" applyFill="1" applyBorder="1" applyAlignment="1">
      <alignment horizontal="center" vertical="center"/>
    </xf>
    <xf numFmtId="0" fontId="42" fillId="23" borderId="13" xfId="0" applyFont="1" applyFill="1" applyBorder="1" applyAlignment="1">
      <alignment horizontal="center" vertical="center" wrapText="1"/>
    </xf>
    <xf numFmtId="0" fontId="19" fillId="3" borderId="24" xfId="0" quotePrefix="1" applyFont="1" applyFill="1" applyBorder="1" applyAlignment="1">
      <alignment horizontal="left" vertical="center"/>
    </xf>
    <xf numFmtId="0" fontId="19" fillId="3" borderId="25" xfId="0" quotePrefix="1" applyFont="1" applyFill="1" applyBorder="1" applyAlignment="1">
      <alignment horizontal="left" vertical="center"/>
    </xf>
    <xf numFmtId="0" fontId="19" fillId="3" borderId="19" xfId="0" quotePrefix="1" applyFont="1" applyFill="1" applyBorder="1" applyAlignment="1">
      <alignment horizontal="left" vertical="center"/>
    </xf>
    <xf numFmtId="0" fontId="19" fillId="3" borderId="20" xfId="0" quotePrefix="1" applyFont="1" applyFill="1" applyBorder="1" applyAlignment="1">
      <alignment horizontal="left" vertical="center"/>
    </xf>
    <xf numFmtId="0" fontId="19" fillId="3" borderId="13" xfId="0" applyFont="1" applyFill="1" applyBorder="1" applyAlignment="1">
      <alignment horizontal="center" vertical="center" wrapText="1"/>
    </xf>
    <xf numFmtId="0" fontId="19" fillId="0" borderId="13" xfId="0" applyFont="1" applyBorder="1" applyAlignment="1">
      <alignment horizontal="center" vertical="center" wrapText="1"/>
    </xf>
    <xf numFmtId="0" fontId="19" fillId="3" borderId="13" xfId="0" quotePrefix="1" applyFont="1" applyFill="1" applyBorder="1" applyAlignment="1">
      <alignment horizontal="left" vertical="center"/>
    </xf>
    <xf numFmtId="0" fontId="19" fillId="3" borderId="22" xfId="0" quotePrefix="1" applyFont="1" applyFill="1" applyBorder="1" applyAlignment="1">
      <alignment horizontal="left" vertical="center"/>
    </xf>
    <xf numFmtId="0" fontId="19" fillId="3" borderId="16" xfId="0" quotePrefix="1" applyFont="1" applyFill="1" applyBorder="1" applyAlignment="1">
      <alignment horizontal="left" vertical="center"/>
    </xf>
    <xf numFmtId="0" fontId="19" fillId="3" borderId="17" xfId="0" quotePrefix="1" applyFont="1" applyFill="1" applyBorder="1" applyAlignment="1">
      <alignment horizontal="left" vertical="center"/>
    </xf>
    <xf numFmtId="0" fontId="15" fillId="3" borderId="92" xfId="0" applyFont="1" applyFill="1" applyBorder="1" applyAlignment="1">
      <alignment horizontal="center" vertical="center"/>
    </xf>
    <xf numFmtId="0" fontId="15" fillId="3" borderId="5" xfId="0" applyFont="1" applyFill="1" applyBorder="1" applyAlignment="1">
      <alignment horizontal="center" vertical="center"/>
    </xf>
  </cellXfs>
  <cellStyles count="8">
    <cellStyle name="Activité" xfId="4" xr:uid="{7058CD27-D801-4B6C-A6AD-66B0E01090C6}"/>
    <cellStyle name="En-têtes de période" xfId="7" xr:uid="{40A954BF-C798-4956-8D20-00037C6ACB71}"/>
    <cellStyle name="En-têtes de projet" xfId="6" xr:uid="{B5B7E822-51FF-44D6-8AF1-66E18D4D9505}"/>
    <cellStyle name="Lien hypertexte" xfId="3" builtinId="8"/>
    <cellStyle name="Monétaire" xfId="1" builtinId="4"/>
    <cellStyle name="Normal" xfId="0" builtinId="0"/>
    <cellStyle name="Pourcentage" xfId="2" builtinId="5"/>
    <cellStyle name="Pourcentage accompli" xfId="5" xr:uid="{2A716965-F700-44DB-956E-2C2FAB412F10}"/>
  </cellStyles>
  <dxfs count="1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2"/>
        <color theme="0"/>
        <name val="Georgia"/>
        <family val="1"/>
        <scheme val="none"/>
      </font>
      <numFmt numFmtId="0" formatCode="General"/>
      <fill>
        <patternFill patternType="solid">
          <fgColor indexed="64"/>
          <bgColor theme="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0"/>
        <name val="Georgia"/>
        <family val="1"/>
        <scheme val="none"/>
      </font>
      <fill>
        <patternFill patternType="solid">
          <fgColor indexed="64"/>
          <bgColor theme="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border diagonalUp="0" diagonalDown="0" outline="0">
        <left style="thin">
          <color indexed="64"/>
        </left>
        <right style="thin">
          <color indexed="64"/>
        </right>
        <top style="medium">
          <color indexed="64"/>
        </top>
        <bottom style="thin">
          <color indexed="64"/>
        </bottom>
      </border>
    </dxf>
    <dxf>
      <font>
        <b/>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top style="medium">
          <color indexed="64"/>
        </top>
        <bottom style="medium">
          <color indexed="64"/>
        </bottom>
      </border>
    </dxf>
    <dxf>
      <font>
        <b val="0"/>
        <i val="0"/>
        <strike val="0"/>
        <condense val="0"/>
        <extend val="0"/>
        <outline val="0"/>
        <shadow val="0"/>
        <u val="none"/>
        <vertAlign val="baseline"/>
        <sz val="12"/>
        <color rgb="FF000000"/>
        <name val="Georgia"/>
        <family val="1"/>
        <scheme val="none"/>
      </font>
      <fill>
        <patternFill patternType="solid">
          <fgColor indexed="64"/>
          <bgColor theme="6"/>
        </patternFill>
      </fill>
      <alignment horizontal="center" vertical="center" textRotation="0" wrapText="1" indent="0" justifyLastLine="0" shrinkToFit="0" readingOrder="0"/>
    </dxf>
    <dxf>
      <font>
        <b/>
        <i val="0"/>
        <strike val="0"/>
        <condense val="0"/>
        <extend val="0"/>
        <outline val="0"/>
        <shadow val="0"/>
        <u val="none"/>
        <vertAlign val="baseline"/>
        <sz val="12"/>
        <color rgb="FFFFFFFF"/>
        <name val="Georgia"/>
        <family val="1"/>
        <scheme val="none"/>
      </font>
      <fill>
        <patternFill patternType="solid">
          <fgColor rgb="FF000000"/>
          <bgColor theme="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A4335"/>
      <color rgb="FF34A853"/>
      <color rgb="FFC0C0C0"/>
      <color rgb="FF4285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Charges Totales par Rôles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fr-FR"/>
        </a:p>
      </c:txPr>
    </c:title>
    <c:autoTitleDeleted val="0"/>
    <c:plotArea>
      <c:layout>
        <c:manualLayout>
          <c:layoutTarget val="inner"/>
          <c:xMode val="edge"/>
          <c:yMode val="edge"/>
          <c:x val="0.1264714305718517"/>
          <c:y val="0.18831010064626796"/>
          <c:w val="0.41804193155238673"/>
          <c:h val="0.73798650388231279"/>
        </c:manualLayout>
      </c:layout>
      <c:pieChart>
        <c:varyColors val="1"/>
        <c:ser>
          <c:idx val="0"/>
          <c:order val="0"/>
          <c:tx>
            <c:strRef>
              <c:f>'III. Chiffrage &amp; Rentabilité'!$C$47</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0">
                <a:solidFill>
                  <a:schemeClr val="lt1"/>
                </a:solidFill>
              </a:ln>
              <a:effectLst/>
            </c:spPr>
            <c:extLst>
              <c:ext xmlns:c16="http://schemas.microsoft.com/office/drawing/2014/chart" uri="{C3380CC4-5D6E-409C-BE32-E72D297353CC}">
                <c16:uniqueId val="{00000001-3CA2-4BCB-8E02-2E7C623EC5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4-3CA2-4BCB-8E02-2E7C623EC5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3-3CA2-4BCB-8E02-2E7C623EC5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2-3CA2-4BCB-8E02-2E7C623EC5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8-7EC9-4174-BD6E-DC94AD559692}"/>
              </c:ext>
            </c:extLst>
          </c:dPt>
          <c:dLbls>
            <c:dLbl>
              <c:idx val="0"/>
              <c:layout>
                <c:manualLayout>
                  <c:x val="-6.843927887569827E-2"/>
                  <c:y val="0.1607308042741917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A2-4BCB-8E02-2E7C623EC595}"/>
                </c:ext>
              </c:extLst>
            </c:dLbl>
            <c:dLbl>
              <c:idx val="1"/>
              <c:layout>
                <c:manualLayout>
                  <c:x val="-6.6208025670930648E-2"/>
                  <c:y val="-0.1570186684842879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A2-4BCB-8E02-2E7C623EC595}"/>
                </c:ext>
              </c:extLst>
            </c:dLbl>
            <c:dLbl>
              <c:idx val="2"/>
              <c:layout>
                <c:manualLayout>
                  <c:x val="5.2970038708787436E-2"/>
                  <c:y val="-0.1361662566972618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A2-4BCB-8E02-2E7C623EC595}"/>
                </c:ext>
              </c:extLst>
            </c:dLbl>
            <c:dLbl>
              <c:idx val="3"/>
              <c:layout>
                <c:manualLayout>
                  <c:x val="6.3959582884855051E-2"/>
                  <c:y val="0.1601658888453546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A2-4BCB-8E02-2E7C623EC595}"/>
                </c:ext>
              </c:extLst>
            </c:dLbl>
            <c:dLbl>
              <c:idx val="4"/>
              <c:layout>
                <c:manualLayout>
                  <c:x val="5.6696271613335979E-2"/>
                  <c:y val="0.1564739285062545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C9-4174-BD6E-DC94AD559692}"/>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'III. Chiffrage &amp; Rentabilité'!$B$48:$B$51</c:f>
              <c:strCache>
                <c:ptCount val="4"/>
                <c:pt idx="0">
                  <c:v>Développeur Front-End</c:v>
                </c:pt>
                <c:pt idx="1">
                  <c:v>Développeur Back-End</c:v>
                </c:pt>
                <c:pt idx="2">
                  <c:v>Data Scientist</c:v>
                </c:pt>
                <c:pt idx="3">
                  <c:v>Chef De Projet</c:v>
                </c:pt>
              </c:strCache>
            </c:strRef>
          </c:cat>
          <c:val>
            <c:numRef>
              <c:f>'III. Chiffrage &amp; Rentabilité'!$C$48:$C$51</c:f>
              <c:numCache>
                <c:formatCode>0%</c:formatCode>
                <c:ptCount val="4"/>
                <c:pt idx="0">
                  <c:v>0.2756183745583039</c:v>
                </c:pt>
                <c:pt idx="1">
                  <c:v>0.2756183745583039</c:v>
                </c:pt>
                <c:pt idx="2">
                  <c:v>0.22614840989399293</c:v>
                </c:pt>
                <c:pt idx="3">
                  <c:v>0.22261484098939929</c:v>
                </c:pt>
              </c:numCache>
            </c:numRef>
          </c:val>
          <c:extLst>
            <c:ext xmlns:c16="http://schemas.microsoft.com/office/drawing/2014/chart" uri="{C3380CC4-5D6E-409C-BE32-E72D297353CC}">
              <c16:uniqueId val="{00000000-3CA2-4BCB-8E02-2E7C623EC59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fr-FR" b="1"/>
              <a:t>Triangle QCD pour le profil Senior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fr-FR"/>
        </a:p>
      </c:txPr>
    </c:title>
    <c:autoTitleDeleted val="0"/>
    <c:plotArea>
      <c:layout/>
      <c:radarChart>
        <c:radarStyle val="fill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'III. Chiffrage &amp; Rentabilité'!$G$119:$G$121</c:f>
              <c:strCache>
                <c:ptCount val="3"/>
                <c:pt idx="0">
                  <c:v>Qualité</c:v>
                </c:pt>
                <c:pt idx="1">
                  <c:v>Délais</c:v>
                </c:pt>
                <c:pt idx="2">
                  <c:v>Coûts</c:v>
                </c:pt>
              </c:strCache>
            </c:strRef>
          </c:cat>
          <c:val>
            <c:numRef>
              <c:f>'III. Chiffrage &amp; Rentabilité'!$H$119:$H$121</c:f>
              <c:numCache>
                <c:formatCode>General</c:formatCode>
                <c:ptCount val="3"/>
                <c:pt idx="0">
                  <c:v>80</c:v>
                </c:pt>
                <c:pt idx="1">
                  <c:v>80</c:v>
                </c:pt>
                <c:pt idx="2">
                  <c:v>20</c:v>
                </c:pt>
              </c:numCache>
            </c:numRef>
          </c:val>
          <c:extLst>
            <c:ext xmlns:c16="http://schemas.microsoft.com/office/drawing/2014/chart" uri="{C3380CC4-5D6E-409C-BE32-E72D297353CC}">
              <c16:uniqueId val="{00000000-9D41-4B5C-B8B4-C1B3357C5B7D}"/>
            </c:ext>
          </c:extLst>
        </c:ser>
        <c:dLbls>
          <c:showLegendKey val="0"/>
          <c:showVal val="0"/>
          <c:showCatName val="0"/>
          <c:showSerName val="0"/>
          <c:showPercent val="0"/>
          <c:showBubbleSize val="0"/>
        </c:dLbls>
        <c:axId val="617424352"/>
        <c:axId val="617422944"/>
      </c:radarChart>
      <c:catAx>
        <c:axId val="6174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2944"/>
        <c:crosses val="autoZero"/>
        <c:auto val="1"/>
        <c:lblAlgn val="ctr"/>
        <c:lblOffset val="100"/>
        <c:noMultiLvlLbl val="0"/>
      </c:catAx>
      <c:valAx>
        <c:axId val="61742294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fr-FR" b="1"/>
              <a:t>ROI année par année et</a:t>
            </a:r>
            <a:r>
              <a:rPr lang="fr-FR" b="1" baseline="0"/>
              <a:t> par scénario (pour des machines NC6)</a:t>
            </a:r>
            <a:endParaRPr lang="fr-FR"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'III. Chiffrage &amp; Rentabilité'!$C$417</c:f>
              <c:strCache>
                <c:ptCount val="1"/>
                <c:pt idx="0">
                  <c:v>ROI Junior NC6</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Rentabilité'!$C$418:$C$428</c:f>
              <c:numCache>
                <c:formatCode>0.00</c:formatCode>
                <c:ptCount val="11"/>
                <c:pt idx="0">
                  <c:v>0.15629229318593518</c:v>
                </c:pt>
                <c:pt idx="1">
                  <c:v>0.42848043588077911</c:v>
                </c:pt>
                <c:pt idx="2">
                  <c:v>0.68988549529192267</c:v>
                </c:pt>
                <c:pt idx="3">
                  <c:v>0.8992814982011168</c:v>
                </c:pt>
                <c:pt idx="4">
                  <c:v>1.0213108864610454</c:v>
                </c:pt>
                <c:pt idx="5">
                  <c:v>1.1000555112400594</c:v>
                </c:pt>
                <c:pt idx="6">
                  <c:v>1.1607160027457153</c:v>
                </c:pt>
                <c:pt idx="7">
                  <c:v>1.2025211466652752</c:v>
                </c:pt>
                <c:pt idx="8">
                  <c:v>1.2374429852136757</c:v>
                </c:pt>
                <c:pt idx="9">
                  <c:v>1.2626736694138683</c:v>
                </c:pt>
                <c:pt idx="10">
                  <c:v>1.2814301436662305</c:v>
                </c:pt>
              </c:numCache>
            </c:numRef>
          </c:yVal>
          <c:smooth val="0"/>
          <c:extLst>
            <c:ext xmlns:c16="http://schemas.microsoft.com/office/drawing/2014/chart" uri="{C3380CC4-5D6E-409C-BE32-E72D297353CC}">
              <c16:uniqueId val="{00000000-0EB2-44BB-B563-C01791519BC7}"/>
            </c:ext>
          </c:extLst>
        </c:ser>
        <c:ser>
          <c:idx val="2"/>
          <c:order val="2"/>
          <c:tx>
            <c:strRef>
              <c:f>'III. Chiffrage &amp; Rentabilité'!$E$417</c:f>
              <c:strCache>
                <c:ptCount val="1"/>
                <c:pt idx="0">
                  <c:v>ROI Senior NC6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Rentabilité'!$E$418:$E$428</c:f>
              <c:numCache>
                <c:formatCode>0.00</c:formatCode>
                <c:ptCount val="11"/>
                <c:pt idx="0">
                  <c:v>0.11591717245853672</c:v>
                </c:pt>
                <c:pt idx="1">
                  <c:v>0.33713685055185577</c:v>
                </c:pt>
                <c:pt idx="2">
                  <c:v>0.57726506996594285</c:v>
                </c:pt>
                <c:pt idx="3">
                  <c:v>0.78855277404218671</c:v>
                </c:pt>
                <c:pt idx="4">
                  <c:v>0.92231665608451652</c:v>
                </c:pt>
                <c:pt idx="5">
                  <c:v>1.0138742568571588</c:v>
                </c:pt>
                <c:pt idx="6">
                  <c:v>1.0849341052881025</c:v>
                </c:pt>
                <c:pt idx="7">
                  <c:v>1.1358543284210554</c:v>
                </c:pt>
                <c:pt idx="8">
                  <c:v>1.1779941574056609</c:v>
                </c:pt>
                <c:pt idx="9">
                  <c:v>1.2094289959585574</c:v>
                </c:pt>
                <c:pt idx="10">
                  <c:v>1.2334633895586429</c:v>
                </c:pt>
              </c:numCache>
            </c:numRef>
          </c:yVal>
          <c:smooth val="0"/>
          <c:extLst>
            <c:ext xmlns:c16="http://schemas.microsoft.com/office/drawing/2014/chart" uri="{C3380CC4-5D6E-409C-BE32-E72D297353CC}">
              <c16:uniqueId val="{00000002-0EB2-44BB-B563-C01791519BC7}"/>
            </c:ext>
          </c:extLst>
        </c:ser>
        <c:ser>
          <c:idx val="4"/>
          <c:order val="4"/>
          <c:tx>
            <c:strRef>
              <c:f>'III. Chiffrage &amp; Rentabilité'!$G$417</c:f>
              <c:strCache>
                <c:ptCount val="1"/>
                <c:pt idx="0">
                  <c:v>ROI Expert NC6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Rentabilité'!$G$418:$G$428</c:f>
              <c:numCache>
                <c:formatCode>0.00</c:formatCode>
                <c:ptCount val="11"/>
                <c:pt idx="0">
                  <c:v>9.0611817585994625E-2</c:v>
                </c:pt>
                <c:pt idx="1">
                  <c:v>0.27399219860554663</c:v>
                </c:pt>
                <c:pt idx="2">
                  <c:v>0.49067206651254552</c:v>
                </c:pt>
                <c:pt idx="3">
                  <c:v>0.69591800371774426</c:v>
                </c:pt>
                <c:pt idx="4">
                  <c:v>0.83483738951036257</c:v>
                </c:pt>
                <c:pt idx="5">
                  <c:v>0.93471045724561874</c:v>
                </c:pt>
                <c:pt idx="6">
                  <c:v>1.013406373430692</c:v>
                </c:pt>
                <c:pt idx="7">
                  <c:v>1.0716281001288464</c:v>
                </c:pt>
                <c:pt idx="8">
                  <c:v>1.1198343191359861</c:v>
                </c:pt>
                <c:pt idx="9">
                  <c:v>1.1566991178356869</c:v>
                </c:pt>
                <c:pt idx="10">
                  <c:v>1.1854906152527303</c:v>
                </c:pt>
              </c:numCache>
            </c:numRef>
          </c:yVal>
          <c:smooth val="0"/>
          <c:extLst>
            <c:ext xmlns:c16="http://schemas.microsoft.com/office/drawing/2014/chart" uri="{C3380CC4-5D6E-409C-BE32-E72D297353CC}">
              <c16:uniqueId val="{00000004-0EB2-44BB-B563-C01791519BC7}"/>
            </c:ext>
          </c:extLst>
        </c:ser>
        <c:dLbls>
          <c:showLegendKey val="0"/>
          <c:showVal val="0"/>
          <c:showCatName val="0"/>
          <c:showSerName val="0"/>
          <c:showPercent val="0"/>
          <c:showBubbleSize val="0"/>
        </c:dLbls>
        <c:axId val="617402528"/>
        <c:axId val="617400416"/>
        <c:extLst>
          <c:ext xmlns:c15="http://schemas.microsoft.com/office/drawing/2012/chart" uri="{02D57815-91ED-43cb-92C2-25804820EDAC}">
            <c15:filteredScatterSeries>
              <c15:ser>
                <c:idx val="1"/>
                <c:order val="1"/>
                <c:tx>
                  <c:strRef>
                    <c:extLst>
                      <c:ext uri="{02D57815-91ED-43cb-92C2-25804820EDAC}">
                        <c15:formulaRef>
                          <c15:sqref>'III. Chiffrage &amp; Rentabilité'!$D$417</c15:sqref>
                        </c15:formulaRef>
                      </c:ext>
                    </c:extLst>
                    <c:strCache>
                      <c:ptCount val="1"/>
                      <c:pt idx="0">
                        <c:v>ROI Junior NC12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'III. Chiffrage &amp; Rentabilité'!$B$418:$B$428</c15:sqref>
                        </c15:formulaRef>
                      </c:ext>
                    </c:extLst>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extLst>
                      <c:ext uri="{02D57815-91ED-43cb-92C2-25804820EDAC}">
                        <c15:formulaRef>
                          <c15:sqref>'III. Chiffrage &amp; Rentabilité'!$D$418:$D$428</c15:sqref>
                        </c15:formulaRef>
                      </c:ext>
                    </c:extLst>
                    <c:numCache>
                      <c:formatCode>0.00</c:formatCode>
                      <c:ptCount val="11"/>
                      <c:pt idx="0">
                        <c:v>0.15772938517404081</c:v>
                      </c:pt>
                      <c:pt idx="1">
                        <c:v>0.43105045059820107</c:v>
                      </c:pt>
                      <c:pt idx="2">
                        <c:v>0.69227544130126761</c:v>
                      </c:pt>
                      <c:pt idx="3">
                        <c:v>0.88617945028574718</c:v>
                      </c:pt>
                      <c:pt idx="4">
                        <c:v>1.0105044819358702</c:v>
                      </c:pt>
                      <c:pt idx="5">
                        <c:v>1.0911837874223371</c:v>
                      </c:pt>
                      <c:pt idx="6">
                        <c:v>1.1458876897179717</c:v>
                      </c:pt>
                      <c:pt idx="7">
                        <c:v>1.1842185506194067</c:v>
                      </c:pt>
                      <c:pt idx="8">
                        <c:v>1.2219443909894789</c:v>
                      </c:pt>
                      <c:pt idx="9">
                        <c:v>1.2493978718780145</c:v>
                      </c:pt>
                      <c:pt idx="10">
                        <c:v>1.2699198289097489</c:v>
                      </c:pt>
                    </c:numCache>
                  </c:numRef>
                </c:yVal>
                <c:smooth val="0"/>
                <c:extLst>
                  <c:ext xmlns:c16="http://schemas.microsoft.com/office/drawing/2014/chart" uri="{C3380CC4-5D6E-409C-BE32-E72D297353CC}">
                    <c16:uniqueId val="{00000001-0EB2-44BB-B563-C01791519BC7}"/>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'III. Chiffrage &amp; Rentabilité'!$F$417</c15:sqref>
                        </c15:formulaRef>
                      </c:ext>
                    </c:extLst>
                    <c:strCache>
                      <c:ptCount val="1"/>
                      <c:pt idx="0">
                        <c:v>ROI Senior NC12</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'III. Chiffrage &amp; Rentabilité'!$B$418:$B$428</c15:sqref>
                        </c15:formulaRef>
                      </c:ext>
                    </c:extLst>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extLst xmlns:c15="http://schemas.microsoft.com/office/drawing/2012/chart">
                      <c:ext xmlns:c15="http://schemas.microsoft.com/office/drawing/2012/chart" uri="{02D57815-91ED-43cb-92C2-25804820EDAC}">
                        <c15:formulaRef>
                          <c15:sqref>'III. Chiffrage &amp; Rentabilité'!$F$418:$F$428</c15:sqref>
                        </c15:formulaRef>
                      </c:ext>
                    </c:extLst>
                    <c:numCache>
                      <c:formatCode>0.00</c:formatCode>
                      <c:ptCount val="11"/>
                      <c:pt idx="0">
                        <c:v>0.1167058048874032</c:v>
                      </c:pt>
                      <c:pt idx="1">
                        <c:v>0.33872587694618589</c:v>
                      </c:pt>
                      <c:pt idx="2">
                        <c:v>0.57893746583407812</c:v>
                      </c:pt>
                      <c:pt idx="3">
                        <c:v>0.77846049632620529</c:v>
                      </c:pt>
                      <c:pt idx="4">
                        <c:v>0.91349457510940946</c:v>
                      </c:pt>
                      <c:pt idx="5">
                        <c:v>1.0063333863191006</c:v>
                      </c:pt>
                      <c:pt idx="6">
                        <c:v>1.071968018924454</c:v>
                      </c:pt>
                      <c:pt idx="7">
                        <c:v>1.1195110516727105</c:v>
                      </c:pt>
                      <c:pt idx="8">
                        <c:v>1.1639404929077926</c:v>
                      </c:pt>
                      <c:pt idx="9">
                        <c:v>1.1972438224986963</c:v>
                      </c:pt>
                      <c:pt idx="10">
                        <c:v>1.2227950727700725</c:v>
                      </c:pt>
                    </c:numCache>
                  </c:numRef>
                </c:yVal>
                <c:smooth val="0"/>
                <c:extLst xmlns:c15="http://schemas.microsoft.com/office/drawing/2012/chart">
                  <c:ext xmlns:c16="http://schemas.microsoft.com/office/drawing/2014/chart" uri="{C3380CC4-5D6E-409C-BE32-E72D297353CC}">
                    <c16:uniqueId val="{00000003-0EB2-44BB-B563-C01791519BC7}"/>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'III. Chiffrage &amp; Rentabilité'!$H$417</c15:sqref>
                        </c15:formulaRef>
                      </c:ext>
                    </c:extLst>
                    <c:strCache>
                      <c:ptCount val="1"/>
                      <c:pt idx="0">
                        <c:v>ROI Expert NC12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'III. Chiffrage &amp; Rentabilité'!$B$418:$B$428</c15:sqref>
                        </c15:formulaRef>
                      </c:ext>
                    </c:extLst>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extLst xmlns:c15="http://schemas.microsoft.com/office/drawing/2012/chart">
                      <c:ext xmlns:c15="http://schemas.microsoft.com/office/drawing/2012/chart" uri="{02D57815-91ED-43cb-92C2-25804820EDAC}">
                        <c15:formulaRef>
                          <c15:sqref>'III. Chiffrage &amp; Rentabilité'!$H$418:$H$428</c15:sqref>
                        </c15:formulaRef>
                      </c:ext>
                    </c:extLst>
                    <c:numCache>
                      <c:formatCode>0.00</c:formatCode>
                      <c:ptCount val="11"/>
                      <c:pt idx="0">
                        <c:v>9.1092993868158334E-2</c:v>
                      </c:pt>
                      <c:pt idx="1">
                        <c:v>0.27504080339025905</c:v>
                      </c:pt>
                      <c:pt idx="2">
                        <c:v>0.49187983168300115</c:v>
                      </c:pt>
                      <c:pt idx="3">
                        <c:v>0.68804578304620001</c:v>
                      </c:pt>
                      <c:pt idx="4">
                        <c:v>0.82760288316541974</c:v>
                      </c:pt>
                      <c:pt idx="5">
                        <c:v>0.92829747880310776</c:v>
                      </c:pt>
                      <c:pt idx="6">
                        <c:v>1.0020846701366652</c:v>
                      </c:pt>
                      <c:pt idx="7">
                        <c:v>1.0570689666249753</c:v>
                      </c:pt>
                      <c:pt idx="8">
                        <c:v>1.107126625502151</c:v>
                      </c:pt>
                      <c:pt idx="9">
                        <c:v>1.1455484062149963</c:v>
                      </c:pt>
                      <c:pt idx="10">
                        <c:v>1.1756326852124395</c:v>
                      </c:pt>
                    </c:numCache>
                  </c:numRef>
                </c:yVal>
                <c:smooth val="0"/>
                <c:extLst xmlns:c15="http://schemas.microsoft.com/office/drawing/2012/chart">
                  <c:ext xmlns:c16="http://schemas.microsoft.com/office/drawing/2014/chart" uri="{C3380CC4-5D6E-409C-BE32-E72D297353CC}">
                    <c16:uniqueId val="{00000005-0EB2-44BB-B563-C01791519BC7}"/>
                  </c:ext>
                </c:extLst>
              </c15:ser>
            </c15:filteredScatterSeries>
          </c:ext>
        </c:extLst>
      </c:scatterChart>
      <c:valAx>
        <c:axId val="617402528"/>
        <c:scaling>
          <c:orientation val="minMax"/>
          <c:max val="2035"/>
          <c:min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1"/>
                  <a:t>Années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400416"/>
        <c:crosses val="autoZero"/>
        <c:crossBetween val="midCat"/>
      </c:valAx>
      <c:valAx>
        <c:axId val="61740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1"/>
                  <a:t>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402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r>
              <a:rPr lang="fr-FR"/>
              <a:t>Burndown Chart - Le "Reste à faire"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endParaRPr lang="fr-FR"/>
        </a:p>
      </c:txPr>
    </c:title>
    <c:autoTitleDeleted val="0"/>
    <c:plotArea>
      <c:layout/>
      <c:lineChart>
        <c:grouping val="standard"/>
        <c:varyColors val="0"/>
        <c:ser>
          <c:idx val="0"/>
          <c:order val="0"/>
          <c:tx>
            <c:strRef>
              <c:f>'IV. Planification des Sprints'!$D$246</c:f>
              <c:strCache>
                <c:ptCount val="1"/>
                <c:pt idx="0">
                  <c:v>Reste à faire</c:v>
                </c:pt>
              </c:strCache>
            </c:strRef>
          </c:tx>
          <c:spPr>
            <a:ln w="28575" cap="rnd">
              <a:solidFill>
                <a:schemeClr val="accent1"/>
              </a:solidFill>
              <a:round/>
            </a:ln>
            <a:effectLst/>
          </c:spPr>
          <c:marker>
            <c:symbol val="none"/>
          </c:marker>
          <c:cat>
            <c:numRef>
              <c:f>'IV. Planification des Sprints'!$B$247:$B$266</c:f>
              <c:numCache>
                <c:formatCode>mmm\-yy</c:formatCode>
                <c:ptCount val="20"/>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pt idx="14">
                  <c:v>46082</c:v>
                </c:pt>
                <c:pt idx="15">
                  <c:v>46113</c:v>
                </c:pt>
                <c:pt idx="16">
                  <c:v>46143</c:v>
                </c:pt>
                <c:pt idx="17">
                  <c:v>46174</c:v>
                </c:pt>
                <c:pt idx="18">
                  <c:v>46204</c:v>
                </c:pt>
                <c:pt idx="19">
                  <c:v>46235</c:v>
                </c:pt>
              </c:numCache>
            </c:numRef>
          </c:cat>
          <c:val>
            <c:numRef>
              <c:f>'IV. Planification des Sprints'!$D$247:$D$266</c:f>
              <c:numCache>
                <c:formatCode>0</c:formatCode>
                <c:ptCount val="20"/>
                <c:pt idx="0">
                  <c:v>568</c:v>
                </c:pt>
                <c:pt idx="1">
                  <c:v>555</c:v>
                </c:pt>
                <c:pt idx="2">
                  <c:v>555</c:v>
                </c:pt>
                <c:pt idx="3">
                  <c:v>505</c:v>
                </c:pt>
                <c:pt idx="4">
                  <c:v>505</c:v>
                </c:pt>
                <c:pt idx="5">
                  <c:v>455</c:v>
                </c:pt>
                <c:pt idx="6">
                  <c:v>455</c:v>
                </c:pt>
                <c:pt idx="7">
                  <c:v>355</c:v>
                </c:pt>
                <c:pt idx="8">
                  <c:v>342</c:v>
                </c:pt>
                <c:pt idx="9">
                  <c:v>342</c:v>
                </c:pt>
                <c:pt idx="10">
                  <c:v>296</c:v>
                </c:pt>
                <c:pt idx="11">
                  <c:v>283</c:v>
                </c:pt>
                <c:pt idx="12">
                  <c:v>283</c:v>
                </c:pt>
                <c:pt idx="13">
                  <c:v>233</c:v>
                </c:pt>
                <c:pt idx="14">
                  <c:v>170</c:v>
                </c:pt>
                <c:pt idx="15">
                  <c:v>131</c:v>
                </c:pt>
                <c:pt idx="16">
                  <c:v>105</c:v>
                </c:pt>
                <c:pt idx="17">
                  <c:v>79</c:v>
                </c:pt>
                <c:pt idx="18">
                  <c:v>26</c:v>
                </c:pt>
                <c:pt idx="19">
                  <c:v>0</c:v>
                </c:pt>
              </c:numCache>
            </c:numRef>
          </c:val>
          <c:smooth val="0"/>
          <c:extLst>
            <c:ext xmlns:c16="http://schemas.microsoft.com/office/drawing/2014/chart" uri="{C3380CC4-5D6E-409C-BE32-E72D297353CC}">
              <c16:uniqueId val="{00000000-1677-4BDA-B7BE-E9911DB24B68}"/>
            </c:ext>
          </c:extLst>
        </c:ser>
        <c:ser>
          <c:idx val="1"/>
          <c:order val="1"/>
          <c:tx>
            <c:strRef>
              <c:f>'IV. Planification des Sprints'!$E$246</c:f>
              <c:strCache>
                <c:ptCount val="1"/>
                <c:pt idx="0">
                  <c:v>Journées idéales</c:v>
                </c:pt>
              </c:strCache>
            </c:strRef>
          </c:tx>
          <c:spPr>
            <a:ln w="28575" cap="rnd">
              <a:solidFill>
                <a:schemeClr val="accent2"/>
              </a:solidFill>
              <a:round/>
            </a:ln>
            <a:effectLst/>
          </c:spPr>
          <c:marker>
            <c:symbol val="none"/>
          </c:marker>
          <c:cat>
            <c:numRef>
              <c:f>'IV. Planification des Sprints'!$B$247:$B$266</c:f>
              <c:numCache>
                <c:formatCode>mmm\-yy</c:formatCode>
                <c:ptCount val="20"/>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pt idx="14">
                  <c:v>46082</c:v>
                </c:pt>
                <c:pt idx="15">
                  <c:v>46113</c:v>
                </c:pt>
                <c:pt idx="16">
                  <c:v>46143</c:v>
                </c:pt>
                <c:pt idx="17">
                  <c:v>46174</c:v>
                </c:pt>
                <c:pt idx="18">
                  <c:v>46204</c:v>
                </c:pt>
                <c:pt idx="19">
                  <c:v>46235</c:v>
                </c:pt>
              </c:numCache>
            </c:numRef>
          </c:cat>
          <c:val>
            <c:numRef>
              <c:f>'IV. Planification des Sprints'!$E$247:$E$266</c:f>
              <c:numCache>
                <c:formatCode>0</c:formatCode>
                <c:ptCount val="20"/>
                <c:pt idx="0">
                  <c:v>551.95000000000005</c:v>
                </c:pt>
                <c:pt idx="1">
                  <c:v>522.90000000000009</c:v>
                </c:pt>
                <c:pt idx="2">
                  <c:v>493.85000000000008</c:v>
                </c:pt>
                <c:pt idx="3">
                  <c:v>464.80000000000007</c:v>
                </c:pt>
                <c:pt idx="4">
                  <c:v>435.75000000000006</c:v>
                </c:pt>
                <c:pt idx="5">
                  <c:v>406.70000000000005</c:v>
                </c:pt>
                <c:pt idx="6">
                  <c:v>377.65000000000003</c:v>
                </c:pt>
                <c:pt idx="7">
                  <c:v>348.6</c:v>
                </c:pt>
                <c:pt idx="8">
                  <c:v>319.55</c:v>
                </c:pt>
                <c:pt idx="9">
                  <c:v>290.5</c:v>
                </c:pt>
                <c:pt idx="10">
                  <c:v>261.45</c:v>
                </c:pt>
                <c:pt idx="11">
                  <c:v>232.39999999999998</c:v>
                </c:pt>
                <c:pt idx="12">
                  <c:v>203.34999999999997</c:v>
                </c:pt>
                <c:pt idx="13">
                  <c:v>174.29999999999995</c:v>
                </c:pt>
                <c:pt idx="14">
                  <c:v>145.24999999999994</c:v>
                </c:pt>
                <c:pt idx="15">
                  <c:v>116.19999999999995</c:v>
                </c:pt>
                <c:pt idx="16">
                  <c:v>87.149999999999949</c:v>
                </c:pt>
                <c:pt idx="17">
                  <c:v>58.099999999999952</c:v>
                </c:pt>
                <c:pt idx="18">
                  <c:v>29.049999999999951</c:v>
                </c:pt>
                <c:pt idx="19">
                  <c:v>-4.9737991503207013E-14</c:v>
                </c:pt>
              </c:numCache>
            </c:numRef>
          </c:val>
          <c:smooth val="0"/>
          <c:extLst>
            <c:ext xmlns:c16="http://schemas.microsoft.com/office/drawing/2014/chart" uri="{C3380CC4-5D6E-409C-BE32-E72D297353CC}">
              <c16:uniqueId val="{00000001-1677-4BDA-B7BE-E9911DB24B68}"/>
            </c:ext>
          </c:extLst>
        </c:ser>
        <c:dLbls>
          <c:showLegendKey val="0"/>
          <c:showVal val="0"/>
          <c:showCatName val="0"/>
          <c:showSerName val="0"/>
          <c:showPercent val="0"/>
          <c:showBubbleSize val="0"/>
        </c:dLbls>
        <c:smooth val="0"/>
        <c:axId val="690673096"/>
        <c:axId val="559754296"/>
      </c:lineChart>
      <c:dateAx>
        <c:axId val="69067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r>
                  <a:rPr lang="fr-FR"/>
                  <a:t>Temps du projet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559754296"/>
        <c:crosses val="autoZero"/>
        <c:auto val="1"/>
        <c:lblOffset val="100"/>
        <c:baseTimeUnit val="months"/>
      </c:dateAx>
      <c:valAx>
        <c:axId val="559754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r>
                  <a:rPr lang="fr-FR"/>
                  <a:t>Quantité de travail (en story points)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0673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Georgia" panose="02040502050405020303" pitchFamily="18" charset="0"/>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r>
              <a:rPr lang="en-US"/>
              <a:t>Story Points par Sprint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Georgia" panose="02040502050405020303" pitchFamily="18" charset="0"/>
              <a:ea typeface="+mn-ea"/>
              <a:cs typeface="+mn-cs"/>
            </a:defRPr>
          </a:pPr>
          <a:endParaRPr lang="fr-FR"/>
        </a:p>
      </c:txPr>
    </c:title>
    <c:autoTitleDeleted val="0"/>
    <c:plotArea>
      <c:layout/>
      <c:barChart>
        <c:barDir val="col"/>
        <c:grouping val="clustered"/>
        <c:varyColors val="0"/>
        <c:ser>
          <c:idx val="0"/>
          <c:order val="0"/>
          <c:tx>
            <c:strRef>
              <c:f>'IV. Planification des Sprints'!$C$246</c:f>
              <c:strCache>
                <c:ptCount val="1"/>
                <c:pt idx="0">
                  <c:v>Story Points</c:v>
                </c:pt>
              </c:strCache>
            </c:strRef>
          </c:tx>
          <c:spPr>
            <a:solidFill>
              <a:schemeClr val="accent1"/>
            </a:solidFill>
            <a:ln>
              <a:noFill/>
            </a:ln>
            <a:effectLst/>
          </c:spPr>
          <c:invertIfNegative val="0"/>
          <c:cat>
            <c:numRef>
              <c:f>'IV. Planification des Sprints'!$B$247:$B$266</c:f>
              <c:numCache>
                <c:formatCode>mmm\-yy</c:formatCode>
                <c:ptCount val="20"/>
                <c:pt idx="0">
                  <c:v>45658</c:v>
                </c:pt>
                <c:pt idx="1">
                  <c:v>45689</c:v>
                </c:pt>
                <c:pt idx="2">
                  <c:v>45717</c:v>
                </c:pt>
                <c:pt idx="3">
                  <c:v>45748</c:v>
                </c:pt>
                <c:pt idx="4">
                  <c:v>45778</c:v>
                </c:pt>
                <c:pt idx="5">
                  <c:v>45809</c:v>
                </c:pt>
                <c:pt idx="6">
                  <c:v>45839</c:v>
                </c:pt>
                <c:pt idx="7">
                  <c:v>45870</c:v>
                </c:pt>
                <c:pt idx="8">
                  <c:v>45901</c:v>
                </c:pt>
                <c:pt idx="9">
                  <c:v>45931</c:v>
                </c:pt>
                <c:pt idx="10">
                  <c:v>45962</c:v>
                </c:pt>
                <c:pt idx="11">
                  <c:v>45992</c:v>
                </c:pt>
                <c:pt idx="12">
                  <c:v>46023</c:v>
                </c:pt>
                <c:pt idx="13">
                  <c:v>46054</c:v>
                </c:pt>
                <c:pt idx="14">
                  <c:v>46082</c:v>
                </c:pt>
                <c:pt idx="15">
                  <c:v>46113</c:v>
                </c:pt>
                <c:pt idx="16">
                  <c:v>46143</c:v>
                </c:pt>
                <c:pt idx="17">
                  <c:v>46174</c:v>
                </c:pt>
                <c:pt idx="18">
                  <c:v>46204</c:v>
                </c:pt>
                <c:pt idx="19">
                  <c:v>46235</c:v>
                </c:pt>
              </c:numCache>
            </c:numRef>
          </c:cat>
          <c:val>
            <c:numRef>
              <c:f>'IV. Planification des Sprints'!$C$247:$C$266</c:f>
              <c:numCache>
                <c:formatCode>General</c:formatCode>
                <c:ptCount val="20"/>
                <c:pt idx="0">
                  <c:v>13</c:v>
                </c:pt>
                <c:pt idx="1">
                  <c:v>13</c:v>
                </c:pt>
                <c:pt idx="2">
                  <c:v>0</c:v>
                </c:pt>
                <c:pt idx="3">
                  <c:v>50</c:v>
                </c:pt>
                <c:pt idx="4">
                  <c:v>0</c:v>
                </c:pt>
                <c:pt idx="5">
                  <c:v>50</c:v>
                </c:pt>
                <c:pt idx="6">
                  <c:v>0</c:v>
                </c:pt>
                <c:pt idx="7">
                  <c:v>100</c:v>
                </c:pt>
                <c:pt idx="8">
                  <c:v>13</c:v>
                </c:pt>
                <c:pt idx="9">
                  <c:v>0</c:v>
                </c:pt>
                <c:pt idx="10">
                  <c:v>46</c:v>
                </c:pt>
                <c:pt idx="11">
                  <c:v>13</c:v>
                </c:pt>
                <c:pt idx="12">
                  <c:v>0</c:v>
                </c:pt>
                <c:pt idx="13">
                  <c:v>50</c:v>
                </c:pt>
                <c:pt idx="14">
                  <c:v>63</c:v>
                </c:pt>
                <c:pt idx="15">
                  <c:v>39</c:v>
                </c:pt>
                <c:pt idx="16">
                  <c:v>26</c:v>
                </c:pt>
                <c:pt idx="17">
                  <c:v>26</c:v>
                </c:pt>
                <c:pt idx="18">
                  <c:v>53</c:v>
                </c:pt>
                <c:pt idx="19">
                  <c:v>26</c:v>
                </c:pt>
              </c:numCache>
            </c:numRef>
          </c:val>
          <c:extLst>
            <c:ext xmlns:c16="http://schemas.microsoft.com/office/drawing/2014/chart" uri="{C3380CC4-5D6E-409C-BE32-E72D297353CC}">
              <c16:uniqueId val="{00000000-B91F-4A42-8077-F57ABCE93C30}"/>
            </c:ext>
          </c:extLst>
        </c:ser>
        <c:dLbls>
          <c:showLegendKey val="0"/>
          <c:showVal val="0"/>
          <c:showCatName val="0"/>
          <c:showSerName val="0"/>
          <c:showPercent val="0"/>
          <c:showBubbleSize val="0"/>
        </c:dLbls>
        <c:gapWidth val="219"/>
        <c:overlap val="-27"/>
        <c:axId val="697147704"/>
        <c:axId val="697144888"/>
      </c:barChart>
      <c:dateAx>
        <c:axId val="69714770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7144888"/>
        <c:crosses val="autoZero"/>
        <c:auto val="1"/>
        <c:lblOffset val="100"/>
        <c:baseTimeUnit val="months"/>
      </c:dateAx>
      <c:valAx>
        <c:axId val="697144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7147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Georgia" panose="02040502050405020303" pitchFamily="18" charset="0"/>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baseline="0">
                <a:solidFill>
                  <a:schemeClr val="tx1">
                    <a:lumMod val="65000"/>
                    <a:lumOff val="35000"/>
                  </a:schemeClr>
                </a:solidFill>
                <a:latin typeface="Georgia" panose="02040502050405020303" pitchFamily="18" charset="0"/>
                <a:ea typeface="+mn-ea"/>
                <a:cs typeface="+mn-cs"/>
              </a:defRPr>
            </a:pPr>
            <a:r>
              <a:rPr lang="fr-FR" sz="2800">
                <a:latin typeface="Georgia" panose="02040502050405020303" pitchFamily="18" charset="0"/>
              </a:rPr>
              <a:t>Radar Plot de la criticité de chaque sous risques</a:t>
            </a:r>
          </a:p>
        </c:rich>
      </c:tx>
      <c:overlay val="0"/>
      <c:spPr>
        <a:noFill/>
        <a:ln>
          <a:noFill/>
        </a:ln>
        <a:effectLst/>
      </c:spPr>
    </c:title>
    <c:autoTitleDeleted val="0"/>
    <c:plotArea>
      <c:layout/>
      <c:radarChart>
        <c:radarStyle val="marker"/>
        <c:varyColors val="0"/>
        <c:ser>
          <c:idx val="1"/>
          <c:order val="0"/>
          <c:cat>
            <c:strRef>
              <c:f>'VII. Analyse des risques'!$B$147:$B$159</c:f>
              <c:strCache>
                <c:ptCount val="13"/>
                <c:pt idx="0">
                  <c:v>Difficulté d'intégration de l'API</c:v>
                </c:pt>
                <c:pt idx="1">
                  <c:v>Problèmes de performance</c:v>
                </c:pt>
                <c:pt idx="2">
                  <c:v>Dépendances vis-à-vis de fournisseurs tiers</c:v>
                </c:pt>
                <c:pt idx="3">
                  <c:v>Exposition des données personnelles des utilisateurs</c:v>
                </c:pt>
                <c:pt idx="4">
                  <c:v>Failles de sécurité potentielles</c:v>
                </c:pt>
                <c:pt idx="5">
                  <c:v>Apparition de concurrents</c:v>
                </c:pt>
                <c:pt idx="6">
                  <c:v>Perte de visibilité</c:v>
                </c:pt>
                <c:pt idx="7">
                  <c:v>Conformité à la protection de la vie privée</c:v>
                </c:pt>
                <c:pt idx="8">
                  <c:v>Défis de planification</c:v>
                </c:pt>
                <c:pt idx="9">
                  <c:v>Difficultés de coordination d'équipe</c:v>
                </c:pt>
                <c:pt idx="10">
                  <c:v>Dépassement du budget</c:v>
                </c:pt>
                <c:pt idx="11">
                  <c:v>Coûts imprévus</c:v>
                </c:pt>
                <c:pt idx="12">
                  <c:v>Défauts de l'application</c:v>
                </c:pt>
              </c:strCache>
            </c:strRef>
          </c:cat>
          <c:val>
            <c:numRef>
              <c:f>'VII. Analyse des risques'!$J$147:$J$159</c:f>
              <c:numCache>
                <c:formatCode>General</c:formatCode>
                <c:ptCount val="13"/>
                <c:pt idx="0">
                  <c:v>2</c:v>
                </c:pt>
                <c:pt idx="1">
                  <c:v>3</c:v>
                </c:pt>
                <c:pt idx="2">
                  <c:v>1</c:v>
                </c:pt>
                <c:pt idx="3">
                  <c:v>6</c:v>
                </c:pt>
                <c:pt idx="4">
                  <c:v>9</c:v>
                </c:pt>
                <c:pt idx="5">
                  <c:v>6</c:v>
                </c:pt>
                <c:pt idx="6">
                  <c:v>9</c:v>
                </c:pt>
                <c:pt idx="7">
                  <c:v>4</c:v>
                </c:pt>
                <c:pt idx="8">
                  <c:v>3</c:v>
                </c:pt>
                <c:pt idx="9">
                  <c:v>3</c:v>
                </c:pt>
                <c:pt idx="10">
                  <c:v>6</c:v>
                </c:pt>
                <c:pt idx="11">
                  <c:v>6</c:v>
                </c:pt>
                <c:pt idx="12">
                  <c:v>4</c:v>
                </c:pt>
              </c:numCache>
            </c:numRef>
          </c:val>
          <c:extLst>
            <c:ext xmlns:c16="http://schemas.microsoft.com/office/drawing/2014/chart" uri="{C3380CC4-5D6E-409C-BE32-E72D297353CC}">
              <c16:uniqueId val="{00000003-6083-48AC-8350-1FA014F172F2}"/>
            </c:ext>
          </c:extLst>
        </c:ser>
        <c:ser>
          <c:idx val="0"/>
          <c:order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'VII. Analyse des risques'!$B$147:$B$159</c:f>
              <c:strCache>
                <c:ptCount val="13"/>
                <c:pt idx="0">
                  <c:v>Difficulté d'intégration de l'API</c:v>
                </c:pt>
                <c:pt idx="1">
                  <c:v>Problèmes de performance</c:v>
                </c:pt>
                <c:pt idx="2">
                  <c:v>Dépendances vis-à-vis de fournisseurs tiers</c:v>
                </c:pt>
                <c:pt idx="3">
                  <c:v>Exposition des données personnelles des utilisateurs</c:v>
                </c:pt>
                <c:pt idx="4">
                  <c:v>Failles de sécurité potentielles</c:v>
                </c:pt>
                <c:pt idx="5">
                  <c:v>Apparition de concurrents</c:v>
                </c:pt>
                <c:pt idx="6">
                  <c:v>Perte de visibilité</c:v>
                </c:pt>
                <c:pt idx="7">
                  <c:v>Conformité à la protection de la vie privée</c:v>
                </c:pt>
                <c:pt idx="8">
                  <c:v>Défis de planification</c:v>
                </c:pt>
                <c:pt idx="9">
                  <c:v>Difficultés de coordination d'équipe</c:v>
                </c:pt>
                <c:pt idx="10">
                  <c:v>Dépassement du budget</c:v>
                </c:pt>
                <c:pt idx="11">
                  <c:v>Coûts imprévus</c:v>
                </c:pt>
                <c:pt idx="12">
                  <c:v>Défauts de l'application</c:v>
                </c:pt>
              </c:strCache>
            </c:strRef>
          </c:cat>
          <c:val>
            <c:numRef>
              <c:f>'VII. Analyse des risques'!$J$147:$J$159</c:f>
              <c:numCache>
                <c:formatCode>General</c:formatCode>
                <c:ptCount val="13"/>
                <c:pt idx="0">
                  <c:v>2</c:v>
                </c:pt>
                <c:pt idx="1">
                  <c:v>3</c:v>
                </c:pt>
                <c:pt idx="2">
                  <c:v>1</c:v>
                </c:pt>
                <c:pt idx="3">
                  <c:v>6</c:v>
                </c:pt>
                <c:pt idx="4">
                  <c:v>9</c:v>
                </c:pt>
                <c:pt idx="5">
                  <c:v>6</c:v>
                </c:pt>
                <c:pt idx="6">
                  <c:v>9</c:v>
                </c:pt>
                <c:pt idx="7">
                  <c:v>4</c:v>
                </c:pt>
                <c:pt idx="8">
                  <c:v>3</c:v>
                </c:pt>
                <c:pt idx="9">
                  <c:v>3</c:v>
                </c:pt>
                <c:pt idx="10">
                  <c:v>6</c:v>
                </c:pt>
                <c:pt idx="11">
                  <c:v>6</c:v>
                </c:pt>
                <c:pt idx="12">
                  <c:v>4</c:v>
                </c:pt>
              </c:numCache>
            </c:numRef>
          </c:val>
          <c:extLst>
            <c:ext xmlns:c16="http://schemas.microsoft.com/office/drawing/2014/chart" uri="{C3380CC4-5D6E-409C-BE32-E72D297353CC}">
              <c16:uniqueId val="{00000002-6083-48AC-8350-1FA014F172F2}"/>
            </c:ext>
          </c:extLst>
        </c:ser>
        <c:dLbls>
          <c:showLegendKey val="0"/>
          <c:showVal val="0"/>
          <c:showCatName val="0"/>
          <c:showSerName val="0"/>
          <c:showPercent val="0"/>
          <c:showBubbleSize val="0"/>
        </c:dLbls>
        <c:axId val="690856968"/>
        <c:axId val="690857320"/>
      </c:radarChart>
      <c:catAx>
        <c:axId val="690856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0857320"/>
        <c:crosses val="autoZero"/>
        <c:auto val="1"/>
        <c:lblAlgn val="ctr"/>
        <c:lblOffset val="100"/>
        <c:noMultiLvlLbl val="0"/>
      </c:catAx>
      <c:valAx>
        <c:axId val="690857320"/>
        <c:scaling>
          <c:orientation val="minMax"/>
        </c:scaling>
        <c:delete val="0"/>
        <c:axPos val="l"/>
        <c:majorGridlines>
          <c:spPr>
            <a:ln w="31750" cap="flat" cmpd="sng" algn="ctr">
              <a:gradFill flip="none" rotWithShape="1">
                <a:gsLst>
                  <a:gs pos="0">
                    <a:schemeClr val="accent4"/>
                  </a:gs>
                  <a:gs pos="50000">
                    <a:schemeClr val="accent5">
                      <a:lumMod val="40000"/>
                      <a:lumOff val="60000"/>
                    </a:schemeClr>
                  </a:gs>
                  <a:gs pos="100000">
                    <a:schemeClr val="accent2"/>
                  </a:gs>
                </a:gsLst>
                <a:path path="circle">
                  <a:fillToRect l="50000" t="50000" r="50000" b="50000"/>
                </a:path>
                <a:tileRect/>
              </a:gradFill>
              <a:prstDash val="solid"/>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690856968"/>
        <c:crosses val="autoZero"/>
        <c:crossBetween val="between"/>
      </c:valAx>
      <c:spPr>
        <a:noFill/>
        <a:ln>
          <a:noFill/>
        </a:ln>
        <a:effectLst/>
      </c:spPr>
    </c:plotArea>
    <c:plotVisOnly val="1"/>
    <c:dispBlanksAs val="gap"/>
    <c:showDLblsOverMax val="0"/>
    <c:extLst/>
  </c:chart>
  <c:spPr>
    <a:ln>
      <a:noFill/>
    </a:ln>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baseline="0">
                <a:solidFill>
                  <a:schemeClr val="tx1">
                    <a:lumMod val="65000"/>
                    <a:lumOff val="35000"/>
                  </a:schemeClr>
                </a:solidFill>
                <a:latin typeface="Georgia" panose="02040502050405020303" pitchFamily="18" charset="0"/>
                <a:ea typeface="+mn-ea"/>
                <a:cs typeface="+mn-cs"/>
              </a:defRPr>
            </a:pPr>
            <a:r>
              <a:rPr lang="fr-FR" sz="2800">
                <a:latin typeface="Georgia" panose="02040502050405020303" pitchFamily="18" charset="0"/>
              </a:rPr>
              <a:t>Radar Plot de l'impact de chaque sous risques</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title>
    <c:autoTitleDeleted val="0"/>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'VII. Analyse des risques'!$B$147:$B$159</c:f>
              <c:strCache>
                <c:ptCount val="13"/>
                <c:pt idx="0">
                  <c:v>Difficulté d'intégration de l'API</c:v>
                </c:pt>
                <c:pt idx="1">
                  <c:v>Problèmes de performance</c:v>
                </c:pt>
                <c:pt idx="2">
                  <c:v>Dépendances vis-à-vis de fournisseurs tiers</c:v>
                </c:pt>
                <c:pt idx="3">
                  <c:v>Exposition des données personnelles des utilisateurs</c:v>
                </c:pt>
                <c:pt idx="4">
                  <c:v>Failles de sécurité potentielles</c:v>
                </c:pt>
                <c:pt idx="5">
                  <c:v>Apparition de concurrents</c:v>
                </c:pt>
                <c:pt idx="6">
                  <c:v>Perte de visibilité</c:v>
                </c:pt>
                <c:pt idx="7">
                  <c:v>Conformité à la protection de la vie privée</c:v>
                </c:pt>
                <c:pt idx="8">
                  <c:v>Défis de planification</c:v>
                </c:pt>
                <c:pt idx="9">
                  <c:v>Difficultés de coordination d'équipe</c:v>
                </c:pt>
                <c:pt idx="10">
                  <c:v>Dépassement du budget</c:v>
                </c:pt>
                <c:pt idx="11">
                  <c:v>Coûts imprévus</c:v>
                </c:pt>
                <c:pt idx="12">
                  <c:v>Défauts de l'application</c:v>
                </c:pt>
              </c:strCache>
            </c:strRef>
          </c:cat>
          <c:val>
            <c:numRef>
              <c:f>'VII. Analyse des risques'!$H$147:$H$159</c:f>
              <c:numCache>
                <c:formatCode>General</c:formatCode>
                <c:ptCount val="13"/>
                <c:pt idx="0">
                  <c:v>1</c:v>
                </c:pt>
                <c:pt idx="1">
                  <c:v>1</c:v>
                </c:pt>
                <c:pt idx="2">
                  <c:v>1</c:v>
                </c:pt>
                <c:pt idx="3">
                  <c:v>3</c:v>
                </c:pt>
                <c:pt idx="4">
                  <c:v>3</c:v>
                </c:pt>
                <c:pt idx="5">
                  <c:v>2</c:v>
                </c:pt>
                <c:pt idx="6">
                  <c:v>3</c:v>
                </c:pt>
                <c:pt idx="7">
                  <c:v>2</c:v>
                </c:pt>
                <c:pt idx="8">
                  <c:v>1</c:v>
                </c:pt>
                <c:pt idx="9">
                  <c:v>1</c:v>
                </c:pt>
                <c:pt idx="10">
                  <c:v>2</c:v>
                </c:pt>
                <c:pt idx="11">
                  <c:v>2</c:v>
                </c:pt>
                <c:pt idx="12">
                  <c:v>2</c:v>
                </c:pt>
              </c:numCache>
            </c:numRef>
          </c:val>
          <c:extLst>
            <c:ext xmlns:c16="http://schemas.microsoft.com/office/drawing/2014/chart" uri="{C3380CC4-5D6E-409C-BE32-E72D297353CC}">
              <c16:uniqueId val="{00000000-A2BA-430A-B46C-C5276FD84DAE}"/>
            </c:ext>
          </c:extLst>
        </c:ser>
        <c:dLbls>
          <c:showLegendKey val="0"/>
          <c:showVal val="0"/>
          <c:showCatName val="0"/>
          <c:showSerName val="0"/>
          <c:showPercent val="0"/>
          <c:showBubbleSize val="0"/>
        </c:dLbls>
        <c:axId val="690856968"/>
        <c:axId val="690857320"/>
      </c:radarChart>
      <c:catAx>
        <c:axId val="690856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0857320"/>
        <c:crosses val="autoZero"/>
        <c:auto val="1"/>
        <c:lblAlgn val="ctr"/>
        <c:lblOffset val="100"/>
        <c:noMultiLvlLbl val="0"/>
      </c:catAx>
      <c:valAx>
        <c:axId val="690857320"/>
        <c:scaling>
          <c:orientation val="minMax"/>
        </c:scaling>
        <c:delete val="0"/>
        <c:axPos val="l"/>
        <c:majorGridlines>
          <c:spPr>
            <a:ln w="31750" cap="flat" cmpd="sng" algn="ctr">
              <a:gradFill flip="none" rotWithShape="1">
                <a:gsLst>
                  <a:gs pos="0">
                    <a:schemeClr val="accent4"/>
                  </a:gs>
                  <a:gs pos="60000">
                    <a:schemeClr val="accent5"/>
                  </a:gs>
                  <a:gs pos="100000">
                    <a:schemeClr val="accent2"/>
                  </a:gs>
                </a:gsLst>
                <a:path path="circle">
                  <a:fillToRect l="50000" t="50000" r="50000" b="50000"/>
                </a:path>
                <a:tileRect/>
              </a:gradFill>
              <a:round/>
            </a:ln>
            <a:effectLst>
              <a:softEdge rad="0"/>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69085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1" i="0" u="none" strike="noStrike" kern="1200" baseline="0">
                <a:solidFill>
                  <a:schemeClr val="tx1">
                    <a:lumMod val="65000"/>
                    <a:lumOff val="35000"/>
                  </a:schemeClr>
                </a:solidFill>
                <a:latin typeface="Georgia" panose="02040502050405020303" pitchFamily="18" charset="0"/>
                <a:ea typeface="+mn-ea"/>
                <a:cs typeface="+mn-cs"/>
              </a:defRPr>
            </a:pPr>
            <a:r>
              <a:rPr lang="fr-FR" sz="2800">
                <a:latin typeface="Georgia" panose="02040502050405020303" pitchFamily="18" charset="0"/>
              </a:rPr>
              <a:t>Radar Plot de la probabilité de chaque sous risques</a:t>
            </a:r>
          </a:p>
        </c:rich>
      </c:tx>
      <c:overlay val="0"/>
      <c:spPr>
        <a:noFill/>
        <a:ln>
          <a:noFill/>
        </a:ln>
        <a:effectLst/>
      </c:spPr>
      <c:txPr>
        <a:bodyPr rot="0" spcFirstLastPara="1" vertOverflow="ellipsis" vert="horz" wrap="square" anchor="ctr" anchorCtr="1"/>
        <a:lstStyle/>
        <a:p>
          <a:pPr>
            <a:defRPr sz="2800" b="1"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title>
    <c:autoTitleDeleted val="0"/>
    <c:plotArea>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'VII. Analyse des risques'!$B$147:$B$159</c:f>
              <c:strCache>
                <c:ptCount val="13"/>
                <c:pt idx="0">
                  <c:v>Difficulté d'intégration de l'API</c:v>
                </c:pt>
                <c:pt idx="1">
                  <c:v>Problèmes de performance</c:v>
                </c:pt>
                <c:pt idx="2">
                  <c:v>Dépendances vis-à-vis de fournisseurs tiers</c:v>
                </c:pt>
                <c:pt idx="3">
                  <c:v>Exposition des données personnelles des utilisateurs</c:v>
                </c:pt>
                <c:pt idx="4">
                  <c:v>Failles de sécurité potentielles</c:v>
                </c:pt>
                <c:pt idx="5">
                  <c:v>Apparition de concurrents</c:v>
                </c:pt>
                <c:pt idx="6">
                  <c:v>Perte de visibilité</c:v>
                </c:pt>
                <c:pt idx="7">
                  <c:v>Conformité à la protection de la vie privée</c:v>
                </c:pt>
                <c:pt idx="8">
                  <c:v>Défis de planification</c:v>
                </c:pt>
                <c:pt idx="9">
                  <c:v>Difficultés de coordination d'équipe</c:v>
                </c:pt>
                <c:pt idx="10">
                  <c:v>Dépassement du budget</c:v>
                </c:pt>
                <c:pt idx="11">
                  <c:v>Coûts imprévus</c:v>
                </c:pt>
                <c:pt idx="12">
                  <c:v>Défauts de l'application</c:v>
                </c:pt>
              </c:strCache>
            </c:strRef>
          </c:cat>
          <c:val>
            <c:numRef>
              <c:f>'VII. Analyse des risques'!$I$147:$I$159</c:f>
              <c:numCache>
                <c:formatCode>General</c:formatCode>
                <c:ptCount val="13"/>
                <c:pt idx="0">
                  <c:v>2</c:v>
                </c:pt>
                <c:pt idx="1">
                  <c:v>3</c:v>
                </c:pt>
                <c:pt idx="2">
                  <c:v>1</c:v>
                </c:pt>
                <c:pt idx="3">
                  <c:v>2</c:v>
                </c:pt>
                <c:pt idx="4">
                  <c:v>3</c:v>
                </c:pt>
                <c:pt idx="5">
                  <c:v>3</c:v>
                </c:pt>
                <c:pt idx="6">
                  <c:v>3</c:v>
                </c:pt>
                <c:pt idx="7">
                  <c:v>2</c:v>
                </c:pt>
                <c:pt idx="8">
                  <c:v>3</c:v>
                </c:pt>
                <c:pt idx="9">
                  <c:v>3</c:v>
                </c:pt>
                <c:pt idx="10">
                  <c:v>3</c:v>
                </c:pt>
                <c:pt idx="11">
                  <c:v>3</c:v>
                </c:pt>
                <c:pt idx="12">
                  <c:v>2</c:v>
                </c:pt>
              </c:numCache>
            </c:numRef>
          </c:val>
          <c:extLst>
            <c:ext xmlns:c16="http://schemas.microsoft.com/office/drawing/2014/chart" uri="{C3380CC4-5D6E-409C-BE32-E72D297353CC}">
              <c16:uniqueId val="{00000000-7997-4CA8-840A-F8AB598AA39B}"/>
            </c:ext>
          </c:extLst>
        </c:ser>
        <c:dLbls>
          <c:showLegendKey val="0"/>
          <c:showVal val="0"/>
          <c:showCatName val="0"/>
          <c:showSerName val="0"/>
          <c:showPercent val="0"/>
          <c:showBubbleSize val="0"/>
        </c:dLbls>
        <c:axId val="690856968"/>
        <c:axId val="690857320"/>
      </c:radarChart>
      <c:catAx>
        <c:axId val="6908569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fr-FR"/>
          </a:p>
        </c:txPr>
        <c:crossAx val="690857320"/>
        <c:crosses val="autoZero"/>
        <c:auto val="1"/>
        <c:lblAlgn val="ctr"/>
        <c:lblOffset val="100"/>
        <c:noMultiLvlLbl val="0"/>
      </c:catAx>
      <c:valAx>
        <c:axId val="690857320"/>
        <c:scaling>
          <c:orientation val="minMax"/>
        </c:scaling>
        <c:delete val="0"/>
        <c:axPos val="l"/>
        <c:majorGridlines>
          <c:spPr>
            <a:ln w="31750" cap="flat" cmpd="sng" algn="ctr">
              <a:gradFill flip="none" rotWithShape="1">
                <a:gsLst>
                  <a:gs pos="0">
                    <a:schemeClr val="accent4"/>
                  </a:gs>
                  <a:gs pos="60000">
                    <a:schemeClr val="accent5"/>
                  </a:gs>
                  <a:gs pos="100000">
                    <a:schemeClr val="accent2"/>
                  </a:gs>
                </a:gsLst>
                <a:path path="circle">
                  <a:fillToRect l="50000" t="50000" r="50000" b="50000"/>
                </a:path>
                <a:tileRect/>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fr-FR"/>
          </a:p>
        </c:txPr>
        <c:crossAx val="690856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Criticité</a:t>
            </a:r>
            <a:r>
              <a:rPr lang="fr-FR" baseline="0"/>
              <a:t> Moyenne par types de Risques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'VII. Analyse des risques'!$B$239</c:f>
              <c:strCache>
                <c:ptCount val="1"/>
                <c:pt idx="0">
                  <c:v>Risques liés à la sécurité des données</c:v>
                </c:pt>
              </c:strCache>
            </c:strRef>
          </c:tx>
          <c:spPr>
            <a:solidFill>
              <a:schemeClr val="accent1"/>
            </a:solidFill>
            <a:ln>
              <a:noFill/>
            </a:ln>
            <a:effectLst/>
          </c:spPr>
          <c:invertIfNegative val="0"/>
          <c:cat>
            <c:strRef>
              <c:f>'VII. Analyse des risques'!$C$238</c:f>
              <c:strCache>
                <c:ptCount val="1"/>
                <c:pt idx="0">
                  <c:v>Moyenne de la criticité</c:v>
                </c:pt>
              </c:strCache>
            </c:strRef>
          </c:cat>
          <c:val>
            <c:numRef>
              <c:f>'VII. Analyse des risques'!$C$239</c:f>
              <c:numCache>
                <c:formatCode>General</c:formatCode>
                <c:ptCount val="1"/>
                <c:pt idx="0">
                  <c:v>7.5</c:v>
                </c:pt>
              </c:numCache>
            </c:numRef>
          </c:val>
          <c:extLst>
            <c:ext xmlns:c16="http://schemas.microsoft.com/office/drawing/2014/chart" uri="{C3380CC4-5D6E-409C-BE32-E72D297353CC}">
              <c16:uniqueId val="{00000000-2879-4957-B66D-B4C385B0B00A}"/>
            </c:ext>
          </c:extLst>
        </c:ser>
        <c:ser>
          <c:idx val="1"/>
          <c:order val="1"/>
          <c:tx>
            <c:strRef>
              <c:f>'VII. Analyse des risques'!$B$240</c:f>
              <c:strCache>
                <c:ptCount val="1"/>
                <c:pt idx="0">
                  <c:v>Risques liés à la concurrence</c:v>
                </c:pt>
              </c:strCache>
            </c:strRef>
          </c:tx>
          <c:spPr>
            <a:solidFill>
              <a:schemeClr val="accent2"/>
            </a:solidFill>
            <a:ln>
              <a:noFill/>
            </a:ln>
            <a:effectLst/>
          </c:spPr>
          <c:invertIfNegative val="0"/>
          <c:cat>
            <c:strRef>
              <c:f>'VII. Analyse des risques'!$C$238</c:f>
              <c:strCache>
                <c:ptCount val="1"/>
                <c:pt idx="0">
                  <c:v>Moyenne de la criticité</c:v>
                </c:pt>
              </c:strCache>
            </c:strRef>
          </c:cat>
          <c:val>
            <c:numRef>
              <c:f>'VII. Analyse des risques'!$C$240</c:f>
              <c:numCache>
                <c:formatCode>General</c:formatCode>
                <c:ptCount val="1"/>
                <c:pt idx="0">
                  <c:v>7.5</c:v>
                </c:pt>
              </c:numCache>
            </c:numRef>
          </c:val>
          <c:extLst>
            <c:ext xmlns:c16="http://schemas.microsoft.com/office/drawing/2014/chart" uri="{C3380CC4-5D6E-409C-BE32-E72D297353CC}">
              <c16:uniqueId val="{00000001-2879-4957-B66D-B4C385B0B00A}"/>
            </c:ext>
          </c:extLst>
        </c:ser>
        <c:ser>
          <c:idx val="2"/>
          <c:order val="2"/>
          <c:tx>
            <c:strRef>
              <c:f>'VII. Analyse des risques'!$B$241</c:f>
              <c:strCache>
                <c:ptCount val="1"/>
                <c:pt idx="0">
                  <c:v>Risques financiers</c:v>
                </c:pt>
              </c:strCache>
            </c:strRef>
          </c:tx>
          <c:spPr>
            <a:solidFill>
              <a:schemeClr val="accent3"/>
            </a:solidFill>
            <a:ln>
              <a:noFill/>
            </a:ln>
            <a:effectLst/>
          </c:spPr>
          <c:invertIfNegative val="0"/>
          <c:cat>
            <c:strRef>
              <c:f>'VII. Analyse des risques'!$C$238</c:f>
              <c:strCache>
                <c:ptCount val="1"/>
                <c:pt idx="0">
                  <c:v>Moyenne de la criticité</c:v>
                </c:pt>
              </c:strCache>
            </c:strRef>
          </c:cat>
          <c:val>
            <c:numRef>
              <c:f>'VII. Analyse des risques'!$C$241</c:f>
              <c:numCache>
                <c:formatCode>General</c:formatCode>
                <c:ptCount val="1"/>
                <c:pt idx="0">
                  <c:v>6</c:v>
                </c:pt>
              </c:numCache>
            </c:numRef>
          </c:val>
          <c:extLst>
            <c:ext xmlns:c16="http://schemas.microsoft.com/office/drawing/2014/chart" uri="{C3380CC4-5D6E-409C-BE32-E72D297353CC}">
              <c16:uniqueId val="{00000002-2879-4957-B66D-B4C385B0B00A}"/>
            </c:ext>
          </c:extLst>
        </c:ser>
        <c:ser>
          <c:idx val="3"/>
          <c:order val="3"/>
          <c:tx>
            <c:strRef>
              <c:f>'VII. Analyse des risques'!$B$242</c:f>
              <c:strCache>
                <c:ptCount val="1"/>
                <c:pt idx="0">
                  <c:v>Risques liés à la conformité réglementaire</c:v>
                </c:pt>
              </c:strCache>
            </c:strRef>
          </c:tx>
          <c:spPr>
            <a:solidFill>
              <a:schemeClr val="accent4"/>
            </a:solidFill>
            <a:ln>
              <a:noFill/>
            </a:ln>
            <a:effectLst/>
          </c:spPr>
          <c:invertIfNegative val="0"/>
          <c:cat>
            <c:strRef>
              <c:f>'VII. Analyse des risques'!$C$238</c:f>
              <c:strCache>
                <c:ptCount val="1"/>
                <c:pt idx="0">
                  <c:v>Moyenne de la criticité</c:v>
                </c:pt>
              </c:strCache>
            </c:strRef>
          </c:cat>
          <c:val>
            <c:numRef>
              <c:f>'VII. Analyse des risques'!$C$242</c:f>
              <c:numCache>
                <c:formatCode>General</c:formatCode>
                <c:ptCount val="1"/>
                <c:pt idx="0">
                  <c:v>4</c:v>
                </c:pt>
              </c:numCache>
            </c:numRef>
          </c:val>
          <c:extLst>
            <c:ext xmlns:c16="http://schemas.microsoft.com/office/drawing/2014/chart" uri="{C3380CC4-5D6E-409C-BE32-E72D297353CC}">
              <c16:uniqueId val="{00000003-2879-4957-B66D-B4C385B0B00A}"/>
            </c:ext>
          </c:extLst>
        </c:ser>
        <c:ser>
          <c:idx val="4"/>
          <c:order val="4"/>
          <c:tx>
            <c:strRef>
              <c:f>'VII. Analyse des risques'!$B$243</c:f>
              <c:strCache>
                <c:ptCount val="1"/>
                <c:pt idx="0">
                  <c:v>Risques liés à la maintenance</c:v>
                </c:pt>
              </c:strCache>
            </c:strRef>
          </c:tx>
          <c:spPr>
            <a:solidFill>
              <a:schemeClr val="accent5"/>
            </a:solidFill>
            <a:ln>
              <a:noFill/>
            </a:ln>
            <a:effectLst/>
          </c:spPr>
          <c:invertIfNegative val="0"/>
          <c:cat>
            <c:strRef>
              <c:f>'VII. Analyse des risques'!$C$238</c:f>
              <c:strCache>
                <c:ptCount val="1"/>
                <c:pt idx="0">
                  <c:v>Moyenne de la criticité</c:v>
                </c:pt>
              </c:strCache>
            </c:strRef>
          </c:cat>
          <c:val>
            <c:numRef>
              <c:f>'VII. Analyse des risques'!$C$243</c:f>
              <c:numCache>
                <c:formatCode>General</c:formatCode>
                <c:ptCount val="1"/>
                <c:pt idx="0">
                  <c:v>4</c:v>
                </c:pt>
              </c:numCache>
            </c:numRef>
          </c:val>
          <c:extLst>
            <c:ext xmlns:c16="http://schemas.microsoft.com/office/drawing/2014/chart" uri="{C3380CC4-5D6E-409C-BE32-E72D297353CC}">
              <c16:uniqueId val="{00000004-2879-4957-B66D-B4C385B0B00A}"/>
            </c:ext>
          </c:extLst>
        </c:ser>
        <c:ser>
          <c:idx val="5"/>
          <c:order val="5"/>
          <c:tx>
            <c:strRef>
              <c:f>'VII. Analyse des risques'!$B$244</c:f>
              <c:strCache>
                <c:ptCount val="1"/>
                <c:pt idx="0">
                  <c:v>Risques liés à la gestion de projet</c:v>
                </c:pt>
              </c:strCache>
            </c:strRef>
          </c:tx>
          <c:spPr>
            <a:solidFill>
              <a:schemeClr val="accent6"/>
            </a:solidFill>
            <a:ln>
              <a:noFill/>
            </a:ln>
            <a:effectLst/>
          </c:spPr>
          <c:invertIfNegative val="0"/>
          <c:cat>
            <c:strRef>
              <c:f>'VII. Analyse des risques'!$C$238</c:f>
              <c:strCache>
                <c:ptCount val="1"/>
                <c:pt idx="0">
                  <c:v>Moyenne de la criticité</c:v>
                </c:pt>
              </c:strCache>
            </c:strRef>
          </c:cat>
          <c:val>
            <c:numRef>
              <c:f>'VII. Analyse des risques'!$C$244</c:f>
              <c:numCache>
                <c:formatCode>General</c:formatCode>
                <c:ptCount val="1"/>
                <c:pt idx="0">
                  <c:v>3</c:v>
                </c:pt>
              </c:numCache>
            </c:numRef>
          </c:val>
          <c:extLst>
            <c:ext xmlns:c16="http://schemas.microsoft.com/office/drawing/2014/chart" uri="{C3380CC4-5D6E-409C-BE32-E72D297353CC}">
              <c16:uniqueId val="{00000005-2879-4957-B66D-B4C385B0B00A}"/>
            </c:ext>
          </c:extLst>
        </c:ser>
        <c:ser>
          <c:idx val="6"/>
          <c:order val="6"/>
          <c:tx>
            <c:strRef>
              <c:f>'VII. Analyse des risques'!$B$245</c:f>
              <c:strCache>
                <c:ptCount val="1"/>
                <c:pt idx="0">
                  <c:v>Risques Technique</c:v>
                </c:pt>
              </c:strCache>
            </c:strRef>
          </c:tx>
          <c:spPr>
            <a:solidFill>
              <a:schemeClr val="accent1">
                <a:lumMod val="60000"/>
              </a:schemeClr>
            </a:solidFill>
            <a:ln>
              <a:noFill/>
            </a:ln>
            <a:effectLst/>
          </c:spPr>
          <c:invertIfNegative val="0"/>
          <c:cat>
            <c:strRef>
              <c:f>'VII. Analyse des risques'!$C$238</c:f>
              <c:strCache>
                <c:ptCount val="1"/>
                <c:pt idx="0">
                  <c:v>Moyenne de la criticité</c:v>
                </c:pt>
              </c:strCache>
            </c:strRef>
          </c:cat>
          <c:val>
            <c:numRef>
              <c:f>'VII. Analyse des risques'!$C$245</c:f>
              <c:numCache>
                <c:formatCode>General</c:formatCode>
                <c:ptCount val="1"/>
                <c:pt idx="0">
                  <c:v>2</c:v>
                </c:pt>
              </c:numCache>
            </c:numRef>
          </c:val>
          <c:extLst>
            <c:ext xmlns:c16="http://schemas.microsoft.com/office/drawing/2014/chart" uri="{C3380CC4-5D6E-409C-BE32-E72D297353CC}">
              <c16:uniqueId val="{00000006-2879-4957-B66D-B4C385B0B00A}"/>
            </c:ext>
          </c:extLst>
        </c:ser>
        <c:dLbls>
          <c:showLegendKey val="0"/>
          <c:showVal val="0"/>
          <c:showCatName val="0"/>
          <c:showSerName val="0"/>
          <c:showPercent val="0"/>
          <c:showBubbleSize val="0"/>
        </c:dLbls>
        <c:gapWidth val="219"/>
        <c:overlap val="-27"/>
        <c:axId val="769868448"/>
        <c:axId val="769865632"/>
      </c:barChart>
      <c:catAx>
        <c:axId val="7698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9865632"/>
        <c:crosses val="autoZero"/>
        <c:auto val="1"/>
        <c:lblAlgn val="ctr"/>
        <c:lblOffset val="100"/>
        <c:noMultiLvlLbl val="0"/>
      </c:catAx>
      <c:valAx>
        <c:axId val="76986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6986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Charges Totales par Besoin (%)</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fr-FR"/>
        </a:p>
      </c:txPr>
    </c:title>
    <c:autoTitleDeleted val="0"/>
    <c:plotArea>
      <c:layout>
        <c:manualLayout>
          <c:layoutTarget val="inner"/>
          <c:xMode val="edge"/>
          <c:yMode val="edge"/>
          <c:x val="0.1264714305718517"/>
          <c:y val="0.18831010064626796"/>
          <c:w val="0.41804193155238673"/>
          <c:h val="0.73798650388231279"/>
        </c:manualLayout>
      </c:layout>
      <c:pieChart>
        <c:varyColors val="1"/>
        <c:ser>
          <c:idx val="0"/>
          <c:order val="0"/>
          <c:tx>
            <c:strRef>
              <c:f>'III. Chiffrage &amp; Rentabilité'!$D$68</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D2D8-4888-80F6-1566507670E0}"/>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D2D8-4888-80F6-1566507670E0}"/>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D2D8-4888-80F6-1566507670E0}"/>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D2D8-4888-80F6-1566507670E0}"/>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A82-49DC-8C9A-CDB484841BB2}"/>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4A82-49DC-8C9A-CDB484841BB2}"/>
              </c:ext>
            </c:extLst>
          </c:dPt>
          <c:dLbls>
            <c:dLbl>
              <c:idx val="0"/>
              <c:layout>
                <c:manualLayout>
                  <c:x val="9.4379366021869956E-3"/>
                  <c:y val="7.0128514953140091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2D8-4888-80F6-1566507670E0}"/>
                </c:ext>
              </c:extLst>
            </c:dLbl>
            <c:dLbl>
              <c:idx val="1"/>
              <c:layout>
                <c:manualLayout>
                  <c:x val="-0.11347411326494264"/>
                  <c:y val="-3.889286396352419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2D8-4888-80F6-1566507670E0}"/>
                </c:ext>
              </c:extLst>
            </c:dLbl>
            <c:dLbl>
              <c:idx val="2"/>
              <c:layout>
                <c:manualLayout>
                  <c:x val="7.5230341762810168E-2"/>
                  <c:y val="-0.1410979735623977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2D8-4888-80F6-1566507670E0}"/>
                </c:ext>
              </c:extLst>
            </c:dLbl>
            <c:dLbl>
              <c:idx val="3"/>
              <c:layout>
                <c:manualLayout>
                  <c:x val="-8.2476978513279058E-3"/>
                  <c:y val="1.4678548738765279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2D8-4888-80F6-1566507670E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'III. Chiffrage &amp; Rentabilité'!$C$69:$C$74</c:f>
              <c:strCache>
                <c:ptCount val="6"/>
                <c:pt idx="0">
                  <c:v>I.</c:v>
                </c:pt>
                <c:pt idx="1">
                  <c:v>II.</c:v>
                </c:pt>
                <c:pt idx="2">
                  <c:v>III.</c:v>
                </c:pt>
                <c:pt idx="3">
                  <c:v>IV.</c:v>
                </c:pt>
                <c:pt idx="4">
                  <c:v>V.</c:v>
                </c:pt>
                <c:pt idx="5">
                  <c:v>VI.</c:v>
                </c:pt>
              </c:strCache>
            </c:strRef>
          </c:cat>
          <c:val>
            <c:numRef>
              <c:f>'III. Chiffrage &amp; Rentabilité'!$D$69:$D$74</c:f>
              <c:numCache>
                <c:formatCode>0%</c:formatCode>
                <c:ptCount val="6"/>
                <c:pt idx="0">
                  <c:v>3.5335689045936397E-2</c:v>
                </c:pt>
                <c:pt idx="1">
                  <c:v>0.44522968197879859</c:v>
                </c:pt>
                <c:pt idx="2">
                  <c:v>0.24028268551236748</c:v>
                </c:pt>
                <c:pt idx="3">
                  <c:v>4.9469964664310952E-2</c:v>
                </c:pt>
                <c:pt idx="4">
                  <c:v>0.10600706713780919</c:v>
                </c:pt>
                <c:pt idx="5">
                  <c:v>0.12367491166077739</c:v>
                </c:pt>
              </c:numCache>
            </c:numRef>
          </c:val>
          <c:extLst>
            <c:ext xmlns:c16="http://schemas.microsoft.com/office/drawing/2014/chart" uri="{C3380CC4-5D6E-409C-BE32-E72D297353CC}">
              <c16:uniqueId val="{00000008-D2D8-4888-80F6-1566507670E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6744035991249713"/>
          <c:y val="0.16047733581005655"/>
          <c:w val="8.4226250281532689E-2"/>
          <c:h val="0.75903707924380925"/>
        </c:manualLayout>
      </c:layout>
      <c:overlay val="0"/>
      <c:spPr>
        <a:solidFill>
          <a:schemeClr val="lt1">
            <a:alpha val="50000"/>
          </a:schemeClr>
        </a:solidFill>
        <a:ln>
          <a:noFill/>
        </a:ln>
        <a:effectLst/>
      </c:spPr>
      <c:txPr>
        <a:bodyPr rot="0" spcFirstLastPara="1" vertOverflow="ellipsis" vert="horz" wrap="square" anchor="ctr" anchorCtr="1"/>
        <a:lstStyle/>
        <a:p>
          <a:pPr>
            <a:defRPr sz="12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'III. Chiffrage &amp; Rentabilité'!$C$362</c:f>
              <c:strCache>
                <c:ptCount val="1"/>
                <c:pt idx="0">
                  <c:v>Nbr de Client Mensuel</c:v>
                </c:pt>
              </c:strCache>
            </c:strRef>
          </c:tx>
          <c:spPr>
            <a:solidFill>
              <a:schemeClr val="accent1"/>
            </a:solidFill>
            <a:ln>
              <a:noFill/>
            </a:ln>
            <a:effectLst/>
          </c:spPr>
          <c:invertIfNegative val="0"/>
          <c:cat>
            <c:numRef>
              <c:f>'III. Chiffrage &amp; Rentabilité'!$B$363:$B$373</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'III. Chiffrage &amp; Rentabilité'!$C$363:$C$373</c:f>
              <c:numCache>
                <c:formatCode>General</c:formatCode>
                <c:ptCount val="11"/>
                <c:pt idx="0">
                  <c:v>6250</c:v>
                </c:pt>
                <c:pt idx="1">
                  <c:v>18750</c:v>
                </c:pt>
                <c:pt idx="2">
                  <c:v>37500</c:v>
                </c:pt>
                <c:pt idx="3">
                  <c:v>62500</c:v>
                </c:pt>
                <c:pt idx="4">
                  <c:v>78125</c:v>
                </c:pt>
                <c:pt idx="5">
                  <c:v>96875</c:v>
                </c:pt>
                <c:pt idx="6">
                  <c:v>115625</c:v>
                </c:pt>
                <c:pt idx="7">
                  <c:v>134375</c:v>
                </c:pt>
                <c:pt idx="8">
                  <c:v>153125</c:v>
                </c:pt>
                <c:pt idx="9">
                  <c:v>171875</c:v>
                </c:pt>
                <c:pt idx="10">
                  <c:v>190625</c:v>
                </c:pt>
              </c:numCache>
            </c:numRef>
          </c:val>
          <c:extLst>
            <c:ext xmlns:c16="http://schemas.microsoft.com/office/drawing/2014/chart" uri="{C3380CC4-5D6E-409C-BE32-E72D297353CC}">
              <c16:uniqueId val="{00000000-018E-455A-B3F0-044D074C410D}"/>
            </c:ext>
          </c:extLst>
        </c:ser>
        <c:dLbls>
          <c:showLegendKey val="0"/>
          <c:showVal val="0"/>
          <c:showCatName val="0"/>
          <c:showSerName val="0"/>
          <c:showPercent val="0"/>
          <c:showBubbleSize val="0"/>
        </c:dLbls>
        <c:gapWidth val="219"/>
        <c:overlap val="-27"/>
        <c:axId val="698152064"/>
        <c:axId val="698153120"/>
      </c:barChart>
      <c:catAx>
        <c:axId val="69815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3120"/>
        <c:crosses val="autoZero"/>
        <c:auto val="1"/>
        <c:lblAlgn val="ctr"/>
        <c:lblOffset val="100"/>
        <c:noMultiLvlLbl val="0"/>
      </c:catAx>
      <c:valAx>
        <c:axId val="6981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2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Nbr de Client Payants Mensuels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'III. Chiffrage &amp; Rentabilité'!$C$362</c:f>
              <c:strCache>
                <c:ptCount val="1"/>
                <c:pt idx="0">
                  <c:v>Nbr de Client Mensuel</c:v>
                </c:pt>
              </c:strCache>
            </c:strRef>
          </c:tx>
          <c:spPr>
            <a:solidFill>
              <a:schemeClr val="accent1"/>
            </a:solidFill>
            <a:ln>
              <a:noFill/>
            </a:ln>
            <a:effectLst/>
          </c:spPr>
          <c:invertIfNegative val="0"/>
          <c:cat>
            <c:numRef>
              <c:f>'III. Chiffrage &amp; Rentabilité'!$B$363:$B$373</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'III. Chiffrage &amp; Rentabilité'!$D$363:$D$373</c:f>
              <c:numCache>
                <c:formatCode>General</c:formatCode>
                <c:ptCount val="11"/>
                <c:pt idx="0">
                  <c:v>63</c:v>
                </c:pt>
                <c:pt idx="1">
                  <c:v>188</c:v>
                </c:pt>
                <c:pt idx="2">
                  <c:v>375</c:v>
                </c:pt>
                <c:pt idx="3">
                  <c:v>625</c:v>
                </c:pt>
                <c:pt idx="4">
                  <c:v>782</c:v>
                </c:pt>
                <c:pt idx="5">
                  <c:v>969</c:v>
                </c:pt>
                <c:pt idx="6">
                  <c:v>1157</c:v>
                </c:pt>
                <c:pt idx="7">
                  <c:v>1344</c:v>
                </c:pt>
                <c:pt idx="8">
                  <c:v>1532</c:v>
                </c:pt>
                <c:pt idx="9">
                  <c:v>1719</c:v>
                </c:pt>
                <c:pt idx="10">
                  <c:v>1907</c:v>
                </c:pt>
              </c:numCache>
            </c:numRef>
          </c:val>
          <c:extLst>
            <c:ext xmlns:c16="http://schemas.microsoft.com/office/drawing/2014/chart" uri="{C3380CC4-5D6E-409C-BE32-E72D297353CC}">
              <c16:uniqueId val="{00000000-788F-402B-8B86-456F981D44FE}"/>
            </c:ext>
          </c:extLst>
        </c:ser>
        <c:dLbls>
          <c:showLegendKey val="0"/>
          <c:showVal val="0"/>
          <c:showCatName val="0"/>
          <c:showSerName val="0"/>
          <c:showPercent val="0"/>
          <c:showBubbleSize val="0"/>
        </c:dLbls>
        <c:gapWidth val="219"/>
        <c:overlap val="-27"/>
        <c:axId val="698152064"/>
        <c:axId val="698153120"/>
      </c:barChart>
      <c:catAx>
        <c:axId val="69815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3120"/>
        <c:crosses val="autoZero"/>
        <c:auto val="1"/>
        <c:lblAlgn val="ctr"/>
        <c:lblOffset val="100"/>
        <c:noMultiLvlLbl val="0"/>
      </c:catAx>
      <c:valAx>
        <c:axId val="6981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2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Gain Annuels Projetés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'III. Chiffrage &amp; Rentabilité'!$C$362</c:f>
              <c:strCache>
                <c:ptCount val="1"/>
                <c:pt idx="0">
                  <c:v>Nbr de Client Mensuel</c:v>
                </c:pt>
              </c:strCache>
            </c:strRef>
          </c:tx>
          <c:spPr>
            <a:solidFill>
              <a:schemeClr val="accent1"/>
            </a:solidFill>
            <a:ln>
              <a:noFill/>
            </a:ln>
            <a:effectLst/>
          </c:spPr>
          <c:invertIfNegative val="0"/>
          <c:cat>
            <c:numRef>
              <c:f>'III. Chiffrage &amp; Rentabilité'!$B$363:$B$373</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cat>
          <c:val>
            <c:numRef>
              <c:f>'III. Chiffrage &amp; Rentabilité'!$F$363:$F$373</c:f>
              <c:numCache>
                <c:formatCode>_("€"* #,##0.00_);_("€"* \(#,##0.00\);_("€"* "-"??_);_(@_)</c:formatCode>
                <c:ptCount val="11"/>
                <c:pt idx="0">
                  <c:v>90720</c:v>
                </c:pt>
                <c:pt idx="1">
                  <c:v>270720</c:v>
                </c:pt>
                <c:pt idx="2">
                  <c:v>540000</c:v>
                </c:pt>
                <c:pt idx="3">
                  <c:v>900000</c:v>
                </c:pt>
                <c:pt idx="4">
                  <c:v>1126080</c:v>
                </c:pt>
                <c:pt idx="5">
                  <c:v>1395360</c:v>
                </c:pt>
                <c:pt idx="6">
                  <c:v>1666080</c:v>
                </c:pt>
                <c:pt idx="7">
                  <c:v>1935360</c:v>
                </c:pt>
                <c:pt idx="8">
                  <c:v>2206080</c:v>
                </c:pt>
                <c:pt idx="9">
                  <c:v>2475360</c:v>
                </c:pt>
                <c:pt idx="10">
                  <c:v>2746080</c:v>
                </c:pt>
              </c:numCache>
            </c:numRef>
          </c:val>
          <c:extLst>
            <c:ext xmlns:c16="http://schemas.microsoft.com/office/drawing/2014/chart" uri="{C3380CC4-5D6E-409C-BE32-E72D297353CC}">
              <c16:uniqueId val="{00000000-7F84-4594-A56A-33A05FAACDBE}"/>
            </c:ext>
          </c:extLst>
        </c:ser>
        <c:dLbls>
          <c:showLegendKey val="0"/>
          <c:showVal val="0"/>
          <c:showCatName val="0"/>
          <c:showSerName val="0"/>
          <c:showPercent val="0"/>
          <c:showBubbleSize val="0"/>
        </c:dLbls>
        <c:gapWidth val="219"/>
        <c:overlap val="-27"/>
        <c:axId val="698152064"/>
        <c:axId val="698153120"/>
      </c:barChart>
      <c:catAx>
        <c:axId val="69815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3120"/>
        <c:crosses val="autoZero"/>
        <c:auto val="1"/>
        <c:lblAlgn val="ctr"/>
        <c:lblOffset val="100"/>
        <c:noMultiLvlLbl val="0"/>
      </c:catAx>
      <c:valAx>
        <c:axId val="69815312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98152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079177602799647"/>
          <c:y val="0.21678542469259818"/>
          <c:w val="0.74084689413823268"/>
          <c:h val="0.72302936932790507"/>
        </c:manualLayout>
      </c:layout>
      <c:areaChart>
        <c:grouping val="stacked"/>
        <c:varyColors val="0"/>
        <c:ser>
          <c:idx val="0"/>
          <c:order val="0"/>
          <c:tx>
            <c:strRef>
              <c:f>'III. Chiffrage &amp; Rentabilité'!$L$473</c:f>
              <c:strCache>
                <c:ptCount val="1"/>
                <c:pt idx="0">
                  <c:v>NEG, Junior, NC6</c:v>
                </c:pt>
              </c:strCache>
            </c:strRef>
          </c:tx>
          <c:spPr>
            <a:solidFill>
              <a:schemeClr val="accent2"/>
            </a:solidFill>
            <a:ln>
              <a:noFill/>
            </a:ln>
            <a:effectLst/>
          </c:spPr>
          <c:cat>
            <c:numRef>
              <c:f>'III. Chiffrage &amp; Rentabilité'!$K$474:$K$481</c:f>
              <c:numCache>
                <c:formatCode>General</c:formatCode>
                <c:ptCount val="8"/>
                <c:pt idx="0">
                  <c:v>2025</c:v>
                </c:pt>
                <c:pt idx="1">
                  <c:v>2026</c:v>
                </c:pt>
                <c:pt idx="2">
                  <c:v>2027</c:v>
                </c:pt>
                <c:pt idx="3">
                  <c:v>2028</c:v>
                </c:pt>
                <c:pt idx="4">
                  <c:v>2029</c:v>
                </c:pt>
                <c:pt idx="5">
                  <c:v>2030</c:v>
                </c:pt>
                <c:pt idx="6">
                  <c:v>2031</c:v>
                </c:pt>
                <c:pt idx="7">
                  <c:v>2032</c:v>
                </c:pt>
              </c:numCache>
            </c:numRef>
          </c:cat>
          <c:val>
            <c:numRef>
              <c:f>'III. Chiffrage &amp; Rentabilité'!$L$474:$L$480</c:f>
              <c:numCache>
                <c:formatCode>_("€"* #,##0.00_);_("€"* \(#,##0.00\);_("€"* "-"??_);_(@_)</c:formatCode>
                <c:ptCount val="7"/>
                <c:pt idx="0">
                  <c:v>-489730.88564970868</c:v>
                </c:pt>
                <c:pt idx="1">
                  <c:v>-482099.09708159347</c:v>
                </c:pt>
                <c:pt idx="2">
                  <c:v>-405211.61994536314</c:v>
                </c:pt>
                <c:pt idx="3">
                  <c:v>-201759.22471831227</c:v>
                </c:pt>
                <c:pt idx="4">
                  <c:v>0</c:v>
                </c:pt>
                <c:pt idx="5">
                  <c:v>0</c:v>
                </c:pt>
                <c:pt idx="6">
                  <c:v>0</c:v>
                </c:pt>
              </c:numCache>
            </c:numRef>
          </c:val>
          <c:extLst>
            <c:ext xmlns:c16="http://schemas.microsoft.com/office/drawing/2014/chart" uri="{C3380CC4-5D6E-409C-BE32-E72D297353CC}">
              <c16:uniqueId val="{00000000-9A7A-49F4-BBDF-EA9B4DC4FE41}"/>
            </c:ext>
          </c:extLst>
        </c:ser>
        <c:ser>
          <c:idx val="1"/>
          <c:order val="1"/>
          <c:tx>
            <c:strRef>
              <c:f>'III. Chiffrage &amp; Rentabilité'!$S$473</c:f>
              <c:strCache>
                <c:ptCount val="1"/>
                <c:pt idx="0">
                  <c:v>POSITIF, Junior, NC6</c:v>
                </c:pt>
              </c:strCache>
            </c:strRef>
          </c:tx>
          <c:spPr>
            <a:solidFill>
              <a:schemeClr val="accent4"/>
            </a:solidFill>
            <a:ln>
              <a:noFill/>
            </a:ln>
            <a:effectLst/>
          </c:spPr>
          <c:cat>
            <c:numRef>
              <c:f>'III. Chiffrage &amp; Rentabilité'!$K$474:$K$481</c:f>
              <c:numCache>
                <c:formatCode>General</c:formatCode>
                <c:ptCount val="8"/>
                <c:pt idx="0">
                  <c:v>2025</c:v>
                </c:pt>
                <c:pt idx="1">
                  <c:v>2026</c:v>
                </c:pt>
                <c:pt idx="2">
                  <c:v>2027</c:v>
                </c:pt>
                <c:pt idx="3">
                  <c:v>2028</c:v>
                </c:pt>
                <c:pt idx="4">
                  <c:v>2029</c:v>
                </c:pt>
                <c:pt idx="5">
                  <c:v>2030</c:v>
                </c:pt>
                <c:pt idx="6">
                  <c:v>2031</c:v>
                </c:pt>
                <c:pt idx="7">
                  <c:v>2032</c:v>
                </c:pt>
              </c:numCache>
            </c:numRef>
          </c:cat>
          <c:val>
            <c:numRef>
              <c:f>'III. Chiffrage &amp; Rentabilité'!$S$474:$S$480</c:f>
              <c:numCache>
                <c:formatCode>_("€"* #,##0.00_);_("€"* \(#,##0.00\);_("€"* "-"??_);_(@_)</c:formatCode>
                <c:ptCount val="7"/>
                <c:pt idx="0">
                  <c:v>0</c:v>
                </c:pt>
                <c:pt idx="1">
                  <c:v>0</c:v>
                </c:pt>
                <c:pt idx="2">
                  <c:v>0</c:v>
                </c:pt>
                <c:pt idx="3">
                  <c:v>0</c:v>
                </c:pt>
                <c:pt idx="4">
                  <c:v>61086.244315501302</c:v>
                </c:pt>
                <c:pt idx="5">
                  <c:v>393187.40191743011</c:v>
                </c:pt>
                <c:pt idx="6">
                  <c:v>829248.24808747414</c:v>
                </c:pt>
              </c:numCache>
            </c:numRef>
          </c:val>
          <c:extLst>
            <c:ext xmlns:c16="http://schemas.microsoft.com/office/drawing/2014/chart" uri="{C3380CC4-5D6E-409C-BE32-E72D297353CC}">
              <c16:uniqueId val="{00000002-9A7A-49F4-BBDF-EA9B4DC4FE41}"/>
            </c:ext>
          </c:extLst>
        </c:ser>
        <c:dLbls>
          <c:showLegendKey val="0"/>
          <c:showVal val="0"/>
          <c:showCatName val="0"/>
          <c:showSerName val="0"/>
          <c:showPercent val="0"/>
          <c:showBubbleSize val="0"/>
        </c:dLbls>
        <c:axId val="896837728"/>
        <c:axId val="896844064"/>
      </c:areaChart>
      <c:catAx>
        <c:axId val="896837728"/>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r>
                  <a:rPr lang="fr-FR" sz="1200"/>
                  <a:t>Années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1" i="0" u="none" strike="noStrike" kern="1200" cap="none" spc="0" normalizeH="0" baseline="0">
                <a:solidFill>
                  <a:schemeClr val="dk1">
                    <a:lumMod val="65000"/>
                    <a:lumOff val="35000"/>
                  </a:schemeClr>
                </a:solidFill>
                <a:latin typeface="+mn-lt"/>
                <a:ea typeface="+mn-ea"/>
                <a:cs typeface="+mn-cs"/>
              </a:defRPr>
            </a:pPr>
            <a:endParaRPr lang="fr-FR"/>
          </a:p>
        </c:txPr>
        <c:crossAx val="896844064"/>
        <c:crosses val="autoZero"/>
        <c:auto val="1"/>
        <c:lblAlgn val="ctr"/>
        <c:lblOffset val="100"/>
        <c:noMultiLvlLbl val="0"/>
      </c:catAx>
      <c:valAx>
        <c:axId val="89684406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r>
                  <a:rPr lang="fr-FR" sz="1400"/>
                  <a:t>Gains - Coûts cumulés</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dk1">
                      <a:lumMod val="65000"/>
                      <a:lumOff val="35000"/>
                    </a:schemeClr>
                  </a:solidFill>
                  <a:latin typeface="+mn-lt"/>
                  <a:ea typeface="+mn-ea"/>
                  <a:cs typeface="+mn-cs"/>
                </a:defRPr>
              </a:pPr>
              <a:endParaRPr lang="fr-FR"/>
            </a:p>
          </c:txPr>
        </c:title>
        <c:numFmt formatCode="_(&quot;€&quot;* #,##0.00_);_(&quot;€&quot;* \(#,##0.00\);_(&quot;€&quot;* &quot;-&quot;??_);_(@_)"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dk1">
                    <a:lumMod val="65000"/>
                    <a:lumOff val="35000"/>
                  </a:schemeClr>
                </a:solidFill>
                <a:latin typeface="+mn-lt"/>
                <a:ea typeface="+mn-ea"/>
                <a:cs typeface="+mn-cs"/>
              </a:defRPr>
            </a:pPr>
            <a:endParaRPr lang="fr-FR"/>
          </a:p>
        </c:txPr>
        <c:crossAx val="896837728"/>
        <c:crosses val="autoZero"/>
        <c:crossBetween val="midCat"/>
      </c:valAx>
      <c:spPr>
        <a:pattFill prst="ltDnDiag">
          <a:fgClr>
            <a:schemeClr val="dk1">
              <a:lumMod val="15000"/>
              <a:lumOff val="85000"/>
            </a:schemeClr>
          </a:fgClr>
          <a:bgClr>
            <a:schemeClr val="lt1"/>
          </a:bgClr>
        </a:patt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fr-FR" b="1"/>
              <a:t>Triangle QCD pour le profil Junior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fr-FR"/>
        </a:p>
      </c:txPr>
    </c:title>
    <c:autoTitleDeleted val="0"/>
    <c:plotArea>
      <c:layout/>
      <c:radarChart>
        <c:radarStyle val="fill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'III. Chiffrage &amp; Rentabilité'!$G$99:$G$101</c:f>
              <c:strCache>
                <c:ptCount val="3"/>
                <c:pt idx="0">
                  <c:v>Qualité</c:v>
                </c:pt>
                <c:pt idx="1">
                  <c:v>Délais</c:v>
                </c:pt>
                <c:pt idx="2">
                  <c:v>Coûts</c:v>
                </c:pt>
              </c:strCache>
            </c:strRef>
          </c:cat>
          <c:val>
            <c:numRef>
              <c:f>'III. Chiffrage &amp; Rentabilité'!$H$99:$H$101</c:f>
              <c:numCache>
                <c:formatCode>General</c:formatCode>
                <c:ptCount val="3"/>
                <c:pt idx="0">
                  <c:v>20</c:v>
                </c:pt>
                <c:pt idx="1">
                  <c:v>20</c:v>
                </c:pt>
                <c:pt idx="2">
                  <c:v>80</c:v>
                </c:pt>
              </c:numCache>
            </c:numRef>
          </c:val>
          <c:extLst>
            <c:ext xmlns:c16="http://schemas.microsoft.com/office/drawing/2014/chart" uri="{C3380CC4-5D6E-409C-BE32-E72D297353CC}">
              <c16:uniqueId val="{00000000-BAB2-47BC-A040-EC06C28849C6}"/>
            </c:ext>
          </c:extLst>
        </c:ser>
        <c:dLbls>
          <c:showLegendKey val="0"/>
          <c:showVal val="0"/>
          <c:showCatName val="0"/>
          <c:showSerName val="0"/>
          <c:showPercent val="0"/>
          <c:showBubbleSize val="0"/>
        </c:dLbls>
        <c:axId val="617424352"/>
        <c:axId val="617422944"/>
      </c:radarChart>
      <c:catAx>
        <c:axId val="6174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2944"/>
        <c:crosses val="autoZero"/>
        <c:auto val="1"/>
        <c:lblAlgn val="ctr"/>
        <c:lblOffset val="100"/>
        <c:noMultiLvlLbl val="0"/>
      </c:catAx>
      <c:valAx>
        <c:axId val="61742294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fr-FR" b="1"/>
              <a:t>ROI année par année et</a:t>
            </a:r>
            <a:r>
              <a:rPr lang="fr-FR" b="1" baseline="0"/>
              <a:t> par scénario</a:t>
            </a:r>
            <a:endParaRPr lang="fr-FR"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tx>
            <c:strRef>
              <c:f>'III. Chiffrage &amp; Rentabilité'!$C$417</c:f>
              <c:strCache>
                <c:ptCount val="1"/>
                <c:pt idx="0">
                  <c:v>ROI Junior NC6</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Rentabilité'!$C$418:$C$428</c:f>
              <c:numCache>
                <c:formatCode>0.00</c:formatCode>
                <c:ptCount val="11"/>
                <c:pt idx="0">
                  <c:v>0.15629229318593518</c:v>
                </c:pt>
                <c:pt idx="1">
                  <c:v>0.42848043588077911</c:v>
                </c:pt>
                <c:pt idx="2">
                  <c:v>0.68988549529192267</c:v>
                </c:pt>
                <c:pt idx="3">
                  <c:v>0.8992814982011168</c:v>
                </c:pt>
                <c:pt idx="4">
                  <c:v>1.0213108864610454</c:v>
                </c:pt>
                <c:pt idx="5">
                  <c:v>1.1000555112400594</c:v>
                </c:pt>
                <c:pt idx="6">
                  <c:v>1.1607160027457153</c:v>
                </c:pt>
                <c:pt idx="7">
                  <c:v>1.2025211466652752</c:v>
                </c:pt>
                <c:pt idx="8">
                  <c:v>1.2374429852136757</c:v>
                </c:pt>
                <c:pt idx="9">
                  <c:v>1.2626736694138683</c:v>
                </c:pt>
                <c:pt idx="10">
                  <c:v>1.2814301436662305</c:v>
                </c:pt>
              </c:numCache>
            </c:numRef>
          </c:yVal>
          <c:smooth val="0"/>
          <c:extLst>
            <c:ext xmlns:c16="http://schemas.microsoft.com/office/drawing/2014/chart" uri="{C3380CC4-5D6E-409C-BE32-E72D297353CC}">
              <c16:uniqueId val="{00000000-2CDA-4292-9B4C-430323056CA6}"/>
            </c:ext>
          </c:extLst>
        </c:ser>
        <c:ser>
          <c:idx val="1"/>
          <c:order val="1"/>
          <c:tx>
            <c:strRef>
              <c:f>'III. Chiffrage &amp; Rentabilité'!$D$417</c:f>
              <c:strCache>
                <c:ptCount val="1"/>
                <c:pt idx="0">
                  <c:v>ROI Junior NC12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Rentabilité'!$D$418:$D$428</c:f>
              <c:numCache>
                <c:formatCode>0.00</c:formatCode>
                <c:ptCount val="11"/>
                <c:pt idx="0">
                  <c:v>0.15772938517404081</c:v>
                </c:pt>
                <c:pt idx="1">
                  <c:v>0.43105045059820107</c:v>
                </c:pt>
                <c:pt idx="2">
                  <c:v>0.69227544130126761</c:v>
                </c:pt>
                <c:pt idx="3">
                  <c:v>0.88617945028574718</c:v>
                </c:pt>
                <c:pt idx="4">
                  <c:v>1.0105044819358702</c:v>
                </c:pt>
                <c:pt idx="5">
                  <c:v>1.0911837874223371</c:v>
                </c:pt>
                <c:pt idx="6">
                  <c:v>1.1458876897179717</c:v>
                </c:pt>
                <c:pt idx="7">
                  <c:v>1.1842185506194067</c:v>
                </c:pt>
                <c:pt idx="8">
                  <c:v>1.2219443909894789</c:v>
                </c:pt>
                <c:pt idx="9">
                  <c:v>1.2493978718780145</c:v>
                </c:pt>
                <c:pt idx="10">
                  <c:v>1.2699198289097489</c:v>
                </c:pt>
              </c:numCache>
            </c:numRef>
          </c:yVal>
          <c:smooth val="0"/>
          <c:extLst>
            <c:ext xmlns:c16="http://schemas.microsoft.com/office/drawing/2014/chart" uri="{C3380CC4-5D6E-409C-BE32-E72D297353CC}">
              <c16:uniqueId val="{00000001-2CDA-4292-9B4C-430323056CA6}"/>
            </c:ext>
          </c:extLst>
        </c:ser>
        <c:ser>
          <c:idx val="2"/>
          <c:order val="2"/>
          <c:tx>
            <c:strRef>
              <c:f>'III. Chiffrage &amp; Rentabilité'!$E$417</c:f>
              <c:strCache>
                <c:ptCount val="1"/>
                <c:pt idx="0">
                  <c:v>ROI Senior NC6</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Rentabilité'!$E$418:$E$428</c:f>
              <c:numCache>
                <c:formatCode>0.00</c:formatCode>
                <c:ptCount val="11"/>
                <c:pt idx="0">
                  <c:v>0.11591717245853672</c:v>
                </c:pt>
                <c:pt idx="1">
                  <c:v>0.33713685055185577</c:v>
                </c:pt>
                <c:pt idx="2">
                  <c:v>0.57726506996594285</c:v>
                </c:pt>
                <c:pt idx="3">
                  <c:v>0.78855277404218671</c:v>
                </c:pt>
                <c:pt idx="4">
                  <c:v>0.92231665608451652</c:v>
                </c:pt>
                <c:pt idx="5">
                  <c:v>1.0138742568571588</c:v>
                </c:pt>
                <c:pt idx="6">
                  <c:v>1.0849341052881025</c:v>
                </c:pt>
                <c:pt idx="7">
                  <c:v>1.1358543284210554</c:v>
                </c:pt>
                <c:pt idx="8">
                  <c:v>1.1779941574056609</c:v>
                </c:pt>
                <c:pt idx="9">
                  <c:v>1.2094289959585574</c:v>
                </c:pt>
                <c:pt idx="10">
                  <c:v>1.2334633895586429</c:v>
                </c:pt>
              </c:numCache>
            </c:numRef>
          </c:yVal>
          <c:smooth val="0"/>
          <c:extLst>
            <c:ext xmlns:c16="http://schemas.microsoft.com/office/drawing/2014/chart" uri="{C3380CC4-5D6E-409C-BE32-E72D297353CC}">
              <c16:uniqueId val="{00000002-2CDA-4292-9B4C-430323056CA6}"/>
            </c:ext>
          </c:extLst>
        </c:ser>
        <c:ser>
          <c:idx val="3"/>
          <c:order val="3"/>
          <c:tx>
            <c:strRef>
              <c:f>'III. Chiffrage &amp; Rentabilité'!$F$417</c:f>
              <c:strCache>
                <c:ptCount val="1"/>
                <c:pt idx="0">
                  <c:v>ROI Senior NC12</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Rentabilité'!$F$418:$F$428</c:f>
              <c:numCache>
                <c:formatCode>0.00</c:formatCode>
                <c:ptCount val="11"/>
                <c:pt idx="0">
                  <c:v>0.1167058048874032</c:v>
                </c:pt>
                <c:pt idx="1">
                  <c:v>0.33872587694618589</c:v>
                </c:pt>
                <c:pt idx="2">
                  <c:v>0.57893746583407812</c:v>
                </c:pt>
                <c:pt idx="3">
                  <c:v>0.77846049632620529</c:v>
                </c:pt>
                <c:pt idx="4">
                  <c:v>0.91349457510940946</c:v>
                </c:pt>
                <c:pt idx="5">
                  <c:v>1.0063333863191006</c:v>
                </c:pt>
                <c:pt idx="6">
                  <c:v>1.071968018924454</c:v>
                </c:pt>
                <c:pt idx="7">
                  <c:v>1.1195110516727105</c:v>
                </c:pt>
                <c:pt idx="8">
                  <c:v>1.1639404929077926</c:v>
                </c:pt>
                <c:pt idx="9">
                  <c:v>1.1972438224986963</c:v>
                </c:pt>
                <c:pt idx="10">
                  <c:v>1.2227950727700725</c:v>
                </c:pt>
              </c:numCache>
            </c:numRef>
          </c:yVal>
          <c:smooth val="0"/>
          <c:extLst>
            <c:ext xmlns:c16="http://schemas.microsoft.com/office/drawing/2014/chart" uri="{C3380CC4-5D6E-409C-BE32-E72D297353CC}">
              <c16:uniqueId val="{00000003-2CDA-4292-9B4C-430323056CA6}"/>
            </c:ext>
          </c:extLst>
        </c:ser>
        <c:ser>
          <c:idx val="4"/>
          <c:order val="4"/>
          <c:tx>
            <c:strRef>
              <c:f>'III. Chiffrage &amp; Rentabilité'!$G$417</c:f>
              <c:strCache>
                <c:ptCount val="1"/>
                <c:pt idx="0">
                  <c:v>ROI Expert NC6</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Rentabilité'!$G$418:$G$428</c:f>
              <c:numCache>
                <c:formatCode>0.00</c:formatCode>
                <c:ptCount val="11"/>
                <c:pt idx="0">
                  <c:v>9.0611817585994625E-2</c:v>
                </c:pt>
                <c:pt idx="1">
                  <c:v>0.27399219860554663</c:v>
                </c:pt>
                <c:pt idx="2">
                  <c:v>0.49067206651254552</c:v>
                </c:pt>
                <c:pt idx="3">
                  <c:v>0.69591800371774426</c:v>
                </c:pt>
                <c:pt idx="4">
                  <c:v>0.83483738951036257</c:v>
                </c:pt>
                <c:pt idx="5">
                  <c:v>0.93471045724561874</c:v>
                </c:pt>
                <c:pt idx="6">
                  <c:v>1.013406373430692</c:v>
                </c:pt>
                <c:pt idx="7">
                  <c:v>1.0716281001288464</c:v>
                </c:pt>
                <c:pt idx="8">
                  <c:v>1.1198343191359861</c:v>
                </c:pt>
                <c:pt idx="9">
                  <c:v>1.1566991178356869</c:v>
                </c:pt>
                <c:pt idx="10">
                  <c:v>1.1854906152527303</c:v>
                </c:pt>
              </c:numCache>
            </c:numRef>
          </c:yVal>
          <c:smooth val="0"/>
          <c:extLst>
            <c:ext xmlns:c16="http://schemas.microsoft.com/office/drawing/2014/chart" uri="{C3380CC4-5D6E-409C-BE32-E72D297353CC}">
              <c16:uniqueId val="{00000004-2CDA-4292-9B4C-430323056CA6}"/>
            </c:ext>
          </c:extLst>
        </c:ser>
        <c:ser>
          <c:idx val="5"/>
          <c:order val="5"/>
          <c:tx>
            <c:strRef>
              <c:f>'III. Chiffrage &amp; Rentabilité'!$H$417</c:f>
              <c:strCache>
                <c:ptCount val="1"/>
                <c:pt idx="0">
                  <c:v>ROI Expert NC12</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'III. Chiffrage &amp; Rentabilité'!$B$418:$B$428</c:f>
              <c:numCache>
                <c:formatCode>General</c:formatCode>
                <c:ptCount val="11"/>
                <c:pt idx="0">
                  <c:v>2025</c:v>
                </c:pt>
                <c:pt idx="1">
                  <c:v>2026</c:v>
                </c:pt>
                <c:pt idx="2">
                  <c:v>2027</c:v>
                </c:pt>
                <c:pt idx="3">
                  <c:v>2028</c:v>
                </c:pt>
                <c:pt idx="4">
                  <c:v>2029</c:v>
                </c:pt>
                <c:pt idx="5">
                  <c:v>2030</c:v>
                </c:pt>
                <c:pt idx="6">
                  <c:v>2031</c:v>
                </c:pt>
                <c:pt idx="7">
                  <c:v>2032</c:v>
                </c:pt>
                <c:pt idx="8">
                  <c:v>2033</c:v>
                </c:pt>
                <c:pt idx="9">
                  <c:v>2034</c:v>
                </c:pt>
                <c:pt idx="10">
                  <c:v>2035</c:v>
                </c:pt>
              </c:numCache>
            </c:numRef>
          </c:xVal>
          <c:yVal>
            <c:numRef>
              <c:f>'III. Chiffrage &amp; Rentabilité'!$H$418:$H$428</c:f>
              <c:numCache>
                <c:formatCode>0.00</c:formatCode>
                <c:ptCount val="11"/>
                <c:pt idx="0">
                  <c:v>9.1092993868158334E-2</c:v>
                </c:pt>
                <c:pt idx="1">
                  <c:v>0.27504080339025905</c:v>
                </c:pt>
                <c:pt idx="2">
                  <c:v>0.49187983168300115</c:v>
                </c:pt>
                <c:pt idx="3">
                  <c:v>0.68804578304620001</c:v>
                </c:pt>
                <c:pt idx="4">
                  <c:v>0.82760288316541974</c:v>
                </c:pt>
                <c:pt idx="5">
                  <c:v>0.92829747880310776</c:v>
                </c:pt>
                <c:pt idx="6">
                  <c:v>1.0020846701366652</c:v>
                </c:pt>
                <c:pt idx="7">
                  <c:v>1.0570689666249753</c:v>
                </c:pt>
                <c:pt idx="8">
                  <c:v>1.107126625502151</c:v>
                </c:pt>
                <c:pt idx="9">
                  <c:v>1.1455484062149963</c:v>
                </c:pt>
                <c:pt idx="10">
                  <c:v>1.1756326852124395</c:v>
                </c:pt>
              </c:numCache>
            </c:numRef>
          </c:yVal>
          <c:smooth val="0"/>
          <c:extLst>
            <c:ext xmlns:c16="http://schemas.microsoft.com/office/drawing/2014/chart" uri="{C3380CC4-5D6E-409C-BE32-E72D297353CC}">
              <c16:uniqueId val="{00000005-2CDA-4292-9B4C-430323056CA6}"/>
            </c:ext>
          </c:extLst>
        </c:ser>
        <c:dLbls>
          <c:showLegendKey val="0"/>
          <c:showVal val="0"/>
          <c:showCatName val="0"/>
          <c:showSerName val="0"/>
          <c:showPercent val="0"/>
          <c:showBubbleSize val="0"/>
        </c:dLbls>
        <c:axId val="617402528"/>
        <c:axId val="617400416"/>
      </c:scatterChart>
      <c:valAx>
        <c:axId val="617402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1"/>
                  <a:t>Années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400416"/>
        <c:crosses val="autoZero"/>
        <c:crossBetween val="midCat"/>
      </c:valAx>
      <c:valAx>
        <c:axId val="617400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b="1"/>
                  <a:t>ROI</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74025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fr-FR" b="1"/>
              <a:t>Triangle QCD pour le profil Senior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fr-FR"/>
        </a:p>
      </c:txPr>
    </c:title>
    <c:autoTitleDeleted val="0"/>
    <c:plotArea>
      <c:layout/>
      <c:radarChart>
        <c:radarStyle val="fill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cat>
            <c:strRef>
              <c:f>'III. Chiffrage &amp; Rentabilité'!$G$109:$G$111</c:f>
              <c:strCache>
                <c:ptCount val="3"/>
                <c:pt idx="0">
                  <c:v>Qualité</c:v>
                </c:pt>
                <c:pt idx="1">
                  <c:v>Délais</c:v>
                </c:pt>
                <c:pt idx="2">
                  <c:v>Coûts</c:v>
                </c:pt>
              </c:strCache>
            </c:strRef>
          </c:cat>
          <c:val>
            <c:numRef>
              <c:f>'III. Chiffrage &amp; Rentabilité'!$H$109:$H$111</c:f>
              <c:numCache>
                <c:formatCode>General</c:formatCode>
                <c:ptCount val="3"/>
                <c:pt idx="0">
                  <c:v>50</c:v>
                </c:pt>
                <c:pt idx="1">
                  <c:v>50</c:v>
                </c:pt>
                <c:pt idx="2">
                  <c:v>50</c:v>
                </c:pt>
              </c:numCache>
            </c:numRef>
          </c:val>
          <c:extLst>
            <c:ext xmlns:c16="http://schemas.microsoft.com/office/drawing/2014/chart" uri="{C3380CC4-5D6E-409C-BE32-E72D297353CC}">
              <c16:uniqueId val="{00000000-F50D-4116-8BB6-31F2C3ACD97A}"/>
            </c:ext>
          </c:extLst>
        </c:ser>
        <c:dLbls>
          <c:showLegendKey val="0"/>
          <c:showVal val="0"/>
          <c:showCatName val="0"/>
          <c:showSerName val="0"/>
          <c:showPercent val="0"/>
          <c:showBubbleSize val="0"/>
        </c:dLbls>
        <c:axId val="617424352"/>
        <c:axId val="617422944"/>
      </c:radarChart>
      <c:catAx>
        <c:axId val="61742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2944"/>
        <c:crosses val="autoZero"/>
        <c:auto val="1"/>
        <c:lblAlgn val="ctr"/>
        <c:lblOffset val="100"/>
        <c:noMultiLvlLbl val="0"/>
      </c:catAx>
      <c:valAx>
        <c:axId val="61742294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fr-FR"/>
          </a:p>
        </c:txPr>
        <c:crossAx val="61742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62E25B0-A346-42F5-9084-435841A4CBDE}" type="doc">
      <dgm:prSet loTypeId="urn:microsoft.com/office/officeart/2005/8/layout/orgChart1" loCatId="hierarchy" qsTypeId="urn:microsoft.com/office/officeart/2005/8/quickstyle/simple1" qsCatId="simple" csTypeId="urn:microsoft.com/office/officeart/2005/8/colors/accent1_2" csCatId="accent1" phldr="1"/>
      <dgm:spPr/>
      <dgm:t>
        <a:bodyPr/>
        <a:lstStyle/>
        <a:p>
          <a:endParaRPr lang="fr-FR"/>
        </a:p>
      </dgm:t>
    </dgm:pt>
    <dgm:pt modelId="{62C90475-533F-42F1-B8C7-92F1AE7235E2}">
      <dgm:prSet phldrT="[Texte]"/>
      <dgm:spPr/>
      <dgm:t>
        <a:bodyPr/>
        <a:lstStyle/>
        <a:p>
          <a:r>
            <a:rPr lang="fr-FR" b="1" dirty="0">
              <a:latin typeface="Georgia" panose="02040502050405020303" pitchFamily="18" charset="0"/>
            </a:rPr>
            <a:t>I. Création d’un compte</a:t>
          </a:r>
        </a:p>
      </dgm:t>
    </dgm:pt>
    <dgm:pt modelId="{46D50D77-3DE1-435F-A73D-1DB4B663BE92}" type="parTrans" cxnId="{9F877A72-0156-4413-A4A3-4924F8A651DF}">
      <dgm:prSet/>
      <dgm:spPr/>
      <dgm:t>
        <a:bodyPr/>
        <a:lstStyle/>
        <a:p>
          <a:endParaRPr lang="fr-FR">
            <a:latin typeface="Georgia" panose="02040502050405020303" pitchFamily="18" charset="0"/>
          </a:endParaRPr>
        </a:p>
      </dgm:t>
    </dgm:pt>
    <dgm:pt modelId="{EF9A0225-FFB5-4BAB-B419-8947AFDD37BB}" type="sibTrans" cxnId="{9F877A72-0156-4413-A4A3-4924F8A651DF}">
      <dgm:prSet/>
      <dgm:spPr/>
      <dgm:t>
        <a:bodyPr/>
        <a:lstStyle/>
        <a:p>
          <a:endParaRPr lang="fr-FR">
            <a:latin typeface="Georgia" panose="02040502050405020303" pitchFamily="18" charset="0"/>
          </a:endParaRPr>
        </a:p>
      </dgm:t>
    </dgm:pt>
    <dgm:pt modelId="{944DD5F8-ADC3-44E6-BC73-9E5424BB1FA6}">
      <dgm:prSet/>
      <dgm:spPr/>
      <dgm:t>
        <a:bodyPr/>
        <a:lstStyle/>
        <a:p>
          <a:r>
            <a:rPr lang="fr-FR" b="1" dirty="0">
              <a:latin typeface="Georgia" panose="02040502050405020303" pitchFamily="18" charset="0"/>
            </a:rPr>
            <a:t>IV. Retour Utilisateur</a:t>
          </a:r>
        </a:p>
      </dgm:t>
    </dgm:pt>
    <dgm:pt modelId="{C9EB2228-1084-4457-B999-96D94526226F}" type="parTrans" cxnId="{920E610D-030D-4734-A98F-1B8046D9FC41}">
      <dgm:prSet/>
      <dgm:spPr/>
      <dgm:t>
        <a:bodyPr/>
        <a:lstStyle/>
        <a:p>
          <a:endParaRPr lang="fr-FR">
            <a:latin typeface="Georgia" panose="02040502050405020303" pitchFamily="18" charset="0"/>
          </a:endParaRPr>
        </a:p>
      </dgm:t>
    </dgm:pt>
    <dgm:pt modelId="{85CFD660-2979-4D66-BBFB-21BE52BA5811}" type="sibTrans" cxnId="{920E610D-030D-4734-A98F-1B8046D9FC41}">
      <dgm:prSet/>
      <dgm:spPr/>
      <dgm:t>
        <a:bodyPr/>
        <a:lstStyle/>
        <a:p>
          <a:endParaRPr lang="fr-FR">
            <a:latin typeface="Georgia" panose="02040502050405020303" pitchFamily="18" charset="0"/>
          </a:endParaRPr>
        </a:p>
      </dgm:t>
    </dgm:pt>
    <dgm:pt modelId="{239E6CFD-0D39-4B8D-AC77-64A5C10150E6}">
      <dgm:prSet/>
      <dgm:spPr/>
      <dgm:t>
        <a:bodyPr/>
        <a:lstStyle/>
        <a:p>
          <a:r>
            <a:rPr lang="fr-FR" b="1" dirty="0">
              <a:latin typeface="Georgia" panose="02040502050405020303" pitchFamily="18" charset="0"/>
            </a:rPr>
            <a:t>V. Processus d’achat</a:t>
          </a:r>
        </a:p>
      </dgm:t>
    </dgm:pt>
    <dgm:pt modelId="{DB8F49A8-CBA6-4F16-AC20-2D844E8AF1D5}" type="parTrans" cxnId="{5993B9CA-6268-4D31-98C5-E36D474E9CA7}">
      <dgm:prSet/>
      <dgm:spPr/>
      <dgm:t>
        <a:bodyPr/>
        <a:lstStyle/>
        <a:p>
          <a:endParaRPr lang="fr-FR">
            <a:latin typeface="Georgia" panose="02040502050405020303" pitchFamily="18" charset="0"/>
          </a:endParaRPr>
        </a:p>
      </dgm:t>
    </dgm:pt>
    <dgm:pt modelId="{DB8EC427-B4A8-4B51-B755-16D3FFD8E657}" type="sibTrans" cxnId="{5993B9CA-6268-4D31-98C5-E36D474E9CA7}">
      <dgm:prSet/>
      <dgm:spPr/>
      <dgm:t>
        <a:bodyPr/>
        <a:lstStyle/>
        <a:p>
          <a:endParaRPr lang="fr-FR">
            <a:latin typeface="Georgia" panose="02040502050405020303" pitchFamily="18" charset="0"/>
          </a:endParaRPr>
        </a:p>
      </dgm:t>
    </dgm:pt>
    <dgm:pt modelId="{61818584-CB25-44C9-82F8-7B224E1993DA}">
      <dgm:prSet/>
      <dgm:spPr/>
      <dgm:t>
        <a:bodyPr/>
        <a:lstStyle/>
        <a:p>
          <a:r>
            <a:rPr lang="fr-FR" b="1" dirty="0">
              <a:latin typeface="Georgia" panose="02040502050405020303" pitchFamily="18" charset="0"/>
            </a:rPr>
            <a:t>VI. Gestion des données personnelles (RGPD)</a:t>
          </a:r>
        </a:p>
      </dgm:t>
    </dgm:pt>
    <dgm:pt modelId="{5DABA392-16C9-4E79-B602-CCF095D8255A}" type="parTrans" cxnId="{7360CAB2-4AAC-41CD-8AF1-C1C4466242EF}">
      <dgm:prSet/>
      <dgm:spPr/>
      <dgm:t>
        <a:bodyPr/>
        <a:lstStyle/>
        <a:p>
          <a:endParaRPr lang="fr-FR">
            <a:latin typeface="Georgia" panose="02040502050405020303" pitchFamily="18" charset="0"/>
          </a:endParaRPr>
        </a:p>
      </dgm:t>
    </dgm:pt>
    <dgm:pt modelId="{954F500E-0FE6-4834-A5E7-94D20DA9746D}" type="sibTrans" cxnId="{7360CAB2-4AAC-41CD-8AF1-C1C4466242EF}">
      <dgm:prSet/>
      <dgm:spPr/>
      <dgm:t>
        <a:bodyPr/>
        <a:lstStyle/>
        <a:p>
          <a:endParaRPr lang="fr-FR">
            <a:latin typeface="Georgia" panose="02040502050405020303" pitchFamily="18" charset="0"/>
          </a:endParaRPr>
        </a:p>
      </dgm:t>
    </dgm:pt>
    <dgm:pt modelId="{97D5980F-51D5-428A-B383-5491E33858A7}" type="asst">
      <dgm:prSet phldrT="[Texte]"/>
      <dgm:spPr/>
      <dgm:t>
        <a:bodyPr/>
        <a:lstStyle/>
        <a:p>
          <a:r>
            <a:rPr lang="fr-FR" dirty="0">
              <a:latin typeface="Georgia" panose="02040502050405020303" pitchFamily="18" charset="0"/>
            </a:rPr>
            <a:t>III. </a:t>
          </a:r>
          <a:r>
            <a:rPr lang="fr-FR" b="1" i="0" u="none" dirty="0">
              <a:latin typeface="Georgia" panose="02040502050405020303" pitchFamily="18" charset="0"/>
            </a:rPr>
            <a:t>Outil de recommandation basé sur mes préférences de style ou les tendances du moment.</a:t>
          </a:r>
          <a:endParaRPr lang="fr-FR" dirty="0">
            <a:latin typeface="Georgia" panose="02040502050405020303" pitchFamily="18" charset="0"/>
          </a:endParaRPr>
        </a:p>
      </dgm:t>
    </dgm:pt>
    <dgm:pt modelId="{0E00A8E2-E6A8-4C94-82B5-1814278A2552}" type="parTrans" cxnId="{B2991712-A6BA-443C-AF44-8697430A896C}">
      <dgm:prSet/>
      <dgm:spPr/>
      <dgm:t>
        <a:bodyPr/>
        <a:lstStyle/>
        <a:p>
          <a:endParaRPr lang="fr-FR">
            <a:latin typeface="Georgia" panose="02040502050405020303" pitchFamily="18" charset="0"/>
          </a:endParaRPr>
        </a:p>
      </dgm:t>
    </dgm:pt>
    <dgm:pt modelId="{2110AD54-B1C8-42B5-A189-427666D61ED0}" type="sibTrans" cxnId="{B2991712-A6BA-443C-AF44-8697430A896C}">
      <dgm:prSet/>
      <dgm:spPr/>
      <dgm:t>
        <a:bodyPr/>
        <a:lstStyle/>
        <a:p>
          <a:endParaRPr lang="fr-FR">
            <a:latin typeface="Georgia" panose="02040502050405020303" pitchFamily="18" charset="0"/>
          </a:endParaRPr>
        </a:p>
      </dgm:t>
    </dgm:pt>
    <dgm:pt modelId="{CF9CA124-BC14-4EDD-B202-E1B4D310CC2F}" type="asst">
      <dgm:prSet phldrT="[Texte]"/>
      <dgm:spPr/>
      <dgm:t>
        <a:bodyPr/>
        <a:lstStyle/>
        <a:p>
          <a:r>
            <a:rPr lang="fr-FR" b="1" dirty="0">
              <a:latin typeface="Georgia" panose="02040502050405020303" pitchFamily="18" charset="0"/>
            </a:rPr>
            <a:t>II. Outil de recommandation de vêtements basé sur les </a:t>
          </a:r>
          <a:r>
            <a:rPr lang="fr-FR" b="1" dirty="0" err="1">
              <a:latin typeface="Georgia" panose="02040502050405020303" pitchFamily="18" charset="0"/>
            </a:rPr>
            <a:t>vétements</a:t>
          </a:r>
          <a:r>
            <a:rPr lang="fr-FR" b="1" dirty="0">
              <a:latin typeface="Georgia" panose="02040502050405020303" pitchFamily="18" charset="0"/>
            </a:rPr>
            <a:t> que je possède déjà</a:t>
          </a:r>
        </a:p>
      </dgm:t>
    </dgm:pt>
    <dgm:pt modelId="{891A02DD-7B7F-4751-ACD1-A6CE623881D5}" type="sibTrans" cxnId="{5BCD202E-EEC9-4F5D-B99F-236BC1711905}">
      <dgm:prSet/>
      <dgm:spPr/>
      <dgm:t>
        <a:bodyPr/>
        <a:lstStyle/>
        <a:p>
          <a:endParaRPr lang="fr-FR">
            <a:latin typeface="Georgia" panose="02040502050405020303" pitchFamily="18" charset="0"/>
          </a:endParaRPr>
        </a:p>
      </dgm:t>
    </dgm:pt>
    <dgm:pt modelId="{6943E3E9-E9EC-46D8-960B-9A454A124053}" type="parTrans" cxnId="{5BCD202E-EEC9-4F5D-B99F-236BC1711905}">
      <dgm:prSet/>
      <dgm:spPr/>
      <dgm:t>
        <a:bodyPr/>
        <a:lstStyle/>
        <a:p>
          <a:endParaRPr lang="fr-FR">
            <a:latin typeface="Georgia" panose="02040502050405020303" pitchFamily="18" charset="0"/>
          </a:endParaRPr>
        </a:p>
      </dgm:t>
    </dgm:pt>
    <dgm:pt modelId="{69D12C37-6D71-4AAD-9C22-AD3F709E21EB}" type="pres">
      <dgm:prSet presAssocID="{662E25B0-A346-42F5-9084-435841A4CBDE}" presName="hierChild1" presStyleCnt="0">
        <dgm:presLayoutVars>
          <dgm:orgChart val="1"/>
          <dgm:chPref val="1"/>
          <dgm:dir/>
          <dgm:animOne val="branch"/>
          <dgm:animLvl val="lvl"/>
          <dgm:resizeHandles/>
        </dgm:presLayoutVars>
      </dgm:prSet>
      <dgm:spPr/>
    </dgm:pt>
    <dgm:pt modelId="{62F3B417-3D2A-4E80-8F6E-0BCE6ECF53EB}" type="pres">
      <dgm:prSet presAssocID="{62C90475-533F-42F1-B8C7-92F1AE7235E2}" presName="hierRoot1" presStyleCnt="0">
        <dgm:presLayoutVars>
          <dgm:hierBranch val="init"/>
        </dgm:presLayoutVars>
      </dgm:prSet>
      <dgm:spPr/>
    </dgm:pt>
    <dgm:pt modelId="{5FEFE50F-3131-4B7B-9307-7C513A28D08C}" type="pres">
      <dgm:prSet presAssocID="{62C90475-533F-42F1-B8C7-92F1AE7235E2}" presName="rootComposite1" presStyleCnt="0"/>
      <dgm:spPr/>
    </dgm:pt>
    <dgm:pt modelId="{E13F3BE0-65C4-4510-9983-DD203568A962}" type="pres">
      <dgm:prSet presAssocID="{62C90475-533F-42F1-B8C7-92F1AE7235E2}" presName="rootText1" presStyleLbl="node0" presStyleIdx="0" presStyleCnt="1">
        <dgm:presLayoutVars>
          <dgm:chPref val="3"/>
        </dgm:presLayoutVars>
      </dgm:prSet>
      <dgm:spPr/>
    </dgm:pt>
    <dgm:pt modelId="{21E56692-53E7-43D8-A88B-96CD90530062}" type="pres">
      <dgm:prSet presAssocID="{62C90475-533F-42F1-B8C7-92F1AE7235E2}" presName="rootConnector1" presStyleLbl="node1" presStyleIdx="0" presStyleCnt="0"/>
      <dgm:spPr/>
    </dgm:pt>
    <dgm:pt modelId="{1AA3B5D7-DAA7-4B59-B470-A0E93DB0678B}" type="pres">
      <dgm:prSet presAssocID="{62C90475-533F-42F1-B8C7-92F1AE7235E2}" presName="hierChild2" presStyleCnt="0"/>
      <dgm:spPr/>
    </dgm:pt>
    <dgm:pt modelId="{54BDBBDD-DABE-4F4F-83D2-43DD2D731E48}" type="pres">
      <dgm:prSet presAssocID="{C9EB2228-1084-4457-B999-96D94526226F}" presName="Name37" presStyleLbl="parChTrans1D2" presStyleIdx="0" presStyleCnt="4"/>
      <dgm:spPr/>
    </dgm:pt>
    <dgm:pt modelId="{7F849817-1C47-4F3F-B7E7-80CD57DC6AAB}" type="pres">
      <dgm:prSet presAssocID="{944DD5F8-ADC3-44E6-BC73-9E5424BB1FA6}" presName="hierRoot2" presStyleCnt="0">
        <dgm:presLayoutVars>
          <dgm:hierBranch val="init"/>
        </dgm:presLayoutVars>
      </dgm:prSet>
      <dgm:spPr/>
    </dgm:pt>
    <dgm:pt modelId="{FC5AD341-D7C9-4CAF-8EF5-7F9EABFB0E93}" type="pres">
      <dgm:prSet presAssocID="{944DD5F8-ADC3-44E6-BC73-9E5424BB1FA6}" presName="rootComposite" presStyleCnt="0"/>
      <dgm:spPr/>
    </dgm:pt>
    <dgm:pt modelId="{B2F0F069-39F8-4A91-B37C-E24F0B764A75}" type="pres">
      <dgm:prSet presAssocID="{944DD5F8-ADC3-44E6-BC73-9E5424BB1FA6}" presName="rootText" presStyleLbl="node2" presStyleIdx="0" presStyleCnt="2">
        <dgm:presLayoutVars>
          <dgm:chPref val="3"/>
        </dgm:presLayoutVars>
      </dgm:prSet>
      <dgm:spPr/>
    </dgm:pt>
    <dgm:pt modelId="{ADB288D8-8E00-4455-8E89-1DDD387F4E7E}" type="pres">
      <dgm:prSet presAssocID="{944DD5F8-ADC3-44E6-BC73-9E5424BB1FA6}" presName="rootConnector" presStyleLbl="node2" presStyleIdx="0" presStyleCnt="2"/>
      <dgm:spPr/>
    </dgm:pt>
    <dgm:pt modelId="{07BC6B54-972C-4B64-866D-E333B95B8830}" type="pres">
      <dgm:prSet presAssocID="{944DD5F8-ADC3-44E6-BC73-9E5424BB1FA6}" presName="hierChild4" presStyleCnt="0"/>
      <dgm:spPr/>
    </dgm:pt>
    <dgm:pt modelId="{046ED065-99E5-4972-A109-ADBB4BA0C011}" type="pres">
      <dgm:prSet presAssocID="{DB8F49A8-CBA6-4F16-AC20-2D844E8AF1D5}" presName="Name37" presStyleLbl="parChTrans1D3" presStyleIdx="0" presStyleCnt="1"/>
      <dgm:spPr/>
    </dgm:pt>
    <dgm:pt modelId="{FAAB549B-7CEE-4ADD-BDDB-5222D1C9D28B}" type="pres">
      <dgm:prSet presAssocID="{239E6CFD-0D39-4B8D-AC77-64A5C10150E6}" presName="hierRoot2" presStyleCnt="0">
        <dgm:presLayoutVars>
          <dgm:hierBranch val="init"/>
        </dgm:presLayoutVars>
      </dgm:prSet>
      <dgm:spPr/>
    </dgm:pt>
    <dgm:pt modelId="{34BC7CB9-9107-47BA-81B7-05C6332A7295}" type="pres">
      <dgm:prSet presAssocID="{239E6CFD-0D39-4B8D-AC77-64A5C10150E6}" presName="rootComposite" presStyleCnt="0"/>
      <dgm:spPr/>
    </dgm:pt>
    <dgm:pt modelId="{7D8D2837-38B3-4CDE-A6FB-211A0D06C3C9}" type="pres">
      <dgm:prSet presAssocID="{239E6CFD-0D39-4B8D-AC77-64A5C10150E6}" presName="rootText" presStyleLbl="node3" presStyleIdx="0" presStyleCnt="1">
        <dgm:presLayoutVars>
          <dgm:chPref val="3"/>
        </dgm:presLayoutVars>
      </dgm:prSet>
      <dgm:spPr/>
    </dgm:pt>
    <dgm:pt modelId="{5DAF6619-0B0C-4D5F-88E9-0AEC0AF0F523}" type="pres">
      <dgm:prSet presAssocID="{239E6CFD-0D39-4B8D-AC77-64A5C10150E6}" presName="rootConnector" presStyleLbl="node3" presStyleIdx="0" presStyleCnt="1"/>
      <dgm:spPr/>
    </dgm:pt>
    <dgm:pt modelId="{27E3C218-B65E-410F-A58D-6AC43259DA92}" type="pres">
      <dgm:prSet presAssocID="{239E6CFD-0D39-4B8D-AC77-64A5C10150E6}" presName="hierChild4" presStyleCnt="0"/>
      <dgm:spPr/>
    </dgm:pt>
    <dgm:pt modelId="{CC591B90-11E2-4274-8631-E47C1AB61C4B}" type="pres">
      <dgm:prSet presAssocID="{239E6CFD-0D39-4B8D-AC77-64A5C10150E6}" presName="hierChild5" presStyleCnt="0"/>
      <dgm:spPr/>
    </dgm:pt>
    <dgm:pt modelId="{63D8E322-EE3F-4D0A-867D-C27B678BE8CC}" type="pres">
      <dgm:prSet presAssocID="{944DD5F8-ADC3-44E6-BC73-9E5424BB1FA6}" presName="hierChild5" presStyleCnt="0"/>
      <dgm:spPr/>
    </dgm:pt>
    <dgm:pt modelId="{8C4E635F-8A08-429C-B9C3-2E19467DA061}" type="pres">
      <dgm:prSet presAssocID="{5DABA392-16C9-4E79-B602-CCF095D8255A}" presName="Name37" presStyleLbl="parChTrans1D2" presStyleIdx="1" presStyleCnt="4"/>
      <dgm:spPr/>
    </dgm:pt>
    <dgm:pt modelId="{117CAB08-8838-41A9-B7DB-ED2927542C86}" type="pres">
      <dgm:prSet presAssocID="{61818584-CB25-44C9-82F8-7B224E1993DA}" presName="hierRoot2" presStyleCnt="0">
        <dgm:presLayoutVars>
          <dgm:hierBranch val="init"/>
        </dgm:presLayoutVars>
      </dgm:prSet>
      <dgm:spPr/>
    </dgm:pt>
    <dgm:pt modelId="{99221E1A-20AE-4FAE-AF59-69F0B1CA0B42}" type="pres">
      <dgm:prSet presAssocID="{61818584-CB25-44C9-82F8-7B224E1993DA}" presName="rootComposite" presStyleCnt="0"/>
      <dgm:spPr/>
    </dgm:pt>
    <dgm:pt modelId="{827F002D-49D6-4526-B5A5-52D3010B8721}" type="pres">
      <dgm:prSet presAssocID="{61818584-CB25-44C9-82F8-7B224E1993DA}" presName="rootText" presStyleLbl="node2" presStyleIdx="1" presStyleCnt="2">
        <dgm:presLayoutVars>
          <dgm:chPref val="3"/>
        </dgm:presLayoutVars>
      </dgm:prSet>
      <dgm:spPr/>
    </dgm:pt>
    <dgm:pt modelId="{3C7804A5-1DC2-4E5B-B680-79D227DDF86F}" type="pres">
      <dgm:prSet presAssocID="{61818584-CB25-44C9-82F8-7B224E1993DA}" presName="rootConnector" presStyleLbl="node2" presStyleIdx="1" presStyleCnt="2"/>
      <dgm:spPr/>
    </dgm:pt>
    <dgm:pt modelId="{04C4BE9F-5059-4671-8AC2-C93C9C059D95}" type="pres">
      <dgm:prSet presAssocID="{61818584-CB25-44C9-82F8-7B224E1993DA}" presName="hierChild4" presStyleCnt="0"/>
      <dgm:spPr/>
    </dgm:pt>
    <dgm:pt modelId="{D05EF979-4F1E-4921-80FC-A862BC975571}" type="pres">
      <dgm:prSet presAssocID="{61818584-CB25-44C9-82F8-7B224E1993DA}" presName="hierChild5" presStyleCnt="0"/>
      <dgm:spPr/>
    </dgm:pt>
    <dgm:pt modelId="{20D41068-8B24-4407-A3EC-70C6647BC8A3}" type="pres">
      <dgm:prSet presAssocID="{62C90475-533F-42F1-B8C7-92F1AE7235E2}" presName="hierChild3" presStyleCnt="0"/>
      <dgm:spPr/>
    </dgm:pt>
    <dgm:pt modelId="{C3C79C71-A003-4080-991F-9B201A28ED8E}" type="pres">
      <dgm:prSet presAssocID="{6943E3E9-E9EC-46D8-960B-9A454A124053}" presName="Name111" presStyleLbl="parChTrans1D2" presStyleIdx="2" presStyleCnt="4"/>
      <dgm:spPr/>
    </dgm:pt>
    <dgm:pt modelId="{77EFE8C5-B72A-4548-8117-CCD2E8C4D6E8}" type="pres">
      <dgm:prSet presAssocID="{CF9CA124-BC14-4EDD-B202-E1B4D310CC2F}" presName="hierRoot3" presStyleCnt="0">
        <dgm:presLayoutVars>
          <dgm:hierBranch val="init"/>
        </dgm:presLayoutVars>
      </dgm:prSet>
      <dgm:spPr/>
    </dgm:pt>
    <dgm:pt modelId="{388860EC-A6DB-4A9C-B97B-C9FC46386814}" type="pres">
      <dgm:prSet presAssocID="{CF9CA124-BC14-4EDD-B202-E1B4D310CC2F}" presName="rootComposite3" presStyleCnt="0"/>
      <dgm:spPr/>
    </dgm:pt>
    <dgm:pt modelId="{84E7D0A6-D17C-4AC0-9D31-4E08FC6E1ACD}" type="pres">
      <dgm:prSet presAssocID="{CF9CA124-BC14-4EDD-B202-E1B4D310CC2F}" presName="rootText3" presStyleLbl="asst1" presStyleIdx="0" presStyleCnt="2">
        <dgm:presLayoutVars>
          <dgm:chPref val="3"/>
        </dgm:presLayoutVars>
      </dgm:prSet>
      <dgm:spPr/>
    </dgm:pt>
    <dgm:pt modelId="{6EAFA0A8-FB60-491D-B462-62E8B3346764}" type="pres">
      <dgm:prSet presAssocID="{CF9CA124-BC14-4EDD-B202-E1B4D310CC2F}" presName="rootConnector3" presStyleLbl="asst1" presStyleIdx="0" presStyleCnt="2"/>
      <dgm:spPr/>
    </dgm:pt>
    <dgm:pt modelId="{CFA4A70F-DFA2-4D94-A363-1C74349436B0}" type="pres">
      <dgm:prSet presAssocID="{CF9CA124-BC14-4EDD-B202-E1B4D310CC2F}" presName="hierChild6" presStyleCnt="0"/>
      <dgm:spPr/>
    </dgm:pt>
    <dgm:pt modelId="{38F28277-53FA-4DDC-B955-ACE1D179896D}" type="pres">
      <dgm:prSet presAssocID="{CF9CA124-BC14-4EDD-B202-E1B4D310CC2F}" presName="hierChild7" presStyleCnt="0"/>
      <dgm:spPr/>
    </dgm:pt>
    <dgm:pt modelId="{17016484-411C-4CA3-8E8D-0F4036FD1714}" type="pres">
      <dgm:prSet presAssocID="{0E00A8E2-E6A8-4C94-82B5-1814278A2552}" presName="Name111" presStyleLbl="parChTrans1D2" presStyleIdx="3" presStyleCnt="4"/>
      <dgm:spPr/>
    </dgm:pt>
    <dgm:pt modelId="{CF7949DF-1CEB-4F0F-AA27-46C26A939025}" type="pres">
      <dgm:prSet presAssocID="{97D5980F-51D5-428A-B383-5491E33858A7}" presName="hierRoot3" presStyleCnt="0">
        <dgm:presLayoutVars>
          <dgm:hierBranch val="init"/>
        </dgm:presLayoutVars>
      </dgm:prSet>
      <dgm:spPr/>
    </dgm:pt>
    <dgm:pt modelId="{358227D5-7892-4797-8323-E9E4A2A0DB72}" type="pres">
      <dgm:prSet presAssocID="{97D5980F-51D5-428A-B383-5491E33858A7}" presName="rootComposite3" presStyleCnt="0"/>
      <dgm:spPr/>
    </dgm:pt>
    <dgm:pt modelId="{30DFB1F1-B927-43FB-BD66-64F9B76A79F8}" type="pres">
      <dgm:prSet presAssocID="{97D5980F-51D5-428A-B383-5491E33858A7}" presName="rootText3" presStyleLbl="asst1" presStyleIdx="1" presStyleCnt="2">
        <dgm:presLayoutVars>
          <dgm:chPref val="3"/>
        </dgm:presLayoutVars>
      </dgm:prSet>
      <dgm:spPr/>
    </dgm:pt>
    <dgm:pt modelId="{5A2C3313-4D54-4DF7-BCE1-818F067F5957}" type="pres">
      <dgm:prSet presAssocID="{97D5980F-51D5-428A-B383-5491E33858A7}" presName="rootConnector3" presStyleLbl="asst1" presStyleIdx="1" presStyleCnt="2"/>
      <dgm:spPr/>
    </dgm:pt>
    <dgm:pt modelId="{168E69AC-2923-4EBE-A060-4367DB84FB19}" type="pres">
      <dgm:prSet presAssocID="{97D5980F-51D5-428A-B383-5491E33858A7}" presName="hierChild6" presStyleCnt="0"/>
      <dgm:spPr/>
    </dgm:pt>
    <dgm:pt modelId="{ABF51A69-AB9B-4349-9E01-E02E29B0BBC2}" type="pres">
      <dgm:prSet presAssocID="{97D5980F-51D5-428A-B383-5491E33858A7}" presName="hierChild7" presStyleCnt="0"/>
      <dgm:spPr/>
    </dgm:pt>
  </dgm:ptLst>
  <dgm:cxnLst>
    <dgm:cxn modelId="{4594E002-1277-4A3B-A8B7-035ADA3B3C1F}" type="presOf" srcId="{6943E3E9-E9EC-46D8-960B-9A454A124053}" destId="{C3C79C71-A003-4080-991F-9B201A28ED8E}" srcOrd="0" destOrd="0" presId="urn:microsoft.com/office/officeart/2005/8/layout/orgChart1"/>
    <dgm:cxn modelId="{920E610D-030D-4734-A98F-1B8046D9FC41}" srcId="{62C90475-533F-42F1-B8C7-92F1AE7235E2}" destId="{944DD5F8-ADC3-44E6-BC73-9E5424BB1FA6}" srcOrd="2" destOrd="0" parTransId="{C9EB2228-1084-4457-B999-96D94526226F}" sibTransId="{85CFD660-2979-4D66-BBFB-21BE52BA5811}"/>
    <dgm:cxn modelId="{B2991712-A6BA-443C-AF44-8697430A896C}" srcId="{62C90475-533F-42F1-B8C7-92F1AE7235E2}" destId="{97D5980F-51D5-428A-B383-5491E33858A7}" srcOrd="1" destOrd="0" parTransId="{0E00A8E2-E6A8-4C94-82B5-1814278A2552}" sibTransId="{2110AD54-B1C8-42B5-A189-427666D61ED0}"/>
    <dgm:cxn modelId="{213EAE1D-A663-4AAF-8249-76D5C1DB90D5}" type="presOf" srcId="{944DD5F8-ADC3-44E6-BC73-9E5424BB1FA6}" destId="{ADB288D8-8E00-4455-8E89-1DDD387F4E7E}" srcOrd="1" destOrd="0" presId="urn:microsoft.com/office/officeart/2005/8/layout/orgChart1"/>
    <dgm:cxn modelId="{0965A728-C0DC-4418-A6D9-91D3F41CBF79}" type="presOf" srcId="{662E25B0-A346-42F5-9084-435841A4CBDE}" destId="{69D12C37-6D71-4AAD-9C22-AD3F709E21EB}" srcOrd="0" destOrd="0" presId="urn:microsoft.com/office/officeart/2005/8/layout/orgChart1"/>
    <dgm:cxn modelId="{5C29DB2A-7CB8-4084-B4AF-A40C2BF8D019}" type="presOf" srcId="{61818584-CB25-44C9-82F8-7B224E1993DA}" destId="{3C7804A5-1DC2-4E5B-B680-79D227DDF86F}" srcOrd="1" destOrd="0" presId="urn:microsoft.com/office/officeart/2005/8/layout/orgChart1"/>
    <dgm:cxn modelId="{5BCD202E-EEC9-4F5D-B99F-236BC1711905}" srcId="{62C90475-533F-42F1-B8C7-92F1AE7235E2}" destId="{CF9CA124-BC14-4EDD-B202-E1B4D310CC2F}" srcOrd="0" destOrd="0" parTransId="{6943E3E9-E9EC-46D8-960B-9A454A124053}" sibTransId="{891A02DD-7B7F-4751-ACD1-A6CE623881D5}"/>
    <dgm:cxn modelId="{8E57BB39-2DC7-49AC-B120-F0AE712D9AD3}" type="presOf" srcId="{62C90475-533F-42F1-B8C7-92F1AE7235E2}" destId="{E13F3BE0-65C4-4510-9983-DD203568A962}" srcOrd="0" destOrd="0" presId="urn:microsoft.com/office/officeart/2005/8/layout/orgChart1"/>
    <dgm:cxn modelId="{9110E96E-BDBF-4D99-A3C7-BB1965B9498A}" type="presOf" srcId="{239E6CFD-0D39-4B8D-AC77-64A5C10150E6}" destId="{7D8D2837-38B3-4CDE-A6FB-211A0D06C3C9}" srcOrd="0" destOrd="0" presId="urn:microsoft.com/office/officeart/2005/8/layout/orgChart1"/>
    <dgm:cxn modelId="{9F877A72-0156-4413-A4A3-4924F8A651DF}" srcId="{662E25B0-A346-42F5-9084-435841A4CBDE}" destId="{62C90475-533F-42F1-B8C7-92F1AE7235E2}" srcOrd="0" destOrd="0" parTransId="{46D50D77-3DE1-435F-A73D-1DB4B663BE92}" sibTransId="{EF9A0225-FFB5-4BAB-B419-8947AFDD37BB}"/>
    <dgm:cxn modelId="{2C584779-5B0D-4B26-BBF7-ACC0FF1EAD90}" type="presOf" srcId="{C9EB2228-1084-4457-B999-96D94526226F}" destId="{54BDBBDD-DABE-4F4F-83D2-43DD2D731E48}" srcOrd="0" destOrd="0" presId="urn:microsoft.com/office/officeart/2005/8/layout/orgChart1"/>
    <dgm:cxn modelId="{C4B4AF97-4383-4E6E-B9FE-1FDDBFEF1FE0}" type="presOf" srcId="{0E00A8E2-E6A8-4C94-82B5-1814278A2552}" destId="{17016484-411C-4CA3-8E8D-0F4036FD1714}" srcOrd="0" destOrd="0" presId="urn:microsoft.com/office/officeart/2005/8/layout/orgChart1"/>
    <dgm:cxn modelId="{1D015BA3-028F-487A-8766-065CCC0332BF}" type="presOf" srcId="{97D5980F-51D5-428A-B383-5491E33858A7}" destId="{30DFB1F1-B927-43FB-BD66-64F9B76A79F8}" srcOrd="0" destOrd="0" presId="urn:microsoft.com/office/officeart/2005/8/layout/orgChart1"/>
    <dgm:cxn modelId="{B6DF36B2-299B-4026-ABDB-6295E02402FF}" type="presOf" srcId="{97D5980F-51D5-428A-B383-5491E33858A7}" destId="{5A2C3313-4D54-4DF7-BCE1-818F067F5957}" srcOrd="1" destOrd="0" presId="urn:microsoft.com/office/officeart/2005/8/layout/orgChart1"/>
    <dgm:cxn modelId="{7360CAB2-4AAC-41CD-8AF1-C1C4466242EF}" srcId="{62C90475-533F-42F1-B8C7-92F1AE7235E2}" destId="{61818584-CB25-44C9-82F8-7B224E1993DA}" srcOrd="3" destOrd="0" parTransId="{5DABA392-16C9-4E79-B602-CCF095D8255A}" sibTransId="{954F500E-0FE6-4834-A5E7-94D20DA9746D}"/>
    <dgm:cxn modelId="{5993B9CA-6268-4D31-98C5-E36D474E9CA7}" srcId="{944DD5F8-ADC3-44E6-BC73-9E5424BB1FA6}" destId="{239E6CFD-0D39-4B8D-AC77-64A5C10150E6}" srcOrd="0" destOrd="0" parTransId="{DB8F49A8-CBA6-4F16-AC20-2D844E8AF1D5}" sibTransId="{DB8EC427-B4A8-4B51-B755-16D3FFD8E657}"/>
    <dgm:cxn modelId="{CEFC3AD2-AA8F-4448-A5C8-3FB337B79B21}" type="presOf" srcId="{61818584-CB25-44C9-82F8-7B224E1993DA}" destId="{827F002D-49D6-4526-B5A5-52D3010B8721}" srcOrd="0" destOrd="0" presId="urn:microsoft.com/office/officeart/2005/8/layout/orgChart1"/>
    <dgm:cxn modelId="{4D943BE8-F37E-42E5-B938-24BE8897E35D}" type="presOf" srcId="{5DABA392-16C9-4E79-B602-CCF095D8255A}" destId="{8C4E635F-8A08-429C-B9C3-2E19467DA061}" srcOrd="0" destOrd="0" presId="urn:microsoft.com/office/officeart/2005/8/layout/orgChart1"/>
    <dgm:cxn modelId="{EA52F9EE-5A80-48A2-B768-EA0A4C812E42}" type="presOf" srcId="{239E6CFD-0D39-4B8D-AC77-64A5C10150E6}" destId="{5DAF6619-0B0C-4D5F-88E9-0AEC0AF0F523}" srcOrd="1" destOrd="0" presId="urn:microsoft.com/office/officeart/2005/8/layout/orgChart1"/>
    <dgm:cxn modelId="{62C273F1-0CA2-4992-A1D5-60CF53C0D89A}" type="presOf" srcId="{CF9CA124-BC14-4EDD-B202-E1B4D310CC2F}" destId="{84E7D0A6-D17C-4AC0-9D31-4E08FC6E1ACD}" srcOrd="0" destOrd="0" presId="urn:microsoft.com/office/officeart/2005/8/layout/orgChart1"/>
    <dgm:cxn modelId="{56AB5FF2-8B73-4BB2-82C2-70E22D60B3A5}" type="presOf" srcId="{62C90475-533F-42F1-B8C7-92F1AE7235E2}" destId="{21E56692-53E7-43D8-A88B-96CD90530062}" srcOrd="1" destOrd="0" presId="urn:microsoft.com/office/officeart/2005/8/layout/orgChart1"/>
    <dgm:cxn modelId="{108130F3-24DA-4F9E-B3D6-412E047D7C6B}" type="presOf" srcId="{CF9CA124-BC14-4EDD-B202-E1B4D310CC2F}" destId="{6EAFA0A8-FB60-491D-B462-62E8B3346764}" srcOrd="1" destOrd="0" presId="urn:microsoft.com/office/officeart/2005/8/layout/orgChart1"/>
    <dgm:cxn modelId="{2E9BFFFB-1ABF-4A29-A736-7D3AF03539E6}" type="presOf" srcId="{DB8F49A8-CBA6-4F16-AC20-2D844E8AF1D5}" destId="{046ED065-99E5-4972-A109-ADBB4BA0C011}" srcOrd="0" destOrd="0" presId="urn:microsoft.com/office/officeart/2005/8/layout/orgChart1"/>
    <dgm:cxn modelId="{D1404FFD-C169-4FA0-A734-70772E4D1BA6}" type="presOf" srcId="{944DD5F8-ADC3-44E6-BC73-9E5424BB1FA6}" destId="{B2F0F069-39F8-4A91-B37C-E24F0B764A75}" srcOrd="0" destOrd="0" presId="urn:microsoft.com/office/officeart/2005/8/layout/orgChart1"/>
    <dgm:cxn modelId="{2E817FEB-A69F-49BF-9074-C4987AD0B3EA}" type="presParOf" srcId="{69D12C37-6D71-4AAD-9C22-AD3F709E21EB}" destId="{62F3B417-3D2A-4E80-8F6E-0BCE6ECF53EB}" srcOrd="0" destOrd="0" presId="urn:microsoft.com/office/officeart/2005/8/layout/orgChart1"/>
    <dgm:cxn modelId="{826480DE-3380-4FBF-A8AA-20304E042D58}" type="presParOf" srcId="{62F3B417-3D2A-4E80-8F6E-0BCE6ECF53EB}" destId="{5FEFE50F-3131-4B7B-9307-7C513A28D08C}" srcOrd="0" destOrd="0" presId="urn:microsoft.com/office/officeart/2005/8/layout/orgChart1"/>
    <dgm:cxn modelId="{52C8CCB9-FE9B-4520-8D32-54BB98D5AF6B}" type="presParOf" srcId="{5FEFE50F-3131-4B7B-9307-7C513A28D08C}" destId="{E13F3BE0-65C4-4510-9983-DD203568A962}" srcOrd="0" destOrd="0" presId="urn:microsoft.com/office/officeart/2005/8/layout/orgChart1"/>
    <dgm:cxn modelId="{70CA752D-8B2A-474C-BBE3-122ACFFC6B6A}" type="presParOf" srcId="{5FEFE50F-3131-4B7B-9307-7C513A28D08C}" destId="{21E56692-53E7-43D8-A88B-96CD90530062}" srcOrd="1" destOrd="0" presId="urn:microsoft.com/office/officeart/2005/8/layout/orgChart1"/>
    <dgm:cxn modelId="{2C0E571F-73A4-49B8-8EDA-758B5A596F42}" type="presParOf" srcId="{62F3B417-3D2A-4E80-8F6E-0BCE6ECF53EB}" destId="{1AA3B5D7-DAA7-4B59-B470-A0E93DB0678B}" srcOrd="1" destOrd="0" presId="urn:microsoft.com/office/officeart/2005/8/layout/orgChart1"/>
    <dgm:cxn modelId="{9F178C00-04A6-4178-8224-ADBF236CCE30}" type="presParOf" srcId="{1AA3B5D7-DAA7-4B59-B470-A0E93DB0678B}" destId="{54BDBBDD-DABE-4F4F-83D2-43DD2D731E48}" srcOrd="0" destOrd="0" presId="urn:microsoft.com/office/officeart/2005/8/layout/orgChart1"/>
    <dgm:cxn modelId="{C926CFFE-324D-4C84-9D64-68B5AFB034F6}" type="presParOf" srcId="{1AA3B5D7-DAA7-4B59-B470-A0E93DB0678B}" destId="{7F849817-1C47-4F3F-B7E7-80CD57DC6AAB}" srcOrd="1" destOrd="0" presId="urn:microsoft.com/office/officeart/2005/8/layout/orgChart1"/>
    <dgm:cxn modelId="{BE63EEAD-FEC0-41EC-8CFE-66717F96D66E}" type="presParOf" srcId="{7F849817-1C47-4F3F-B7E7-80CD57DC6AAB}" destId="{FC5AD341-D7C9-4CAF-8EF5-7F9EABFB0E93}" srcOrd="0" destOrd="0" presId="urn:microsoft.com/office/officeart/2005/8/layout/orgChart1"/>
    <dgm:cxn modelId="{CA53F206-6228-4EF5-9A68-E6BC09E2DE9B}" type="presParOf" srcId="{FC5AD341-D7C9-4CAF-8EF5-7F9EABFB0E93}" destId="{B2F0F069-39F8-4A91-B37C-E24F0B764A75}" srcOrd="0" destOrd="0" presId="urn:microsoft.com/office/officeart/2005/8/layout/orgChart1"/>
    <dgm:cxn modelId="{EC6A0470-C9D5-499B-8F57-F933390CE350}" type="presParOf" srcId="{FC5AD341-D7C9-4CAF-8EF5-7F9EABFB0E93}" destId="{ADB288D8-8E00-4455-8E89-1DDD387F4E7E}" srcOrd="1" destOrd="0" presId="urn:microsoft.com/office/officeart/2005/8/layout/orgChart1"/>
    <dgm:cxn modelId="{DD332FED-1514-48BA-837A-16220FB111A6}" type="presParOf" srcId="{7F849817-1C47-4F3F-B7E7-80CD57DC6AAB}" destId="{07BC6B54-972C-4B64-866D-E333B95B8830}" srcOrd="1" destOrd="0" presId="urn:microsoft.com/office/officeart/2005/8/layout/orgChart1"/>
    <dgm:cxn modelId="{A9DD3E70-9C8D-4234-A55A-A3CC5AC7022A}" type="presParOf" srcId="{07BC6B54-972C-4B64-866D-E333B95B8830}" destId="{046ED065-99E5-4972-A109-ADBB4BA0C011}" srcOrd="0" destOrd="0" presId="urn:microsoft.com/office/officeart/2005/8/layout/orgChart1"/>
    <dgm:cxn modelId="{A2584454-BD78-4059-912E-D36BE9A21C4F}" type="presParOf" srcId="{07BC6B54-972C-4B64-866D-E333B95B8830}" destId="{FAAB549B-7CEE-4ADD-BDDB-5222D1C9D28B}" srcOrd="1" destOrd="0" presId="urn:microsoft.com/office/officeart/2005/8/layout/orgChart1"/>
    <dgm:cxn modelId="{0F608EC2-CBE5-47A1-BC3D-447395ABA989}" type="presParOf" srcId="{FAAB549B-7CEE-4ADD-BDDB-5222D1C9D28B}" destId="{34BC7CB9-9107-47BA-81B7-05C6332A7295}" srcOrd="0" destOrd="0" presId="urn:microsoft.com/office/officeart/2005/8/layout/orgChart1"/>
    <dgm:cxn modelId="{4BF3345F-6C9E-4725-B4F7-398789505B40}" type="presParOf" srcId="{34BC7CB9-9107-47BA-81B7-05C6332A7295}" destId="{7D8D2837-38B3-4CDE-A6FB-211A0D06C3C9}" srcOrd="0" destOrd="0" presId="urn:microsoft.com/office/officeart/2005/8/layout/orgChart1"/>
    <dgm:cxn modelId="{F7F2F3BF-E3F7-453E-8A63-6DEC0D64BFC6}" type="presParOf" srcId="{34BC7CB9-9107-47BA-81B7-05C6332A7295}" destId="{5DAF6619-0B0C-4D5F-88E9-0AEC0AF0F523}" srcOrd="1" destOrd="0" presId="urn:microsoft.com/office/officeart/2005/8/layout/orgChart1"/>
    <dgm:cxn modelId="{1E27DC11-A875-4AAE-ABA4-627B5FF83214}" type="presParOf" srcId="{FAAB549B-7CEE-4ADD-BDDB-5222D1C9D28B}" destId="{27E3C218-B65E-410F-A58D-6AC43259DA92}" srcOrd="1" destOrd="0" presId="urn:microsoft.com/office/officeart/2005/8/layout/orgChart1"/>
    <dgm:cxn modelId="{E3A8A9F0-8B39-4B5B-8D3D-FC1C1F5C58B5}" type="presParOf" srcId="{FAAB549B-7CEE-4ADD-BDDB-5222D1C9D28B}" destId="{CC591B90-11E2-4274-8631-E47C1AB61C4B}" srcOrd="2" destOrd="0" presId="urn:microsoft.com/office/officeart/2005/8/layout/orgChart1"/>
    <dgm:cxn modelId="{E064FBA0-DABE-4F2A-B485-7A1D7AB18464}" type="presParOf" srcId="{7F849817-1C47-4F3F-B7E7-80CD57DC6AAB}" destId="{63D8E322-EE3F-4D0A-867D-C27B678BE8CC}" srcOrd="2" destOrd="0" presId="urn:microsoft.com/office/officeart/2005/8/layout/orgChart1"/>
    <dgm:cxn modelId="{2394BADE-C2A0-4413-B41B-D90FCE831207}" type="presParOf" srcId="{1AA3B5D7-DAA7-4B59-B470-A0E93DB0678B}" destId="{8C4E635F-8A08-429C-B9C3-2E19467DA061}" srcOrd="2" destOrd="0" presId="urn:microsoft.com/office/officeart/2005/8/layout/orgChart1"/>
    <dgm:cxn modelId="{5010FC6E-3657-4D79-8F45-C24EA0BA33C1}" type="presParOf" srcId="{1AA3B5D7-DAA7-4B59-B470-A0E93DB0678B}" destId="{117CAB08-8838-41A9-B7DB-ED2927542C86}" srcOrd="3" destOrd="0" presId="urn:microsoft.com/office/officeart/2005/8/layout/orgChart1"/>
    <dgm:cxn modelId="{F2B09CF0-B1C9-45F8-B2A0-F3C771EF2D42}" type="presParOf" srcId="{117CAB08-8838-41A9-B7DB-ED2927542C86}" destId="{99221E1A-20AE-4FAE-AF59-69F0B1CA0B42}" srcOrd="0" destOrd="0" presId="urn:microsoft.com/office/officeart/2005/8/layout/orgChart1"/>
    <dgm:cxn modelId="{74FCDEF9-176F-441A-8ED3-328FE30A7450}" type="presParOf" srcId="{99221E1A-20AE-4FAE-AF59-69F0B1CA0B42}" destId="{827F002D-49D6-4526-B5A5-52D3010B8721}" srcOrd="0" destOrd="0" presId="urn:microsoft.com/office/officeart/2005/8/layout/orgChart1"/>
    <dgm:cxn modelId="{BF7441C2-8E44-4468-B728-413239C55D35}" type="presParOf" srcId="{99221E1A-20AE-4FAE-AF59-69F0B1CA0B42}" destId="{3C7804A5-1DC2-4E5B-B680-79D227DDF86F}" srcOrd="1" destOrd="0" presId="urn:microsoft.com/office/officeart/2005/8/layout/orgChart1"/>
    <dgm:cxn modelId="{441E1E78-0906-487F-B643-A0205B75A087}" type="presParOf" srcId="{117CAB08-8838-41A9-B7DB-ED2927542C86}" destId="{04C4BE9F-5059-4671-8AC2-C93C9C059D95}" srcOrd="1" destOrd="0" presId="urn:microsoft.com/office/officeart/2005/8/layout/orgChart1"/>
    <dgm:cxn modelId="{57B9EE34-FC59-4FDD-8849-D44F127DC473}" type="presParOf" srcId="{117CAB08-8838-41A9-B7DB-ED2927542C86}" destId="{D05EF979-4F1E-4921-80FC-A862BC975571}" srcOrd="2" destOrd="0" presId="urn:microsoft.com/office/officeart/2005/8/layout/orgChart1"/>
    <dgm:cxn modelId="{2C00E2E1-B905-4045-9490-A3270CFD7CE7}" type="presParOf" srcId="{62F3B417-3D2A-4E80-8F6E-0BCE6ECF53EB}" destId="{20D41068-8B24-4407-A3EC-70C6647BC8A3}" srcOrd="2" destOrd="0" presId="urn:microsoft.com/office/officeart/2005/8/layout/orgChart1"/>
    <dgm:cxn modelId="{791EBAF0-B2BC-446D-AB16-414FDDB1DB66}" type="presParOf" srcId="{20D41068-8B24-4407-A3EC-70C6647BC8A3}" destId="{C3C79C71-A003-4080-991F-9B201A28ED8E}" srcOrd="0" destOrd="0" presId="urn:microsoft.com/office/officeart/2005/8/layout/orgChart1"/>
    <dgm:cxn modelId="{555232CF-9E45-442E-92CB-AA9063568343}" type="presParOf" srcId="{20D41068-8B24-4407-A3EC-70C6647BC8A3}" destId="{77EFE8C5-B72A-4548-8117-CCD2E8C4D6E8}" srcOrd="1" destOrd="0" presId="urn:microsoft.com/office/officeart/2005/8/layout/orgChart1"/>
    <dgm:cxn modelId="{067B16F5-4AE9-4F53-8BA9-B8EAD34B3777}" type="presParOf" srcId="{77EFE8C5-B72A-4548-8117-CCD2E8C4D6E8}" destId="{388860EC-A6DB-4A9C-B97B-C9FC46386814}" srcOrd="0" destOrd="0" presId="urn:microsoft.com/office/officeart/2005/8/layout/orgChart1"/>
    <dgm:cxn modelId="{605B7649-43C2-43FB-973A-3247CE648E12}" type="presParOf" srcId="{388860EC-A6DB-4A9C-B97B-C9FC46386814}" destId="{84E7D0A6-D17C-4AC0-9D31-4E08FC6E1ACD}" srcOrd="0" destOrd="0" presId="urn:microsoft.com/office/officeart/2005/8/layout/orgChart1"/>
    <dgm:cxn modelId="{AD58D8A0-840E-4FD6-B4A5-35A59DCBB350}" type="presParOf" srcId="{388860EC-A6DB-4A9C-B97B-C9FC46386814}" destId="{6EAFA0A8-FB60-491D-B462-62E8B3346764}" srcOrd="1" destOrd="0" presId="urn:microsoft.com/office/officeart/2005/8/layout/orgChart1"/>
    <dgm:cxn modelId="{299403FC-84E0-44AC-916C-C51281550A26}" type="presParOf" srcId="{77EFE8C5-B72A-4548-8117-CCD2E8C4D6E8}" destId="{CFA4A70F-DFA2-4D94-A363-1C74349436B0}" srcOrd="1" destOrd="0" presId="urn:microsoft.com/office/officeart/2005/8/layout/orgChart1"/>
    <dgm:cxn modelId="{3BCCE962-21D0-4E8E-91CF-3F6B70916F54}" type="presParOf" srcId="{77EFE8C5-B72A-4548-8117-CCD2E8C4D6E8}" destId="{38F28277-53FA-4DDC-B955-ACE1D179896D}" srcOrd="2" destOrd="0" presId="urn:microsoft.com/office/officeart/2005/8/layout/orgChart1"/>
    <dgm:cxn modelId="{F4F94D4C-CF86-445E-B68E-4A5BD33AD57D}" type="presParOf" srcId="{20D41068-8B24-4407-A3EC-70C6647BC8A3}" destId="{17016484-411C-4CA3-8E8D-0F4036FD1714}" srcOrd="2" destOrd="0" presId="urn:microsoft.com/office/officeart/2005/8/layout/orgChart1"/>
    <dgm:cxn modelId="{F9D9E247-8991-4B52-BC3A-6B1B61E994C5}" type="presParOf" srcId="{20D41068-8B24-4407-A3EC-70C6647BC8A3}" destId="{CF7949DF-1CEB-4F0F-AA27-46C26A939025}" srcOrd="3" destOrd="0" presId="urn:microsoft.com/office/officeart/2005/8/layout/orgChart1"/>
    <dgm:cxn modelId="{6261999E-5293-4E34-A4A0-3C437AEE963D}" type="presParOf" srcId="{CF7949DF-1CEB-4F0F-AA27-46C26A939025}" destId="{358227D5-7892-4797-8323-E9E4A2A0DB72}" srcOrd="0" destOrd="0" presId="urn:microsoft.com/office/officeart/2005/8/layout/orgChart1"/>
    <dgm:cxn modelId="{93307C30-6F23-4F1A-AC9A-3BA1A87BED17}" type="presParOf" srcId="{358227D5-7892-4797-8323-E9E4A2A0DB72}" destId="{30DFB1F1-B927-43FB-BD66-64F9B76A79F8}" srcOrd="0" destOrd="0" presId="urn:microsoft.com/office/officeart/2005/8/layout/orgChart1"/>
    <dgm:cxn modelId="{AF4BEE75-431F-4689-896F-1CAF9C8A4586}" type="presParOf" srcId="{358227D5-7892-4797-8323-E9E4A2A0DB72}" destId="{5A2C3313-4D54-4DF7-BCE1-818F067F5957}" srcOrd="1" destOrd="0" presId="urn:microsoft.com/office/officeart/2005/8/layout/orgChart1"/>
    <dgm:cxn modelId="{58AB56E1-FC7A-4EB6-B03F-0F38147F4482}" type="presParOf" srcId="{CF7949DF-1CEB-4F0F-AA27-46C26A939025}" destId="{168E69AC-2923-4EBE-A060-4367DB84FB19}" srcOrd="1" destOrd="0" presId="urn:microsoft.com/office/officeart/2005/8/layout/orgChart1"/>
    <dgm:cxn modelId="{12542BA7-927C-4A71-9C86-16A672D1B2A3}" type="presParOf" srcId="{CF7949DF-1CEB-4F0F-AA27-46C26A939025}" destId="{ABF51A69-AB9B-4349-9E01-E02E29B0BBC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BB0CCC98-8299-451D-B10C-F6445661667C}" type="doc">
      <dgm:prSet loTypeId="urn:microsoft.com/office/officeart/2005/8/layout/radial1" loCatId="cycle" qsTypeId="urn:microsoft.com/office/officeart/2005/8/quickstyle/simple1" qsCatId="simple" csTypeId="urn:microsoft.com/office/officeart/2005/8/colors/accent1_2" csCatId="accent1" phldr="1"/>
      <dgm:spPr/>
      <dgm:t>
        <a:bodyPr/>
        <a:lstStyle/>
        <a:p>
          <a:endParaRPr lang="fr-FR"/>
        </a:p>
      </dgm:t>
    </dgm:pt>
    <dgm:pt modelId="{AFC7B9CA-1AD0-4C37-B445-213E4C4F8B15}">
      <dgm:prSet phldrT="[Texte]"/>
      <dgm:spPr/>
      <dgm:t>
        <a:bodyPr/>
        <a:lstStyle/>
        <a:p>
          <a:r>
            <a:rPr lang="fr-FR"/>
            <a:t>Chef de Projet</a:t>
          </a:r>
        </a:p>
      </dgm:t>
    </dgm:pt>
    <dgm:pt modelId="{3F11747A-0D1E-4B0A-A2FB-20F399AC33A4}" type="parTrans" cxnId="{1A2FA5DD-74D6-4A95-A1A4-777F32F3E481}">
      <dgm:prSet/>
      <dgm:spPr/>
      <dgm:t>
        <a:bodyPr/>
        <a:lstStyle/>
        <a:p>
          <a:endParaRPr lang="fr-FR"/>
        </a:p>
      </dgm:t>
    </dgm:pt>
    <dgm:pt modelId="{58EA5199-2FD8-44F7-8AB8-6E86D04531A1}" type="sibTrans" cxnId="{1A2FA5DD-74D6-4A95-A1A4-777F32F3E481}">
      <dgm:prSet/>
      <dgm:spPr/>
      <dgm:t>
        <a:bodyPr/>
        <a:lstStyle/>
        <a:p>
          <a:endParaRPr lang="fr-FR"/>
        </a:p>
      </dgm:t>
    </dgm:pt>
    <dgm:pt modelId="{FD5C3D98-1F56-4109-9D6A-5687711B2FDD}">
      <dgm:prSet phldrT="[Texte]"/>
      <dgm:spPr/>
      <dgm:t>
        <a:bodyPr/>
        <a:lstStyle/>
        <a:p>
          <a:r>
            <a:rPr lang="fr-FR"/>
            <a:t>Dév Front-End</a:t>
          </a:r>
        </a:p>
      </dgm:t>
    </dgm:pt>
    <dgm:pt modelId="{CAA27379-B938-441A-B396-309331398BE1}" type="parTrans" cxnId="{E68F2629-151D-4BD2-8866-F7C85AE49D84}">
      <dgm:prSet/>
      <dgm:spPr>
        <a:ln>
          <a:headEnd type="triangle" w="med" len="med"/>
          <a:tailEnd type="triangle" w="med" len="med"/>
        </a:ln>
      </dgm:spPr>
      <dgm:t>
        <a:bodyPr/>
        <a:lstStyle/>
        <a:p>
          <a:endParaRPr lang="fr-FR"/>
        </a:p>
      </dgm:t>
    </dgm:pt>
    <dgm:pt modelId="{CA423079-F774-42A0-95C8-AC73957EA17C}" type="sibTrans" cxnId="{E68F2629-151D-4BD2-8866-F7C85AE49D84}">
      <dgm:prSet/>
      <dgm:spPr/>
      <dgm:t>
        <a:bodyPr/>
        <a:lstStyle/>
        <a:p>
          <a:endParaRPr lang="fr-FR"/>
        </a:p>
      </dgm:t>
    </dgm:pt>
    <dgm:pt modelId="{791CC256-845E-419C-879B-841AE76EE9AD}">
      <dgm:prSet phldrT="[Texte]"/>
      <dgm:spPr/>
      <dgm:t>
        <a:bodyPr/>
        <a:lstStyle/>
        <a:p>
          <a:r>
            <a:rPr lang="fr-FR"/>
            <a:t>Dév Back-End</a:t>
          </a:r>
        </a:p>
      </dgm:t>
    </dgm:pt>
    <dgm:pt modelId="{5D50962E-20A9-4DDC-BAC2-8500CDBDDB5B}" type="parTrans" cxnId="{8C509B0F-C0C2-4947-B8A3-B00245B0AD95}">
      <dgm:prSet/>
      <dgm:spPr>
        <a:ln>
          <a:headEnd type="triangle" w="med" len="med"/>
          <a:tailEnd type="triangle" w="med" len="med"/>
        </a:ln>
      </dgm:spPr>
      <dgm:t>
        <a:bodyPr/>
        <a:lstStyle/>
        <a:p>
          <a:endParaRPr lang="fr-FR"/>
        </a:p>
      </dgm:t>
    </dgm:pt>
    <dgm:pt modelId="{ECC4E63C-A64A-45C3-B31A-36B9BFA8697B}" type="sibTrans" cxnId="{8C509B0F-C0C2-4947-B8A3-B00245B0AD95}">
      <dgm:prSet/>
      <dgm:spPr/>
      <dgm:t>
        <a:bodyPr/>
        <a:lstStyle/>
        <a:p>
          <a:endParaRPr lang="fr-FR"/>
        </a:p>
      </dgm:t>
    </dgm:pt>
    <dgm:pt modelId="{5CD8C3A8-5DA3-459A-952D-B4850F08D59D}">
      <dgm:prSet phldrT="[Texte]"/>
      <dgm:spPr/>
      <dgm:t>
        <a:bodyPr/>
        <a:lstStyle/>
        <a:p>
          <a:r>
            <a:rPr lang="fr-FR"/>
            <a:t>Data Scientist</a:t>
          </a:r>
        </a:p>
      </dgm:t>
    </dgm:pt>
    <dgm:pt modelId="{C1B95671-BD93-4F30-A012-1CA247F215B3}" type="parTrans" cxnId="{EA89C703-B522-4EC1-8081-F064F88DD9C4}">
      <dgm:prSet/>
      <dgm:spPr>
        <a:ln>
          <a:headEnd type="triangle" w="med" len="med"/>
          <a:tailEnd type="triangle" w="med" len="med"/>
        </a:ln>
      </dgm:spPr>
      <dgm:t>
        <a:bodyPr/>
        <a:lstStyle/>
        <a:p>
          <a:endParaRPr lang="fr-FR"/>
        </a:p>
      </dgm:t>
    </dgm:pt>
    <dgm:pt modelId="{8458B25D-3077-4B65-9F8A-6968F3067B3E}" type="sibTrans" cxnId="{EA89C703-B522-4EC1-8081-F064F88DD9C4}">
      <dgm:prSet/>
      <dgm:spPr/>
      <dgm:t>
        <a:bodyPr/>
        <a:lstStyle/>
        <a:p>
          <a:endParaRPr lang="fr-FR"/>
        </a:p>
      </dgm:t>
    </dgm:pt>
    <dgm:pt modelId="{9BE015A4-78A3-40A8-87A6-A5E01906CDD5}" type="pres">
      <dgm:prSet presAssocID="{BB0CCC98-8299-451D-B10C-F6445661667C}" presName="cycle" presStyleCnt="0">
        <dgm:presLayoutVars>
          <dgm:chMax val="1"/>
          <dgm:dir/>
          <dgm:animLvl val="ctr"/>
          <dgm:resizeHandles val="exact"/>
        </dgm:presLayoutVars>
      </dgm:prSet>
      <dgm:spPr/>
    </dgm:pt>
    <dgm:pt modelId="{A246B3B9-BF97-4021-B48F-23BC4F92C429}" type="pres">
      <dgm:prSet presAssocID="{AFC7B9CA-1AD0-4C37-B445-213E4C4F8B15}" presName="centerShape" presStyleLbl="node0" presStyleIdx="0" presStyleCnt="1"/>
      <dgm:spPr/>
    </dgm:pt>
    <dgm:pt modelId="{DB772F81-F3A7-47F5-BB68-A3E0A350625E}" type="pres">
      <dgm:prSet presAssocID="{CAA27379-B938-441A-B396-309331398BE1}" presName="Name9" presStyleLbl="parChTrans1D2" presStyleIdx="0" presStyleCnt="3"/>
      <dgm:spPr/>
    </dgm:pt>
    <dgm:pt modelId="{E2B8C39A-2849-4D68-80E1-1B970AC4F348}" type="pres">
      <dgm:prSet presAssocID="{CAA27379-B938-441A-B396-309331398BE1}" presName="connTx" presStyleLbl="parChTrans1D2" presStyleIdx="0" presStyleCnt="3"/>
      <dgm:spPr/>
    </dgm:pt>
    <dgm:pt modelId="{1FB4B646-D91D-4024-80F6-CDCF6F2790FD}" type="pres">
      <dgm:prSet presAssocID="{FD5C3D98-1F56-4109-9D6A-5687711B2FDD}" presName="node" presStyleLbl="node1" presStyleIdx="0" presStyleCnt="3">
        <dgm:presLayoutVars>
          <dgm:bulletEnabled val="1"/>
        </dgm:presLayoutVars>
      </dgm:prSet>
      <dgm:spPr/>
    </dgm:pt>
    <dgm:pt modelId="{253AFE6A-94F3-4386-ACB7-522E499A86DA}" type="pres">
      <dgm:prSet presAssocID="{5D50962E-20A9-4DDC-BAC2-8500CDBDDB5B}" presName="Name9" presStyleLbl="parChTrans1D2" presStyleIdx="1" presStyleCnt="3"/>
      <dgm:spPr/>
    </dgm:pt>
    <dgm:pt modelId="{1AC127BD-89FC-4930-A679-EA36AD204469}" type="pres">
      <dgm:prSet presAssocID="{5D50962E-20A9-4DDC-BAC2-8500CDBDDB5B}" presName="connTx" presStyleLbl="parChTrans1D2" presStyleIdx="1" presStyleCnt="3"/>
      <dgm:spPr/>
    </dgm:pt>
    <dgm:pt modelId="{23AF48E3-E926-40B2-ABA5-5C4003CA9ADC}" type="pres">
      <dgm:prSet presAssocID="{791CC256-845E-419C-879B-841AE76EE9AD}" presName="node" presStyleLbl="node1" presStyleIdx="1" presStyleCnt="3">
        <dgm:presLayoutVars>
          <dgm:bulletEnabled val="1"/>
        </dgm:presLayoutVars>
      </dgm:prSet>
      <dgm:spPr/>
    </dgm:pt>
    <dgm:pt modelId="{1191D981-C942-4790-B5BF-AA004AC5741C}" type="pres">
      <dgm:prSet presAssocID="{C1B95671-BD93-4F30-A012-1CA247F215B3}" presName="Name9" presStyleLbl="parChTrans1D2" presStyleIdx="2" presStyleCnt="3"/>
      <dgm:spPr/>
    </dgm:pt>
    <dgm:pt modelId="{E8306043-CC87-4E5C-9A74-58995BABBB9A}" type="pres">
      <dgm:prSet presAssocID="{C1B95671-BD93-4F30-A012-1CA247F215B3}" presName="connTx" presStyleLbl="parChTrans1D2" presStyleIdx="2" presStyleCnt="3"/>
      <dgm:spPr/>
    </dgm:pt>
    <dgm:pt modelId="{EFC20599-F593-4E77-AE89-A04458645414}" type="pres">
      <dgm:prSet presAssocID="{5CD8C3A8-5DA3-459A-952D-B4850F08D59D}" presName="node" presStyleLbl="node1" presStyleIdx="2" presStyleCnt="3">
        <dgm:presLayoutVars>
          <dgm:bulletEnabled val="1"/>
        </dgm:presLayoutVars>
      </dgm:prSet>
      <dgm:spPr/>
    </dgm:pt>
  </dgm:ptLst>
  <dgm:cxnLst>
    <dgm:cxn modelId="{EA89C703-B522-4EC1-8081-F064F88DD9C4}" srcId="{AFC7B9CA-1AD0-4C37-B445-213E4C4F8B15}" destId="{5CD8C3A8-5DA3-459A-952D-B4850F08D59D}" srcOrd="2" destOrd="0" parTransId="{C1B95671-BD93-4F30-A012-1CA247F215B3}" sibTransId="{8458B25D-3077-4B65-9F8A-6968F3067B3E}"/>
    <dgm:cxn modelId="{8C509B0F-C0C2-4947-B8A3-B00245B0AD95}" srcId="{AFC7B9CA-1AD0-4C37-B445-213E4C4F8B15}" destId="{791CC256-845E-419C-879B-841AE76EE9AD}" srcOrd="1" destOrd="0" parTransId="{5D50962E-20A9-4DDC-BAC2-8500CDBDDB5B}" sibTransId="{ECC4E63C-A64A-45C3-B31A-36B9BFA8697B}"/>
    <dgm:cxn modelId="{84F5AD12-667F-45DE-B3E5-9BF7F53FD2ED}" type="presOf" srcId="{5CD8C3A8-5DA3-459A-952D-B4850F08D59D}" destId="{EFC20599-F593-4E77-AE89-A04458645414}" srcOrd="0" destOrd="0" presId="urn:microsoft.com/office/officeart/2005/8/layout/radial1"/>
    <dgm:cxn modelId="{17278E1A-8BAA-452F-BB68-9928D3113071}" type="presOf" srcId="{791CC256-845E-419C-879B-841AE76EE9AD}" destId="{23AF48E3-E926-40B2-ABA5-5C4003CA9ADC}" srcOrd="0" destOrd="0" presId="urn:microsoft.com/office/officeart/2005/8/layout/radial1"/>
    <dgm:cxn modelId="{72754827-1EA6-448A-8D39-4B7ACB1F41F0}" type="presOf" srcId="{C1B95671-BD93-4F30-A012-1CA247F215B3}" destId="{1191D981-C942-4790-B5BF-AA004AC5741C}" srcOrd="0" destOrd="0" presId="urn:microsoft.com/office/officeart/2005/8/layout/radial1"/>
    <dgm:cxn modelId="{E68F2629-151D-4BD2-8866-F7C85AE49D84}" srcId="{AFC7B9CA-1AD0-4C37-B445-213E4C4F8B15}" destId="{FD5C3D98-1F56-4109-9D6A-5687711B2FDD}" srcOrd="0" destOrd="0" parTransId="{CAA27379-B938-441A-B396-309331398BE1}" sibTransId="{CA423079-F774-42A0-95C8-AC73957EA17C}"/>
    <dgm:cxn modelId="{BD652E5D-5ABC-4CEF-AA34-709A10AC352C}" type="presOf" srcId="{BB0CCC98-8299-451D-B10C-F6445661667C}" destId="{9BE015A4-78A3-40A8-87A6-A5E01906CDD5}" srcOrd="0" destOrd="0" presId="urn:microsoft.com/office/officeart/2005/8/layout/radial1"/>
    <dgm:cxn modelId="{AB10C36E-F2D8-49EE-9C3C-08BFCA4D3FC9}" type="presOf" srcId="{AFC7B9CA-1AD0-4C37-B445-213E4C4F8B15}" destId="{A246B3B9-BF97-4021-B48F-23BC4F92C429}" srcOrd="0" destOrd="0" presId="urn:microsoft.com/office/officeart/2005/8/layout/radial1"/>
    <dgm:cxn modelId="{84940079-BB31-49DA-B29F-0071D01DE582}" type="presOf" srcId="{CAA27379-B938-441A-B396-309331398BE1}" destId="{DB772F81-F3A7-47F5-BB68-A3E0A350625E}" srcOrd="0" destOrd="0" presId="urn:microsoft.com/office/officeart/2005/8/layout/radial1"/>
    <dgm:cxn modelId="{06B4F0C1-B082-451F-932B-C29C9E39C22E}" type="presOf" srcId="{5D50962E-20A9-4DDC-BAC2-8500CDBDDB5B}" destId="{253AFE6A-94F3-4386-ACB7-522E499A86DA}" srcOrd="0" destOrd="0" presId="urn:microsoft.com/office/officeart/2005/8/layout/radial1"/>
    <dgm:cxn modelId="{DC1A01C2-BE78-4B09-81A0-75D2222DE647}" type="presOf" srcId="{FD5C3D98-1F56-4109-9D6A-5687711B2FDD}" destId="{1FB4B646-D91D-4024-80F6-CDCF6F2790FD}" srcOrd="0" destOrd="0" presId="urn:microsoft.com/office/officeart/2005/8/layout/radial1"/>
    <dgm:cxn modelId="{46502ECB-7050-4F84-AB72-70CDF7148CFA}" type="presOf" srcId="{CAA27379-B938-441A-B396-309331398BE1}" destId="{E2B8C39A-2849-4D68-80E1-1B970AC4F348}" srcOrd="1" destOrd="0" presId="urn:microsoft.com/office/officeart/2005/8/layout/radial1"/>
    <dgm:cxn modelId="{1A2FA5DD-74D6-4A95-A1A4-777F32F3E481}" srcId="{BB0CCC98-8299-451D-B10C-F6445661667C}" destId="{AFC7B9CA-1AD0-4C37-B445-213E4C4F8B15}" srcOrd="0" destOrd="0" parTransId="{3F11747A-0D1E-4B0A-A2FB-20F399AC33A4}" sibTransId="{58EA5199-2FD8-44F7-8AB8-6E86D04531A1}"/>
    <dgm:cxn modelId="{6B57DBE7-62CB-4A0E-887A-8027BBA7A2BF}" type="presOf" srcId="{C1B95671-BD93-4F30-A012-1CA247F215B3}" destId="{E8306043-CC87-4E5C-9A74-58995BABBB9A}" srcOrd="1" destOrd="0" presId="urn:microsoft.com/office/officeart/2005/8/layout/radial1"/>
    <dgm:cxn modelId="{8307A3F3-6973-4B85-8E7E-9732694164C3}" type="presOf" srcId="{5D50962E-20A9-4DDC-BAC2-8500CDBDDB5B}" destId="{1AC127BD-89FC-4930-A679-EA36AD204469}" srcOrd="1" destOrd="0" presId="urn:microsoft.com/office/officeart/2005/8/layout/radial1"/>
    <dgm:cxn modelId="{AFA1C387-3156-42C0-83B5-05DC5AE6126D}" type="presParOf" srcId="{9BE015A4-78A3-40A8-87A6-A5E01906CDD5}" destId="{A246B3B9-BF97-4021-B48F-23BC4F92C429}" srcOrd="0" destOrd="0" presId="urn:microsoft.com/office/officeart/2005/8/layout/radial1"/>
    <dgm:cxn modelId="{BDAAB2F0-4B41-4BC4-9B5D-83C5F658B3FE}" type="presParOf" srcId="{9BE015A4-78A3-40A8-87A6-A5E01906CDD5}" destId="{DB772F81-F3A7-47F5-BB68-A3E0A350625E}" srcOrd="1" destOrd="0" presId="urn:microsoft.com/office/officeart/2005/8/layout/radial1"/>
    <dgm:cxn modelId="{75D59AB2-13A3-46D9-BEC2-CB2DBA279BD2}" type="presParOf" srcId="{DB772F81-F3A7-47F5-BB68-A3E0A350625E}" destId="{E2B8C39A-2849-4D68-80E1-1B970AC4F348}" srcOrd="0" destOrd="0" presId="urn:microsoft.com/office/officeart/2005/8/layout/radial1"/>
    <dgm:cxn modelId="{4AF8F2CA-591E-473A-A523-0EF223E91A63}" type="presParOf" srcId="{9BE015A4-78A3-40A8-87A6-A5E01906CDD5}" destId="{1FB4B646-D91D-4024-80F6-CDCF6F2790FD}" srcOrd="2" destOrd="0" presId="urn:microsoft.com/office/officeart/2005/8/layout/radial1"/>
    <dgm:cxn modelId="{F751AA5C-823A-470B-AC5E-94179633999A}" type="presParOf" srcId="{9BE015A4-78A3-40A8-87A6-A5E01906CDD5}" destId="{253AFE6A-94F3-4386-ACB7-522E499A86DA}" srcOrd="3" destOrd="0" presId="urn:microsoft.com/office/officeart/2005/8/layout/radial1"/>
    <dgm:cxn modelId="{D7FA93E0-5EB9-4166-BFD5-48AAE0A42545}" type="presParOf" srcId="{253AFE6A-94F3-4386-ACB7-522E499A86DA}" destId="{1AC127BD-89FC-4930-A679-EA36AD204469}" srcOrd="0" destOrd="0" presId="urn:microsoft.com/office/officeart/2005/8/layout/radial1"/>
    <dgm:cxn modelId="{97F0678B-1E4E-4D93-BB40-1A13B13F69C6}" type="presParOf" srcId="{9BE015A4-78A3-40A8-87A6-A5E01906CDD5}" destId="{23AF48E3-E926-40B2-ABA5-5C4003CA9ADC}" srcOrd="4" destOrd="0" presId="urn:microsoft.com/office/officeart/2005/8/layout/radial1"/>
    <dgm:cxn modelId="{27A50F1D-562E-4E81-ABE4-CEA54047C9A2}" type="presParOf" srcId="{9BE015A4-78A3-40A8-87A6-A5E01906CDD5}" destId="{1191D981-C942-4790-B5BF-AA004AC5741C}" srcOrd="5" destOrd="0" presId="urn:microsoft.com/office/officeart/2005/8/layout/radial1"/>
    <dgm:cxn modelId="{45196C50-1A24-4EE1-80C3-E8DEEFA0EF9A}" type="presParOf" srcId="{1191D981-C942-4790-B5BF-AA004AC5741C}" destId="{E8306043-CC87-4E5C-9A74-58995BABBB9A}" srcOrd="0" destOrd="0" presId="urn:microsoft.com/office/officeart/2005/8/layout/radial1"/>
    <dgm:cxn modelId="{760E9F7B-1A68-4A09-A525-A2126604461A}" type="presParOf" srcId="{9BE015A4-78A3-40A8-87A6-A5E01906CDD5}" destId="{EFC20599-F593-4E77-AE89-A04458645414}" srcOrd="6" destOrd="0" presId="urn:microsoft.com/office/officeart/2005/8/layout/radial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FD78F075-B15E-4B42-BA90-5768C83ACE5F}" type="doc">
      <dgm:prSet loTypeId="urn:microsoft.com/office/officeart/2005/8/layout/matrix1" loCatId="matrix" qsTypeId="urn:microsoft.com/office/officeart/2005/8/quickstyle/simple1" qsCatId="simple" csTypeId="urn:microsoft.com/office/officeart/2005/8/colors/accent1_2" csCatId="accent1" phldr="1"/>
      <dgm:spPr/>
      <dgm:t>
        <a:bodyPr/>
        <a:lstStyle/>
        <a:p>
          <a:endParaRPr lang="fr-FR"/>
        </a:p>
      </dgm:t>
    </dgm:pt>
    <dgm:pt modelId="{8491F8DA-DE22-4456-AA1C-3FC1E8D652CA}">
      <dgm:prSet phldrT="[Texte]"/>
      <dgm:spPr/>
      <dgm:t>
        <a:bodyPr/>
        <a:lstStyle/>
        <a:p>
          <a:r>
            <a:rPr lang="fr-FR">
              <a:latin typeface="Georgia" panose="02040502050405020303" pitchFamily="18" charset="0"/>
            </a:rPr>
            <a:t>Matrice SWOT</a:t>
          </a:r>
        </a:p>
      </dgm:t>
    </dgm:pt>
    <dgm:pt modelId="{D85E7B3D-9138-4850-9FB3-7CC4414CB104}" type="parTrans" cxnId="{8348D6DF-0E73-47E4-A1E8-D3640680A320}">
      <dgm:prSet/>
      <dgm:spPr/>
      <dgm:t>
        <a:bodyPr/>
        <a:lstStyle/>
        <a:p>
          <a:endParaRPr lang="fr-FR">
            <a:latin typeface="Georgia" panose="02040502050405020303" pitchFamily="18" charset="0"/>
          </a:endParaRPr>
        </a:p>
      </dgm:t>
    </dgm:pt>
    <dgm:pt modelId="{56D4A0F9-95A5-4756-982E-AC0AAE2DCA16}" type="sibTrans" cxnId="{8348D6DF-0E73-47E4-A1E8-D3640680A320}">
      <dgm:prSet/>
      <dgm:spPr/>
      <dgm:t>
        <a:bodyPr/>
        <a:lstStyle/>
        <a:p>
          <a:endParaRPr lang="fr-FR">
            <a:latin typeface="Georgia" panose="02040502050405020303" pitchFamily="18" charset="0"/>
          </a:endParaRPr>
        </a:p>
      </dgm:t>
    </dgm:pt>
    <dgm:pt modelId="{CBEE904C-E426-4ED7-A399-17FCC84B7033}">
      <dgm:prSet phldrT="[Texte]" custT="1"/>
      <dgm:spPr>
        <a:solidFill>
          <a:schemeClr val="accent4"/>
        </a:solidFill>
      </dgm:spPr>
      <dgm:t>
        <a:bodyPr/>
        <a:lstStyle/>
        <a:p>
          <a:r>
            <a:rPr lang="fr-FR" sz="2000" b="1">
              <a:latin typeface="Georgia" panose="02040502050405020303" pitchFamily="18" charset="0"/>
            </a:rPr>
            <a:t>Forces</a:t>
          </a:r>
        </a:p>
        <a:p>
          <a:r>
            <a:rPr lang="fr-FR" sz="1200">
              <a:latin typeface="Georgia" panose="02040502050405020303" pitchFamily="18" charset="0"/>
            </a:rPr>
            <a:t>- </a:t>
          </a:r>
          <a:r>
            <a:rPr lang="fr-FR" sz="1200" b="1">
              <a:latin typeface="Georgia" panose="02040502050405020303" pitchFamily="18" charset="0"/>
            </a:rPr>
            <a:t>Technologie innovante :</a:t>
          </a:r>
          <a:r>
            <a:rPr lang="fr-FR" sz="1200">
              <a:latin typeface="Georgia" panose="02040502050405020303" pitchFamily="18" charset="0"/>
            </a:rPr>
            <a:t> Utilisation d'une technologie d'analyse d'images performante pour la recommandation d'articles vestimentaires.</a:t>
          </a:r>
        </a:p>
        <a:p>
          <a:r>
            <a:rPr lang="fr-FR" sz="1200" b="1">
              <a:latin typeface="Georgia" panose="02040502050405020303" pitchFamily="18" charset="0"/>
            </a:rPr>
            <a:t>- Base de données d'images riche :</a:t>
          </a:r>
          <a:r>
            <a:rPr lang="fr-FR" sz="1200">
              <a:latin typeface="Georgia" panose="02040502050405020303" pitchFamily="18" charset="0"/>
            </a:rPr>
            <a:t> Accès à une vaste collection d'images d'articles vestimentaires pour alimenter les algorithmes de recommandation.</a:t>
          </a:r>
        </a:p>
        <a:p>
          <a:r>
            <a:rPr lang="fr-FR" sz="1200" b="1">
              <a:latin typeface="Georgia" panose="02040502050405020303" pitchFamily="18" charset="0"/>
            </a:rPr>
            <a:t>- Connaissance du marché :</a:t>
          </a:r>
          <a:r>
            <a:rPr lang="fr-FR" sz="1200">
              <a:latin typeface="Georgia" panose="02040502050405020303" pitchFamily="18" charset="0"/>
            </a:rPr>
            <a:t> Expertise de Fashion-Insta dans le domaine de la mode et des tendances vestimentaires.</a:t>
          </a:r>
        </a:p>
        <a:p>
          <a:r>
            <a:rPr lang="fr-FR" sz="1200" b="1">
              <a:latin typeface="Georgia" panose="02040502050405020303" pitchFamily="18" charset="0"/>
            </a:rPr>
            <a:t>- Équipe compétente :</a:t>
          </a:r>
          <a:r>
            <a:rPr lang="fr-FR" sz="1200">
              <a:latin typeface="Georgia" panose="02040502050405020303" pitchFamily="18" charset="0"/>
            </a:rPr>
            <a:t> Équipe pluridisciplinaire composée de développeurs, de data scientists</a:t>
          </a:r>
        </a:p>
        <a:p>
          <a:r>
            <a:rPr lang="fr-FR" sz="1200" b="1">
              <a:latin typeface="Georgia" panose="02040502050405020303" pitchFamily="18" charset="0"/>
            </a:rPr>
            <a:t>- Partenariat avec un sous-traitant expérimenté :</a:t>
          </a:r>
          <a:r>
            <a:rPr lang="fr-FR" sz="1200">
              <a:latin typeface="Georgia" panose="02040502050405020303" pitchFamily="18" charset="0"/>
            </a:rPr>
            <a:t> Appui sur les compétences d'un sous-traitant pour la réalisation des modèles d'analyse d'images.</a:t>
          </a:r>
        </a:p>
      </dgm:t>
    </dgm:pt>
    <dgm:pt modelId="{17E02559-0AF7-4D6C-9637-EF3A7FF45FEA}" type="parTrans" cxnId="{6CC729B1-F4F1-44A6-9E69-8C5076A6F8B3}">
      <dgm:prSet/>
      <dgm:spPr/>
      <dgm:t>
        <a:bodyPr/>
        <a:lstStyle/>
        <a:p>
          <a:endParaRPr lang="fr-FR">
            <a:latin typeface="Georgia" panose="02040502050405020303" pitchFamily="18" charset="0"/>
          </a:endParaRPr>
        </a:p>
      </dgm:t>
    </dgm:pt>
    <dgm:pt modelId="{4FABB8FF-A6C8-4C35-AB35-7695E7EF56B8}" type="sibTrans" cxnId="{6CC729B1-F4F1-44A6-9E69-8C5076A6F8B3}">
      <dgm:prSet/>
      <dgm:spPr/>
      <dgm:t>
        <a:bodyPr/>
        <a:lstStyle/>
        <a:p>
          <a:endParaRPr lang="fr-FR">
            <a:latin typeface="Georgia" panose="02040502050405020303" pitchFamily="18" charset="0"/>
          </a:endParaRPr>
        </a:p>
      </dgm:t>
    </dgm:pt>
    <dgm:pt modelId="{7EFECEEB-EE9B-4E77-B976-87DAC6BAD506}">
      <dgm:prSet phldrT="[Texte]" custT="1"/>
      <dgm:spPr/>
      <dgm:t>
        <a:bodyPr/>
        <a:lstStyle/>
        <a:p>
          <a:r>
            <a:rPr lang="fr-FR" sz="2000" b="1">
              <a:latin typeface="Georgia" panose="02040502050405020303" pitchFamily="18" charset="0"/>
            </a:rPr>
            <a:t>Faiblesses</a:t>
          </a:r>
          <a:endParaRPr lang="fr-FR" sz="1800" b="1">
            <a:latin typeface="Georgia" panose="02040502050405020303" pitchFamily="18" charset="0"/>
          </a:endParaRPr>
        </a:p>
        <a:p>
          <a:r>
            <a:rPr lang="fr-FR" sz="1200" b="1">
              <a:latin typeface="Georgia" panose="02040502050405020303" pitchFamily="18" charset="0"/>
            </a:rPr>
            <a:t>- Manque d'expérience interne en data science :</a:t>
          </a:r>
          <a:r>
            <a:rPr lang="fr-FR" sz="1200">
              <a:latin typeface="Georgia" panose="02040502050405020303" pitchFamily="18" charset="0"/>
            </a:rPr>
            <a:t> Le data scientist du projet est junior et nécessite un accompagnement par le sous-traitant.</a:t>
          </a:r>
        </a:p>
        <a:p>
          <a:r>
            <a:rPr lang="fr-FR" sz="1200" b="1">
              <a:latin typeface="Georgia" panose="02040502050405020303" pitchFamily="18" charset="0"/>
            </a:rPr>
            <a:t>- Délais serrés :</a:t>
          </a:r>
          <a:r>
            <a:rPr lang="fr-FR" sz="1200">
              <a:latin typeface="Georgia" panose="02040502050405020303" pitchFamily="18" charset="0"/>
            </a:rPr>
            <a:t> Un concurrent développe un projet similaire, il est crucial d'être le premier à proposer ce type de service.</a:t>
          </a:r>
        </a:p>
        <a:p>
          <a:r>
            <a:rPr lang="fr-FR" sz="1200" b="1">
              <a:latin typeface="Georgia" panose="02040502050405020303" pitchFamily="18" charset="0"/>
            </a:rPr>
            <a:t>- Ressources mobilisées sur d'autres projets :</a:t>
          </a:r>
          <a:r>
            <a:rPr lang="fr-FR" sz="1200">
              <a:latin typeface="Georgia" panose="02040502050405020303" pitchFamily="18" charset="0"/>
            </a:rPr>
            <a:t> Les développeurs de l'application mobile travaillent en parallèle sur une autre application urgente, ce qui peut limiter leur disponibilité pour le projet Fashion-Insta.</a:t>
          </a:r>
        </a:p>
        <a:p>
          <a:r>
            <a:rPr lang="fr-FR" sz="1200" b="1">
              <a:latin typeface="Georgia" panose="02040502050405020303" pitchFamily="18" charset="0"/>
            </a:rPr>
            <a:t>- Nature sensible des données :</a:t>
          </a:r>
          <a:r>
            <a:rPr lang="fr-FR" sz="1200">
              <a:latin typeface="Georgia" panose="02040502050405020303" pitchFamily="18" charset="0"/>
            </a:rPr>
            <a:t> Les données de type images traitées sont des données personnelles sensibles, ce qui requiert une gestion et une protection rigoureuses.</a:t>
          </a:r>
        </a:p>
      </dgm:t>
    </dgm:pt>
    <dgm:pt modelId="{F10A07D2-3877-4405-9EE6-520A54FE229D}" type="parTrans" cxnId="{7F5E37B4-E47D-4A32-B0BE-136BE624A7AB}">
      <dgm:prSet/>
      <dgm:spPr/>
      <dgm:t>
        <a:bodyPr/>
        <a:lstStyle/>
        <a:p>
          <a:endParaRPr lang="fr-FR">
            <a:latin typeface="Georgia" panose="02040502050405020303" pitchFamily="18" charset="0"/>
          </a:endParaRPr>
        </a:p>
      </dgm:t>
    </dgm:pt>
    <dgm:pt modelId="{917D7BBD-A2A2-4545-88AE-A0F2FF8BD123}" type="sibTrans" cxnId="{7F5E37B4-E47D-4A32-B0BE-136BE624A7AB}">
      <dgm:prSet/>
      <dgm:spPr/>
      <dgm:t>
        <a:bodyPr/>
        <a:lstStyle/>
        <a:p>
          <a:endParaRPr lang="fr-FR">
            <a:latin typeface="Georgia" panose="02040502050405020303" pitchFamily="18" charset="0"/>
          </a:endParaRPr>
        </a:p>
      </dgm:t>
    </dgm:pt>
    <dgm:pt modelId="{E9605668-62DF-4A2F-8F4A-89CC3657AF3B}">
      <dgm:prSet phldrT="[Texte]" custT="1"/>
      <dgm:spPr>
        <a:solidFill>
          <a:schemeClr val="accent3"/>
        </a:solidFill>
      </dgm:spPr>
      <dgm:t>
        <a:bodyPr/>
        <a:lstStyle/>
        <a:p>
          <a:r>
            <a:rPr lang="fr-FR" sz="2000" b="1">
              <a:latin typeface="Georgia" panose="02040502050405020303" pitchFamily="18" charset="0"/>
            </a:rPr>
            <a:t>Opportunités</a:t>
          </a:r>
        </a:p>
        <a:p>
          <a:r>
            <a:rPr lang="fr-FR" sz="1200" b="1">
              <a:latin typeface="Georgia" panose="02040502050405020303" pitchFamily="18" charset="0"/>
            </a:rPr>
            <a:t>- Croissance du marché de la mode en ligne :</a:t>
          </a:r>
          <a:r>
            <a:rPr lang="fr-FR" sz="1200">
              <a:latin typeface="Georgia" panose="02040502050405020303" pitchFamily="18" charset="0"/>
            </a:rPr>
            <a:t> Augmentation constante des achats de vêtements en ligne, créant une forte demande pour des solutions de recommandation personnalisées.</a:t>
          </a:r>
        </a:p>
        <a:p>
          <a:r>
            <a:rPr lang="fr-FR" sz="1200" b="1">
              <a:latin typeface="Georgia" panose="02040502050405020303" pitchFamily="18" charset="0"/>
            </a:rPr>
            <a:t>- Demande croissante de recommandations personnalisées :</a:t>
          </a:r>
          <a:r>
            <a:rPr lang="fr-FR" sz="1200">
              <a:latin typeface="Georgia" panose="02040502050405020303" pitchFamily="18" charset="0"/>
            </a:rPr>
            <a:t> Les consommateurs recherchent de plus en plus des recommandations personnalisées pour leurs achats.</a:t>
          </a:r>
        </a:p>
        <a:p>
          <a:r>
            <a:rPr lang="fr-FR" sz="1200" b="1">
              <a:latin typeface="Georgia" panose="02040502050405020303" pitchFamily="18" charset="0"/>
            </a:rPr>
            <a:t>- Potentiel de différenciation :</a:t>
          </a:r>
          <a:r>
            <a:rPr lang="fr-FR" sz="1200">
              <a:latin typeface="Georgia" panose="02040502050405020303" pitchFamily="18" charset="0"/>
            </a:rPr>
            <a:t> Être le premier à proposer une application de recommandation d'articles vestimentaires basée sur des photos offre un avantage concurrentiel important.</a:t>
          </a:r>
        </a:p>
        <a:p>
          <a:r>
            <a:rPr lang="fr-FR" sz="1200" b="1">
              <a:latin typeface="Georgia" panose="02040502050405020303" pitchFamily="18" charset="0"/>
            </a:rPr>
            <a:t>- Opportunités de partenariats :</a:t>
          </a:r>
          <a:r>
            <a:rPr lang="fr-FR" sz="1200">
              <a:latin typeface="Georgia" panose="02040502050405020303" pitchFamily="18" charset="0"/>
            </a:rPr>
            <a:t> Possibilité de nouer des partenariats avec des influenceurs, des marques de mode ou d'autres acteurs du secteur.</a:t>
          </a:r>
        </a:p>
        <a:p>
          <a:r>
            <a:rPr lang="fr-FR" sz="1200" b="1">
              <a:latin typeface="Georgia" panose="02040502050405020303" pitchFamily="18" charset="0"/>
            </a:rPr>
            <a:t>- Expansion internationale :</a:t>
          </a:r>
          <a:r>
            <a:rPr lang="fr-FR" sz="1200">
              <a:latin typeface="Georgia" panose="02040502050405020303" pitchFamily="18" charset="0"/>
            </a:rPr>
            <a:t> Potentiel de développement de l'application sur de nouveaux marchés.</a:t>
          </a:r>
        </a:p>
      </dgm:t>
    </dgm:pt>
    <dgm:pt modelId="{5ADE360D-96FB-4141-BFD0-38A89262FDC9}" type="parTrans" cxnId="{EE7F19B3-6948-4FE7-93A1-245334B38DAF}">
      <dgm:prSet/>
      <dgm:spPr/>
      <dgm:t>
        <a:bodyPr/>
        <a:lstStyle/>
        <a:p>
          <a:endParaRPr lang="fr-FR">
            <a:latin typeface="Georgia" panose="02040502050405020303" pitchFamily="18" charset="0"/>
          </a:endParaRPr>
        </a:p>
      </dgm:t>
    </dgm:pt>
    <dgm:pt modelId="{5874C95C-2C3C-421A-BFD4-84897B9F12FA}" type="sibTrans" cxnId="{EE7F19B3-6948-4FE7-93A1-245334B38DAF}">
      <dgm:prSet/>
      <dgm:spPr/>
      <dgm:t>
        <a:bodyPr/>
        <a:lstStyle/>
        <a:p>
          <a:endParaRPr lang="fr-FR">
            <a:latin typeface="Georgia" panose="02040502050405020303" pitchFamily="18" charset="0"/>
          </a:endParaRPr>
        </a:p>
      </dgm:t>
    </dgm:pt>
    <dgm:pt modelId="{E650E33A-CE52-4680-A3B3-D8F1C64A5D33}">
      <dgm:prSet phldrT="[Texte]" custT="1"/>
      <dgm:spPr>
        <a:solidFill>
          <a:schemeClr val="accent5"/>
        </a:solidFill>
      </dgm:spPr>
      <dgm:t>
        <a:bodyPr/>
        <a:lstStyle/>
        <a:p>
          <a:r>
            <a:rPr lang="fr-FR" sz="2000" b="1">
              <a:latin typeface="Georgia" panose="02040502050405020303" pitchFamily="18" charset="0"/>
            </a:rPr>
            <a:t>Menaces</a:t>
          </a:r>
          <a:endParaRPr lang="fr-FR" sz="1800" b="1">
            <a:latin typeface="Georgia" panose="02040502050405020303" pitchFamily="18" charset="0"/>
          </a:endParaRPr>
        </a:p>
        <a:p>
          <a:r>
            <a:rPr lang="fr-FR" sz="1200" b="1"/>
            <a:t>- Changements réglementaires :</a:t>
          </a:r>
          <a:r>
            <a:rPr lang="fr-FR" sz="1200"/>
            <a:t> Évolution de la réglementation sur la protection des données personnelles, pouvant impacter la collecte et le traitement des données.</a:t>
          </a:r>
        </a:p>
        <a:p>
          <a:r>
            <a:rPr lang="fr-FR" sz="1200" b="1"/>
            <a:t>- Attaques informatiques :</a:t>
          </a:r>
          <a:r>
            <a:rPr lang="fr-FR" sz="1200"/>
            <a:t> Risque de piratage de l'application ou des données des utilisateurs, pouvant nuire à la réputation de Fashion-Insta.</a:t>
          </a:r>
        </a:p>
        <a:p>
          <a:r>
            <a:rPr lang="fr-FR" sz="1200" b="1"/>
            <a:t>- Mauvaise réception de l'application par les utilisateurs :</a:t>
          </a:r>
          <a:r>
            <a:rPr lang="fr-FR" sz="1200"/>
            <a:t> Risque que l'application ne réponde pas aux attentes des utilisateurs et ne rencontre pas le succès escompté.</a:t>
          </a:r>
        </a:p>
        <a:p>
          <a:r>
            <a:rPr lang="fr-FR" sz="1200" b="1"/>
            <a:t>- Changements dans les tendances de la mode :</a:t>
          </a:r>
          <a:r>
            <a:rPr lang="fr-FR" sz="1200"/>
            <a:t> Évolution rapide des tendances de la mode qui pourrait rendre les algorithmes de recommandation obsolètes.</a:t>
          </a:r>
        </a:p>
        <a:p>
          <a:r>
            <a:rPr lang="fr-FR" sz="1200" b="1"/>
            <a:t>- Difficultés de recrutement :</a:t>
          </a:r>
          <a:r>
            <a:rPr lang="fr-FR" sz="1200"/>
            <a:t> Difficultés à recruter et à retenir des talents dans le domaine des technologies de l'information, ce qui peut retarder le projet.</a:t>
          </a:r>
          <a:endParaRPr lang="fr-FR" sz="1200">
            <a:latin typeface="Georgia" panose="02040502050405020303" pitchFamily="18" charset="0"/>
          </a:endParaRPr>
        </a:p>
      </dgm:t>
    </dgm:pt>
    <dgm:pt modelId="{8975B29D-D7DA-412E-A716-353534943776}" type="parTrans" cxnId="{7B1B8A46-EBB5-4175-AE27-282345CE96CD}">
      <dgm:prSet/>
      <dgm:spPr/>
      <dgm:t>
        <a:bodyPr/>
        <a:lstStyle/>
        <a:p>
          <a:endParaRPr lang="fr-FR">
            <a:latin typeface="Georgia" panose="02040502050405020303" pitchFamily="18" charset="0"/>
          </a:endParaRPr>
        </a:p>
      </dgm:t>
    </dgm:pt>
    <dgm:pt modelId="{98C26366-0D82-4A45-AADF-3B1456AE0DBF}" type="sibTrans" cxnId="{7B1B8A46-EBB5-4175-AE27-282345CE96CD}">
      <dgm:prSet/>
      <dgm:spPr/>
      <dgm:t>
        <a:bodyPr/>
        <a:lstStyle/>
        <a:p>
          <a:endParaRPr lang="fr-FR">
            <a:latin typeface="Georgia" panose="02040502050405020303" pitchFamily="18" charset="0"/>
          </a:endParaRPr>
        </a:p>
      </dgm:t>
    </dgm:pt>
    <dgm:pt modelId="{EB4F47E5-6FC6-491E-A64A-C6BA62C155E5}" type="pres">
      <dgm:prSet presAssocID="{FD78F075-B15E-4B42-BA90-5768C83ACE5F}" presName="diagram" presStyleCnt="0">
        <dgm:presLayoutVars>
          <dgm:chMax val="1"/>
          <dgm:dir/>
          <dgm:animLvl val="ctr"/>
          <dgm:resizeHandles val="exact"/>
        </dgm:presLayoutVars>
      </dgm:prSet>
      <dgm:spPr/>
    </dgm:pt>
    <dgm:pt modelId="{DC80F22F-177D-42C3-9AE2-690063FF6802}" type="pres">
      <dgm:prSet presAssocID="{FD78F075-B15E-4B42-BA90-5768C83ACE5F}" presName="matrix" presStyleCnt="0"/>
      <dgm:spPr/>
    </dgm:pt>
    <dgm:pt modelId="{9DE1F932-FC5B-4A5A-8745-8ADEE393BBF9}" type="pres">
      <dgm:prSet presAssocID="{FD78F075-B15E-4B42-BA90-5768C83ACE5F}" presName="tile1" presStyleLbl="node1" presStyleIdx="0" presStyleCnt="4"/>
      <dgm:spPr/>
    </dgm:pt>
    <dgm:pt modelId="{FE76CF91-8F04-446F-8681-564CBD83D9AA}" type="pres">
      <dgm:prSet presAssocID="{FD78F075-B15E-4B42-BA90-5768C83ACE5F}" presName="tile1text" presStyleLbl="node1" presStyleIdx="0" presStyleCnt="4">
        <dgm:presLayoutVars>
          <dgm:chMax val="0"/>
          <dgm:chPref val="0"/>
          <dgm:bulletEnabled val="1"/>
        </dgm:presLayoutVars>
      </dgm:prSet>
      <dgm:spPr/>
    </dgm:pt>
    <dgm:pt modelId="{F23C40FA-E25B-4A5D-B132-F09607BB431C}" type="pres">
      <dgm:prSet presAssocID="{FD78F075-B15E-4B42-BA90-5768C83ACE5F}" presName="tile2" presStyleLbl="node1" presStyleIdx="1" presStyleCnt="4"/>
      <dgm:spPr/>
    </dgm:pt>
    <dgm:pt modelId="{AE4C699A-4EC3-4CD6-826F-9B47E9435436}" type="pres">
      <dgm:prSet presAssocID="{FD78F075-B15E-4B42-BA90-5768C83ACE5F}" presName="tile2text" presStyleLbl="node1" presStyleIdx="1" presStyleCnt="4">
        <dgm:presLayoutVars>
          <dgm:chMax val="0"/>
          <dgm:chPref val="0"/>
          <dgm:bulletEnabled val="1"/>
        </dgm:presLayoutVars>
      </dgm:prSet>
      <dgm:spPr/>
    </dgm:pt>
    <dgm:pt modelId="{F7806C43-229D-4114-83D5-A0DBC0E2F614}" type="pres">
      <dgm:prSet presAssocID="{FD78F075-B15E-4B42-BA90-5768C83ACE5F}" presName="tile3" presStyleLbl="node1" presStyleIdx="2" presStyleCnt="4"/>
      <dgm:spPr/>
    </dgm:pt>
    <dgm:pt modelId="{6ADACA3B-88BE-4CB1-BF8F-D76D0D9C22FE}" type="pres">
      <dgm:prSet presAssocID="{FD78F075-B15E-4B42-BA90-5768C83ACE5F}" presName="tile3text" presStyleLbl="node1" presStyleIdx="2" presStyleCnt="4">
        <dgm:presLayoutVars>
          <dgm:chMax val="0"/>
          <dgm:chPref val="0"/>
          <dgm:bulletEnabled val="1"/>
        </dgm:presLayoutVars>
      </dgm:prSet>
      <dgm:spPr/>
    </dgm:pt>
    <dgm:pt modelId="{2C945F76-BC47-4C22-A558-20850890635D}" type="pres">
      <dgm:prSet presAssocID="{FD78F075-B15E-4B42-BA90-5768C83ACE5F}" presName="tile4" presStyleLbl="node1" presStyleIdx="3" presStyleCnt="4" custLinFactNeighborY="-904"/>
      <dgm:spPr/>
    </dgm:pt>
    <dgm:pt modelId="{58355A35-FF5D-4C46-91D5-599D245FA743}" type="pres">
      <dgm:prSet presAssocID="{FD78F075-B15E-4B42-BA90-5768C83ACE5F}" presName="tile4text" presStyleLbl="node1" presStyleIdx="3" presStyleCnt="4">
        <dgm:presLayoutVars>
          <dgm:chMax val="0"/>
          <dgm:chPref val="0"/>
          <dgm:bulletEnabled val="1"/>
        </dgm:presLayoutVars>
      </dgm:prSet>
      <dgm:spPr/>
    </dgm:pt>
    <dgm:pt modelId="{59AEECE2-72DB-4E95-90EB-B3DB2189EF8F}" type="pres">
      <dgm:prSet presAssocID="{FD78F075-B15E-4B42-BA90-5768C83ACE5F}" presName="centerTile" presStyleLbl="fgShp" presStyleIdx="0" presStyleCnt="1">
        <dgm:presLayoutVars>
          <dgm:chMax val="0"/>
          <dgm:chPref val="0"/>
        </dgm:presLayoutVars>
      </dgm:prSet>
      <dgm:spPr/>
    </dgm:pt>
  </dgm:ptLst>
  <dgm:cxnLst>
    <dgm:cxn modelId="{4EC35A26-469D-4F52-A66B-075EA04DACFC}" type="presOf" srcId="{CBEE904C-E426-4ED7-A399-17FCC84B7033}" destId="{FE76CF91-8F04-446F-8681-564CBD83D9AA}" srcOrd="1" destOrd="0" presId="urn:microsoft.com/office/officeart/2005/8/layout/matrix1"/>
    <dgm:cxn modelId="{7B1B8A46-EBB5-4175-AE27-282345CE96CD}" srcId="{8491F8DA-DE22-4456-AA1C-3FC1E8D652CA}" destId="{E650E33A-CE52-4680-A3B3-D8F1C64A5D33}" srcOrd="3" destOrd="0" parTransId="{8975B29D-D7DA-412E-A716-353534943776}" sibTransId="{98C26366-0D82-4A45-AADF-3B1456AE0DBF}"/>
    <dgm:cxn modelId="{B5CE2F50-5896-42A5-AA7C-37B7E3FCF5EA}" type="presOf" srcId="{E650E33A-CE52-4680-A3B3-D8F1C64A5D33}" destId="{2C945F76-BC47-4C22-A558-20850890635D}" srcOrd="0" destOrd="0" presId="urn:microsoft.com/office/officeart/2005/8/layout/matrix1"/>
    <dgm:cxn modelId="{1E8FA450-8E1B-41B0-8722-06916AA13DE9}" type="presOf" srcId="{E9605668-62DF-4A2F-8F4A-89CC3657AF3B}" destId="{F7806C43-229D-4114-83D5-A0DBC0E2F614}" srcOrd="0" destOrd="0" presId="urn:microsoft.com/office/officeart/2005/8/layout/matrix1"/>
    <dgm:cxn modelId="{2BC9BC50-DDAB-48E5-A5CE-06B346FEA14C}" type="presOf" srcId="{7EFECEEB-EE9B-4E77-B976-87DAC6BAD506}" destId="{AE4C699A-4EC3-4CD6-826F-9B47E9435436}" srcOrd="1" destOrd="0" presId="urn:microsoft.com/office/officeart/2005/8/layout/matrix1"/>
    <dgm:cxn modelId="{E1F0C854-A193-4300-B8B9-F6BD8EBC9101}" type="presOf" srcId="{FD78F075-B15E-4B42-BA90-5768C83ACE5F}" destId="{EB4F47E5-6FC6-491E-A64A-C6BA62C155E5}" srcOrd="0" destOrd="0" presId="urn:microsoft.com/office/officeart/2005/8/layout/matrix1"/>
    <dgm:cxn modelId="{8B4E3F7E-2D7B-45CF-B577-F5713DD1BA88}" type="presOf" srcId="{7EFECEEB-EE9B-4E77-B976-87DAC6BAD506}" destId="{F23C40FA-E25B-4A5D-B132-F09607BB431C}" srcOrd="0" destOrd="0" presId="urn:microsoft.com/office/officeart/2005/8/layout/matrix1"/>
    <dgm:cxn modelId="{BBCBF4A9-DC26-429E-854C-E9EFA98C8BE4}" type="presOf" srcId="{8491F8DA-DE22-4456-AA1C-3FC1E8D652CA}" destId="{59AEECE2-72DB-4E95-90EB-B3DB2189EF8F}" srcOrd="0" destOrd="0" presId="urn:microsoft.com/office/officeart/2005/8/layout/matrix1"/>
    <dgm:cxn modelId="{6CC729B1-F4F1-44A6-9E69-8C5076A6F8B3}" srcId="{8491F8DA-DE22-4456-AA1C-3FC1E8D652CA}" destId="{CBEE904C-E426-4ED7-A399-17FCC84B7033}" srcOrd="0" destOrd="0" parTransId="{17E02559-0AF7-4D6C-9637-EF3A7FF45FEA}" sibTransId="{4FABB8FF-A6C8-4C35-AB35-7695E7EF56B8}"/>
    <dgm:cxn modelId="{EE7F19B3-6948-4FE7-93A1-245334B38DAF}" srcId="{8491F8DA-DE22-4456-AA1C-3FC1E8D652CA}" destId="{E9605668-62DF-4A2F-8F4A-89CC3657AF3B}" srcOrd="2" destOrd="0" parTransId="{5ADE360D-96FB-4141-BFD0-38A89262FDC9}" sibTransId="{5874C95C-2C3C-421A-BFD4-84897B9F12FA}"/>
    <dgm:cxn modelId="{7F5E37B4-E47D-4A32-B0BE-136BE624A7AB}" srcId="{8491F8DA-DE22-4456-AA1C-3FC1E8D652CA}" destId="{7EFECEEB-EE9B-4E77-B976-87DAC6BAD506}" srcOrd="1" destOrd="0" parTransId="{F10A07D2-3877-4405-9EE6-520A54FE229D}" sibTransId="{917D7BBD-A2A2-4545-88AE-A0F2FF8BD123}"/>
    <dgm:cxn modelId="{5476BED8-CEAB-49EC-9123-EBFB2348C371}" type="presOf" srcId="{E9605668-62DF-4A2F-8F4A-89CC3657AF3B}" destId="{6ADACA3B-88BE-4CB1-BF8F-D76D0D9C22FE}" srcOrd="1" destOrd="0" presId="urn:microsoft.com/office/officeart/2005/8/layout/matrix1"/>
    <dgm:cxn modelId="{8348D6DF-0E73-47E4-A1E8-D3640680A320}" srcId="{FD78F075-B15E-4B42-BA90-5768C83ACE5F}" destId="{8491F8DA-DE22-4456-AA1C-3FC1E8D652CA}" srcOrd="0" destOrd="0" parTransId="{D85E7B3D-9138-4850-9FB3-7CC4414CB104}" sibTransId="{56D4A0F9-95A5-4756-982E-AC0AAE2DCA16}"/>
    <dgm:cxn modelId="{670ADFF2-6000-4D37-BCC7-3CE5A7CBC81F}" type="presOf" srcId="{CBEE904C-E426-4ED7-A399-17FCC84B7033}" destId="{9DE1F932-FC5B-4A5A-8745-8ADEE393BBF9}" srcOrd="0" destOrd="0" presId="urn:microsoft.com/office/officeart/2005/8/layout/matrix1"/>
    <dgm:cxn modelId="{282F71FE-6871-4ABA-B8F6-58E897F76726}" type="presOf" srcId="{E650E33A-CE52-4680-A3B3-D8F1C64A5D33}" destId="{58355A35-FF5D-4C46-91D5-599D245FA743}" srcOrd="1" destOrd="0" presId="urn:microsoft.com/office/officeart/2005/8/layout/matrix1"/>
    <dgm:cxn modelId="{8C4A1AA0-22C2-4AD5-BA34-E75B58E9D6FD}" type="presParOf" srcId="{EB4F47E5-6FC6-491E-A64A-C6BA62C155E5}" destId="{DC80F22F-177D-42C3-9AE2-690063FF6802}" srcOrd="0" destOrd="0" presId="urn:microsoft.com/office/officeart/2005/8/layout/matrix1"/>
    <dgm:cxn modelId="{3478441B-2822-41CD-A8BF-6BB0F5FC9B42}" type="presParOf" srcId="{DC80F22F-177D-42C3-9AE2-690063FF6802}" destId="{9DE1F932-FC5B-4A5A-8745-8ADEE393BBF9}" srcOrd="0" destOrd="0" presId="urn:microsoft.com/office/officeart/2005/8/layout/matrix1"/>
    <dgm:cxn modelId="{4BDC7862-5294-4193-931E-03DBC8671795}" type="presParOf" srcId="{DC80F22F-177D-42C3-9AE2-690063FF6802}" destId="{FE76CF91-8F04-446F-8681-564CBD83D9AA}" srcOrd="1" destOrd="0" presId="urn:microsoft.com/office/officeart/2005/8/layout/matrix1"/>
    <dgm:cxn modelId="{0B4B7424-B207-4897-B3B5-19422A38B946}" type="presParOf" srcId="{DC80F22F-177D-42C3-9AE2-690063FF6802}" destId="{F23C40FA-E25B-4A5D-B132-F09607BB431C}" srcOrd="2" destOrd="0" presId="urn:microsoft.com/office/officeart/2005/8/layout/matrix1"/>
    <dgm:cxn modelId="{9AEFEB1B-6966-40AE-B8CF-8819D9910B36}" type="presParOf" srcId="{DC80F22F-177D-42C3-9AE2-690063FF6802}" destId="{AE4C699A-4EC3-4CD6-826F-9B47E9435436}" srcOrd="3" destOrd="0" presId="urn:microsoft.com/office/officeart/2005/8/layout/matrix1"/>
    <dgm:cxn modelId="{328EFE61-38A5-4EB0-91D6-DEE287BCC47B}" type="presParOf" srcId="{DC80F22F-177D-42C3-9AE2-690063FF6802}" destId="{F7806C43-229D-4114-83D5-A0DBC0E2F614}" srcOrd="4" destOrd="0" presId="urn:microsoft.com/office/officeart/2005/8/layout/matrix1"/>
    <dgm:cxn modelId="{77CA34CA-9A2D-4F5F-82A7-4211154613D9}" type="presParOf" srcId="{DC80F22F-177D-42C3-9AE2-690063FF6802}" destId="{6ADACA3B-88BE-4CB1-BF8F-D76D0D9C22FE}" srcOrd="5" destOrd="0" presId="urn:microsoft.com/office/officeart/2005/8/layout/matrix1"/>
    <dgm:cxn modelId="{714FB500-05D9-445F-94E9-DE51D96A454C}" type="presParOf" srcId="{DC80F22F-177D-42C3-9AE2-690063FF6802}" destId="{2C945F76-BC47-4C22-A558-20850890635D}" srcOrd="6" destOrd="0" presId="urn:microsoft.com/office/officeart/2005/8/layout/matrix1"/>
    <dgm:cxn modelId="{073B7FFC-FF08-496B-A8CF-D0E4E88CB963}" type="presParOf" srcId="{DC80F22F-177D-42C3-9AE2-690063FF6802}" destId="{58355A35-FF5D-4C46-91D5-599D245FA743}" srcOrd="7" destOrd="0" presId="urn:microsoft.com/office/officeart/2005/8/layout/matrix1"/>
    <dgm:cxn modelId="{6397FF3F-0870-4225-9FB6-0455026FCBBC}" type="presParOf" srcId="{EB4F47E5-6FC6-491E-A64A-C6BA62C155E5}" destId="{59AEECE2-72DB-4E95-90EB-B3DB2189EF8F}" srcOrd="1" destOrd="0" presId="urn:microsoft.com/office/officeart/2005/8/layout/matrix1"/>
  </dgm:cxnLst>
  <dgm:bg/>
  <dgm:whole/>
  <dgm:extLst>
    <a:ext uri="http://schemas.microsoft.com/office/drawing/2008/diagram">
      <dsp:dataModelExt xmlns:dsp="http://schemas.microsoft.com/office/drawing/2008/diagram" relId="rId8"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7016484-411C-4CA3-8E8D-0F4036FD1714}">
      <dsp:nvSpPr>
        <dsp:cNvPr id="0" name=""/>
        <dsp:cNvSpPr/>
      </dsp:nvSpPr>
      <dsp:spPr>
        <a:xfrm>
          <a:off x="4932963" y="1073513"/>
          <a:ext cx="224774" cy="984726"/>
        </a:xfrm>
        <a:custGeom>
          <a:avLst/>
          <a:gdLst/>
          <a:ahLst/>
          <a:cxnLst/>
          <a:rect l="0" t="0" r="0" b="0"/>
          <a:pathLst>
            <a:path>
              <a:moveTo>
                <a:pt x="0" y="0"/>
              </a:moveTo>
              <a:lnTo>
                <a:pt x="0" y="984726"/>
              </a:lnTo>
              <a:lnTo>
                <a:pt x="224774" y="98472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3C79C71-A003-4080-991F-9B201A28ED8E}">
      <dsp:nvSpPr>
        <dsp:cNvPr id="0" name=""/>
        <dsp:cNvSpPr/>
      </dsp:nvSpPr>
      <dsp:spPr>
        <a:xfrm>
          <a:off x="4708189" y="1073513"/>
          <a:ext cx="224774" cy="984726"/>
        </a:xfrm>
        <a:custGeom>
          <a:avLst/>
          <a:gdLst/>
          <a:ahLst/>
          <a:cxnLst/>
          <a:rect l="0" t="0" r="0" b="0"/>
          <a:pathLst>
            <a:path>
              <a:moveTo>
                <a:pt x="224774" y="0"/>
              </a:moveTo>
              <a:lnTo>
                <a:pt x="224774" y="984726"/>
              </a:lnTo>
              <a:lnTo>
                <a:pt x="0" y="98472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C4E635F-8A08-429C-B9C3-2E19467DA061}">
      <dsp:nvSpPr>
        <dsp:cNvPr id="0" name=""/>
        <dsp:cNvSpPr/>
      </dsp:nvSpPr>
      <dsp:spPr>
        <a:xfrm>
          <a:off x="4932963" y="1073513"/>
          <a:ext cx="1295128" cy="1969452"/>
        </a:xfrm>
        <a:custGeom>
          <a:avLst/>
          <a:gdLst/>
          <a:ahLst/>
          <a:cxnLst/>
          <a:rect l="0" t="0" r="0" b="0"/>
          <a:pathLst>
            <a:path>
              <a:moveTo>
                <a:pt x="0" y="0"/>
              </a:moveTo>
              <a:lnTo>
                <a:pt x="0" y="1744677"/>
              </a:lnTo>
              <a:lnTo>
                <a:pt x="1295128" y="1744677"/>
              </a:lnTo>
              <a:lnTo>
                <a:pt x="1295128" y="196945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46ED065-99E5-4972-A109-ADBB4BA0C011}">
      <dsp:nvSpPr>
        <dsp:cNvPr id="0" name=""/>
        <dsp:cNvSpPr/>
      </dsp:nvSpPr>
      <dsp:spPr>
        <a:xfrm>
          <a:off x="2781551" y="4113319"/>
          <a:ext cx="321106" cy="984726"/>
        </a:xfrm>
        <a:custGeom>
          <a:avLst/>
          <a:gdLst/>
          <a:ahLst/>
          <a:cxnLst/>
          <a:rect l="0" t="0" r="0" b="0"/>
          <a:pathLst>
            <a:path>
              <a:moveTo>
                <a:pt x="0" y="0"/>
              </a:moveTo>
              <a:lnTo>
                <a:pt x="0" y="984726"/>
              </a:lnTo>
              <a:lnTo>
                <a:pt x="321106" y="984726"/>
              </a:lnTo>
            </a:path>
          </a:pathLst>
        </a:custGeom>
        <a:noFill/>
        <a:ln w="12700" cap="flat" cmpd="sng" algn="ctr">
          <a:solidFill>
            <a:schemeClr val="accent1">
              <a:shade val="8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4BDBBDD-DABE-4F4F-83D2-43DD2D731E48}">
      <dsp:nvSpPr>
        <dsp:cNvPr id="0" name=""/>
        <dsp:cNvSpPr/>
      </dsp:nvSpPr>
      <dsp:spPr>
        <a:xfrm>
          <a:off x="3637835" y="1073513"/>
          <a:ext cx="1295128" cy="1969452"/>
        </a:xfrm>
        <a:custGeom>
          <a:avLst/>
          <a:gdLst/>
          <a:ahLst/>
          <a:cxnLst/>
          <a:rect l="0" t="0" r="0" b="0"/>
          <a:pathLst>
            <a:path>
              <a:moveTo>
                <a:pt x="1295128" y="0"/>
              </a:moveTo>
              <a:lnTo>
                <a:pt x="1295128" y="1744677"/>
              </a:lnTo>
              <a:lnTo>
                <a:pt x="0" y="1744677"/>
              </a:lnTo>
              <a:lnTo>
                <a:pt x="0" y="1969452"/>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13F3BE0-65C4-4510-9983-DD203568A962}">
      <dsp:nvSpPr>
        <dsp:cNvPr id="0" name=""/>
        <dsp:cNvSpPr/>
      </dsp:nvSpPr>
      <dsp:spPr>
        <a:xfrm>
          <a:off x="3862609" y="3158"/>
          <a:ext cx="2140708" cy="107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b="1" kern="1200" dirty="0">
              <a:latin typeface="Georgia" panose="02040502050405020303" pitchFamily="18" charset="0"/>
            </a:rPr>
            <a:t>I. Création d’un compte</a:t>
          </a:r>
        </a:p>
      </dsp:txBody>
      <dsp:txXfrm>
        <a:off x="3862609" y="3158"/>
        <a:ext cx="2140708" cy="1070354"/>
      </dsp:txXfrm>
    </dsp:sp>
    <dsp:sp modelId="{B2F0F069-39F8-4A91-B37C-E24F0B764A75}">
      <dsp:nvSpPr>
        <dsp:cNvPr id="0" name=""/>
        <dsp:cNvSpPr/>
      </dsp:nvSpPr>
      <dsp:spPr>
        <a:xfrm>
          <a:off x="2567480" y="3042965"/>
          <a:ext cx="2140708" cy="107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b="1" kern="1200" dirty="0">
              <a:latin typeface="Georgia" panose="02040502050405020303" pitchFamily="18" charset="0"/>
            </a:rPr>
            <a:t>IV. Retour Utilisateur</a:t>
          </a:r>
        </a:p>
      </dsp:txBody>
      <dsp:txXfrm>
        <a:off x="2567480" y="3042965"/>
        <a:ext cx="2140708" cy="1070354"/>
      </dsp:txXfrm>
    </dsp:sp>
    <dsp:sp modelId="{7D8D2837-38B3-4CDE-A6FB-211A0D06C3C9}">
      <dsp:nvSpPr>
        <dsp:cNvPr id="0" name=""/>
        <dsp:cNvSpPr/>
      </dsp:nvSpPr>
      <dsp:spPr>
        <a:xfrm>
          <a:off x="3102657" y="4562868"/>
          <a:ext cx="2140708" cy="107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b="1" kern="1200" dirty="0">
              <a:latin typeface="Georgia" panose="02040502050405020303" pitchFamily="18" charset="0"/>
            </a:rPr>
            <a:t>V. Processus d’achat</a:t>
          </a:r>
        </a:p>
      </dsp:txBody>
      <dsp:txXfrm>
        <a:off x="3102657" y="4562868"/>
        <a:ext cx="2140708" cy="1070354"/>
      </dsp:txXfrm>
    </dsp:sp>
    <dsp:sp modelId="{827F002D-49D6-4526-B5A5-52D3010B8721}">
      <dsp:nvSpPr>
        <dsp:cNvPr id="0" name=""/>
        <dsp:cNvSpPr/>
      </dsp:nvSpPr>
      <dsp:spPr>
        <a:xfrm>
          <a:off x="5157738" y="3042965"/>
          <a:ext cx="2140708" cy="107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b="1" kern="1200" dirty="0">
              <a:latin typeface="Georgia" panose="02040502050405020303" pitchFamily="18" charset="0"/>
            </a:rPr>
            <a:t>VI. Gestion des données personnelles (RGPD)</a:t>
          </a:r>
        </a:p>
      </dsp:txBody>
      <dsp:txXfrm>
        <a:off x="5157738" y="3042965"/>
        <a:ext cx="2140708" cy="1070354"/>
      </dsp:txXfrm>
    </dsp:sp>
    <dsp:sp modelId="{84E7D0A6-D17C-4AC0-9D31-4E08FC6E1ACD}">
      <dsp:nvSpPr>
        <dsp:cNvPr id="0" name=""/>
        <dsp:cNvSpPr/>
      </dsp:nvSpPr>
      <dsp:spPr>
        <a:xfrm>
          <a:off x="2567480" y="1523062"/>
          <a:ext cx="2140708" cy="107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b="1" kern="1200" dirty="0">
              <a:latin typeface="Georgia" panose="02040502050405020303" pitchFamily="18" charset="0"/>
            </a:rPr>
            <a:t>II. Outil de recommandation de vêtements basé sur les </a:t>
          </a:r>
          <a:r>
            <a:rPr lang="fr-FR" sz="1400" b="1" kern="1200" dirty="0" err="1">
              <a:latin typeface="Georgia" panose="02040502050405020303" pitchFamily="18" charset="0"/>
            </a:rPr>
            <a:t>vétements</a:t>
          </a:r>
          <a:r>
            <a:rPr lang="fr-FR" sz="1400" b="1" kern="1200" dirty="0">
              <a:latin typeface="Georgia" panose="02040502050405020303" pitchFamily="18" charset="0"/>
            </a:rPr>
            <a:t> que je possède déjà</a:t>
          </a:r>
        </a:p>
      </dsp:txBody>
      <dsp:txXfrm>
        <a:off x="2567480" y="1523062"/>
        <a:ext cx="2140708" cy="1070354"/>
      </dsp:txXfrm>
    </dsp:sp>
    <dsp:sp modelId="{30DFB1F1-B927-43FB-BD66-64F9B76A79F8}">
      <dsp:nvSpPr>
        <dsp:cNvPr id="0" name=""/>
        <dsp:cNvSpPr/>
      </dsp:nvSpPr>
      <dsp:spPr>
        <a:xfrm>
          <a:off x="5157738" y="1523062"/>
          <a:ext cx="2140708" cy="1070354"/>
        </a:xfrm>
        <a:prstGeom prst="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fr-FR" sz="1400" kern="1200" dirty="0">
              <a:latin typeface="Georgia" panose="02040502050405020303" pitchFamily="18" charset="0"/>
            </a:rPr>
            <a:t>III. </a:t>
          </a:r>
          <a:r>
            <a:rPr lang="fr-FR" sz="1400" b="1" i="0" u="none" kern="1200" dirty="0">
              <a:latin typeface="Georgia" panose="02040502050405020303" pitchFamily="18" charset="0"/>
            </a:rPr>
            <a:t>Outil de recommandation basé sur mes préférences de style ou les tendances du moment.</a:t>
          </a:r>
          <a:endParaRPr lang="fr-FR" sz="1400" kern="1200" dirty="0">
            <a:latin typeface="Georgia" panose="02040502050405020303" pitchFamily="18" charset="0"/>
          </a:endParaRPr>
        </a:p>
      </dsp:txBody>
      <dsp:txXfrm>
        <a:off x="5157738" y="1523062"/>
        <a:ext cx="2140708" cy="107035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246B3B9-BF97-4021-B48F-23BC4F92C429}">
      <dsp:nvSpPr>
        <dsp:cNvPr id="0" name=""/>
        <dsp:cNvSpPr/>
      </dsp:nvSpPr>
      <dsp:spPr>
        <a:xfrm>
          <a:off x="3469502" y="1410320"/>
          <a:ext cx="1083056" cy="1083056"/>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1430" tIns="11430" rIns="11430" bIns="11430" numCol="1" spcCol="1270" anchor="ctr" anchorCtr="0">
          <a:noAutofit/>
        </a:bodyPr>
        <a:lstStyle/>
        <a:p>
          <a:pPr marL="0" lvl="0" indent="0" algn="ctr" defTabSz="800100">
            <a:lnSpc>
              <a:spcPct val="90000"/>
            </a:lnSpc>
            <a:spcBef>
              <a:spcPct val="0"/>
            </a:spcBef>
            <a:spcAft>
              <a:spcPct val="35000"/>
            </a:spcAft>
            <a:buNone/>
          </a:pPr>
          <a:r>
            <a:rPr lang="fr-FR" sz="1800" kern="1200"/>
            <a:t>Chef de Projet</a:t>
          </a:r>
        </a:p>
      </dsp:txBody>
      <dsp:txXfrm>
        <a:off x="3628112" y="1568930"/>
        <a:ext cx="765836" cy="765836"/>
      </dsp:txXfrm>
    </dsp:sp>
    <dsp:sp modelId="{DB772F81-F3A7-47F5-BB68-A3E0A350625E}">
      <dsp:nvSpPr>
        <dsp:cNvPr id="0" name=""/>
        <dsp:cNvSpPr/>
      </dsp:nvSpPr>
      <dsp:spPr>
        <a:xfrm rot="16200000">
          <a:off x="3848314" y="1235453"/>
          <a:ext cx="325432" cy="24301"/>
        </a:xfrm>
        <a:custGeom>
          <a:avLst/>
          <a:gdLst/>
          <a:ahLst/>
          <a:cxnLst/>
          <a:rect l="0" t="0" r="0" b="0"/>
          <a:pathLst>
            <a:path>
              <a:moveTo>
                <a:pt x="0" y="12150"/>
              </a:moveTo>
              <a:lnTo>
                <a:pt x="325432" y="12150"/>
              </a:lnTo>
            </a:path>
          </a:pathLst>
        </a:custGeom>
        <a:noFill/>
        <a:ln w="12700" cap="flat" cmpd="sng" algn="ctr">
          <a:solidFill>
            <a:scrgbClr r="0" g="0" b="0"/>
          </a:solidFill>
          <a:prstDash val="solid"/>
          <a:miter lim="800000"/>
          <a:headEnd type="triangle" w="med" len="med"/>
          <a:tailEnd type="triangle" w="med" len="me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fr-FR" sz="500" kern="1200"/>
        </a:p>
      </dsp:txBody>
      <dsp:txXfrm>
        <a:off x="4002894" y="1239468"/>
        <a:ext cx="16271" cy="16271"/>
      </dsp:txXfrm>
    </dsp:sp>
    <dsp:sp modelId="{1FB4B646-D91D-4024-80F6-CDCF6F2790FD}">
      <dsp:nvSpPr>
        <dsp:cNvPr id="0" name=""/>
        <dsp:cNvSpPr/>
      </dsp:nvSpPr>
      <dsp:spPr>
        <a:xfrm>
          <a:off x="3469502" y="1831"/>
          <a:ext cx="1083056" cy="1083056"/>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525" tIns="9525" rIns="9525" bIns="9525" numCol="1" spcCol="1270" anchor="ctr" anchorCtr="0">
          <a:noAutofit/>
        </a:bodyPr>
        <a:lstStyle/>
        <a:p>
          <a:pPr marL="0" lvl="0" indent="0" algn="ctr" defTabSz="666750">
            <a:lnSpc>
              <a:spcPct val="90000"/>
            </a:lnSpc>
            <a:spcBef>
              <a:spcPct val="0"/>
            </a:spcBef>
            <a:spcAft>
              <a:spcPct val="35000"/>
            </a:spcAft>
            <a:buNone/>
          </a:pPr>
          <a:r>
            <a:rPr lang="fr-FR" sz="1500" kern="1200"/>
            <a:t>Dév Front-End</a:t>
          </a:r>
        </a:p>
      </dsp:txBody>
      <dsp:txXfrm>
        <a:off x="3628112" y="160441"/>
        <a:ext cx="765836" cy="765836"/>
      </dsp:txXfrm>
    </dsp:sp>
    <dsp:sp modelId="{253AFE6A-94F3-4386-ACB7-522E499A86DA}">
      <dsp:nvSpPr>
        <dsp:cNvPr id="0" name=""/>
        <dsp:cNvSpPr/>
      </dsp:nvSpPr>
      <dsp:spPr>
        <a:xfrm rot="1800000">
          <a:off x="4458207" y="2291820"/>
          <a:ext cx="325432" cy="24301"/>
        </a:xfrm>
        <a:custGeom>
          <a:avLst/>
          <a:gdLst/>
          <a:ahLst/>
          <a:cxnLst/>
          <a:rect l="0" t="0" r="0" b="0"/>
          <a:pathLst>
            <a:path>
              <a:moveTo>
                <a:pt x="0" y="12150"/>
              </a:moveTo>
              <a:lnTo>
                <a:pt x="325432" y="12150"/>
              </a:lnTo>
            </a:path>
          </a:pathLst>
        </a:custGeom>
        <a:noFill/>
        <a:ln w="12700" cap="flat" cmpd="sng" algn="ctr">
          <a:solidFill>
            <a:scrgbClr r="0" g="0" b="0"/>
          </a:solidFill>
          <a:prstDash val="solid"/>
          <a:miter lim="800000"/>
          <a:headEnd type="triangle" w="med" len="med"/>
          <a:tailEnd type="triangle" w="med" len="me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fr-FR" sz="500" kern="1200"/>
        </a:p>
      </dsp:txBody>
      <dsp:txXfrm>
        <a:off x="4612788" y="2295835"/>
        <a:ext cx="16271" cy="16271"/>
      </dsp:txXfrm>
    </dsp:sp>
    <dsp:sp modelId="{23AF48E3-E926-40B2-ABA5-5C4003CA9ADC}">
      <dsp:nvSpPr>
        <dsp:cNvPr id="0" name=""/>
        <dsp:cNvSpPr/>
      </dsp:nvSpPr>
      <dsp:spPr>
        <a:xfrm>
          <a:off x="4689289" y="2114565"/>
          <a:ext cx="1083056" cy="1083056"/>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525" tIns="9525" rIns="9525" bIns="9525" numCol="1" spcCol="1270" anchor="ctr" anchorCtr="0">
          <a:noAutofit/>
        </a:bodyPr>
        <a:lstStyle/>
        <a:p>
          <a:pPr marL="0" lvl="0" indent="0" algn="ctr" defTabSz="666750">
            <a:lnSpc>
              <a:spcPct val="90000"/>
            </a:lnSpc>
            <a:spcBef>
              <a:spcPct val="0"/>
            </a:spcBef>
            <a:spcAft>
              <a:spcPct val="35000"/>
            </a:spcAft>
            <a:buNone/>
          </a:pPr>
          <a:r>
            <a:rPr lang="fr-FR" sz="1500" kern="1200"/>
            <a:t>Dév Back-End</a:t>
          </a:r>
        </a:p>
      </dsp:txBody>
      <dsp:txXfrm>
        <a:off x="4847899" y="2273175"/>
        <a:ext cx="765836" cy="765836"/>
      </dsp:txXfrm>
    </dsp:sp>
    <dsp:sp modelId="{1191D981-C942-4790-B5BF-AA004AC5741C}">
      <dsp:nvSpPr>
        <dsp:cNvPr id="0" name=""/>
        <dsp:cNvSpPr/>
      </dsp:nvSpPr>
      <dsp:spPr>
        <a:xfrm rot="9000000">
          <a:off x="3238420" y="2291820"/>
          <a:ext cx="325432" cy="24301"/>
        </a:xfrm>
        <a:custGeom>
          <a:avLst/>
          <a:gdLst/>
          <a:ahLst/>
          <a:cxnLst/>
          <a:rect l="0" t="0" r="0" b="0"/>
          <a:pathLst>
            <a:path>
              <a:moveTo>
                <a:pt x="0" y="12150"/>
              </a:moveTo>
              <a:lnTo>
                <a:pt x="325432" y="12150"/>
              </a:lnTo>
            </a:path>
          </a:pathLst>
        </a:custGeom>
        <a:noFill/>
        <a:ln w="12700" cap="flat" cmpd="sng" algn="ctr">
          <a:solidFill>
            <a:scrgbClr r="0" g="0" b="0"/>
          </a:solidFill>
          <a:prstDash val="solid"/>
          <a:miter lim="800000"/>
          <a:headEnd type="triangle" w="med" len="med"/>
          <a:tailEnd type="triangle" w="med" len="med"/>
        </a:ln>
        <a:effectLst/>
      </dsp:spPr>
      <dsp:style>
        <a:lnRef idx="2">
          <a:scrgbClr r="0" g="0" b="0"/>
        </a:lnRef>
        <a:fillRef idx="0">
          <a:scrgbClr r="0" g="0" b="0"/>
        </a:fillRef>
        <a:effectRef idx="0">
          <a:scrgbClr r="0" g="0" b="0"/>
        </a:effectRef>
        <a:fontRef idx="minor"/>
      </dsp:style>
      <dsp:txBody>
        <a:bodyPr spcFirstLastPara="0" vert="horz" wrap="square" lIns="12700" tIns="0" rIns="12700" bIns="0" numCol="1" spcCol="1270" anchor="ctr" anchorCtr="0">
          <a:noAutofit/>
        </a:bodyPr>
        <a:lstStyle/>
        <a:p>
          <a:pPr marL="0" lvl="0" indent="0" algn="ctr" defTabSz="222250">
            <a:lnSpc>
              <a:spcPct val="90000"/>
            </a:lnSpc>
            <a:spcBef>
              <a:spcPct val="0"/>
            </a:spcBef>
            <a:spcAft>
              <a:spcPct val="35000"/>
            </a:spcAft>
            <a:buNone/>
          </a:pPr>
          <a:endParaRPr lang="fr-FR" sz="500" kern="1200"/>
        </a:p>
      </dsp:txBody>
      <dsp:txXfrm rot="10800000">
        <a:off x="3393000" y="2295835"/>
        <a:ext cx="16271" cy="16271"/>
      </dsp:txXfrm>
    </dsp:sp>
    <dsp:sp modelId="{EFC20599-F593-4E77-AE89-A04458645414}">
      <dsp:nvSpPr>
        <dsp:cNvPr id="0" name=""/>
        <dsp:cNvSpPr/>
      </dsp:nvSpPr>
      <dsp:spPr>
        <a:xfrm>
          <a:off x="2249714" y="2114565"/>
          <a:ext cx="1083056" cy="1083056"/>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9525" tIns="9525" rIns="9525" bIns="9525" numCol="1" spcCol="1270" anchor="ctr" anchorCtr="0">
          <a:noAutofit/>
        </a:bodyPr>
        <a:lstStyle/>
        <a:p>
          <a:pPr marL="0" lvl="0" indent="0" algn="ctr" defTabSz="666750">
            <a:lnSpc>
              <a:spcPct val="90000"/>
            </a:lnSpc>
            <a:spcBef>
              <a:spcPct val="0"/>
            </a:spcBef>
            <a:spcAft>
              <a:spcPct val="35000"/>
            </a:spcAft>
            <a:buNone/>
          </a:pPr>
          <a:r>
            <a:rPr lang="fr-FR" sz="1500" kern="1200"/>
            <a:t>Data Scientist</a:t>
          </a:r>
        </a:p>
      </dsp:txBody>
      <dsp:txXfrm>
        <a:off x="2408324" y="2273175"/>
        <a:ext cx="765836" cy="76583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DE1F932-FC5B-4A5A-8745-8ADEE393BBF9}">
      <dsp:nvSpPr>
        <dsp:cNvPr id="0" name=""/>
        <dsp:cNvSpPr/>
      </dsp:nvSpPr>
      <dsp:spPr>
        <a:xfrm rot="16200000">
          <a:off x="1616423" y="-1616423"/>
          <a:ext cx="3964034" cy="7196881"/>
        </a:xfrm>
        <a:prstGeom prst="round1Rect">
          <a:avLst/>
        </a:prstGeom>
        <a:solidFill>
          <a:schemeClr val="accent4"/>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142240" numCol="1" spcCol="1270" anchor="ctr" anchorCtr="0">
          <a:noAutofit/>
        </a:bodyPr>
        <a:lstStyle/>
        <a:p>
          <a:pPr marL="0" lvl="0" indent="0" algn="ctr" defTabSz="889000">
            <a:lnSpc>
              <a:spcPct val="90000"/>
            </a:lnSpc>
            <a:spcBef>
              <a:spcPct val="0"/>
            </a:spcBef>
            <a:spcAft>
              <a:spcPct val="35000"/>
            </a:spcAft>
            <a:buNone/>
          </a:pPr>
          <a:r>
            <a:rPr lang="fr-FR" sz="2000" b="1" kern="1200">
              <a:latin typeface="Georgia" panose="02040502050405020303" pitchFamily="18" charset="0"/>
            </a:rPr>
            <a:t>Forces</a:t>
          </a:r>
        </a:p>
        <a:p>
          <a:pPr marL="0" lvl="0" indent="0" algn="ctr" defTabSz="889000">
            <a:lnSpc>
              <a:spcPct val="90000"/>
            </a:lnSpc>
            <a:spcBef>
              <a:spcPct val="0"/>
            </a:spcBef>
            <a:spcAft>
              <a:spcPct val="35000"/>
            </a:spcAft>
            <a:buNone/>
          </a:pPr>
          <a:r>
            <a:rPr lang="fr-FR" sz="1200" kern="1200">
              <a:latin typeface="Georgia" panose="02040502050405020303" pitchFamily="18" charset="0"/>
            </a:rPr>
            <a:t>- </a:t>
          </a:r>
          <a:r>
            <a:rPr lang="fr-FR" sz="1200" b="1" kern="1200">
              <a:latin typeface="Georgia" panose="02040502050405020303" pitchFamily="18" charset="0"/>
            </a:rPr>
            <a:t>Technologie innovante :</a:t>
          </a:r>
          <a:r>
            <a:rPr lang="fr-FR" sz="1200" kern="1200">
              <a:latin typeface="Georgia" panose="02040502050405020303" pitchFamily="18" charset="0"/>
            </a:rPr>
            <a:t> Utilisation d'une technologie d'analyse d'images performante pour la recommandation d'articles vestimentaires.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Base de données d'images riche :</a:t>
          </a:r>
          <a:r>
            <a:rPr lang="fr-FR" sz="1200" kern="1200">
              <a:latin typeface="Georgia" panose="02040502050405020303" pitchFamily="18" charset="0"/>
            </a:rPr>
            <a:t> Accès à une vaste collection d'images d'articles vestimentaires pour alimenter les algorithmes de recommandation.</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Connaissance du marché :</a:t>
          </a:r>
          <a:r>
            <a:rPr lang="fr-FR" sz="1200" kern="1200">
              <a:latin typeface="Georgia" panose="02040502050405020303" pitchFamily="18" charset="0"/>
            </a:rPr>
            <a:t> Expertise de Fashion-Insta dans le domaine de la mode et des tendances vestimentaires.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Équipe compétente :</a:t>
          </a:r>
          <a:r>
            <a:rPr lang="fr-FR" sz="1200" kern="1200">
              <a:latin typeface="Georgia" panose="02040502050405020303" pitchFamily="18" charset="0"/>
            </a:rPr>
            <a:t> Équipe pluridisciplinaire composée de développeurs, de data scientists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Partenariat avec un sous-traitant expérimenté :</a:t>
          </a:r>
          <a:r>
            <a:rPr lang="fr-FR" sz="1200" kern="1200">
              <a:latin typeface="Georgia" panose="02040502050405020303" pitchFamily="18" charset="0"/>
            </a:rPr>
            <a:t> Appui sur les compétences d'un sous-traitant pour la réalisation des modèles d'analyse d'images.</a:t>
          </a:r>
        </a:p>
      </dsp:txBody>
      <dsp:txXfrm rot="5400000">
        <a:off x="-1" y="1"/>
        <a:ext cx="7196881" cy="2973025"/>
      </dsp:txXfrm>
    </dsp:sp>
    <dsp:sp modelId="{F23C40FA-E25B-4A5D-B132-F09607BB431C}">
      <dsp:nvSpPr>
        <dsp:cNvPr id="0" name=""/>
        <dsp:cNvSpPr/>
      </dsp:nvSpPr>
      <dsp:spPr>
        <a:xfrm>
          <a:off x="7196881" y="0"/>
          <a:ext cx="7196881" cy="3964034"/>
        </a:xfrm>
        <a:prstGeom prst="round1Rect">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142240" numCol="1" spcCol="1270" anchor="ctr" anchorCtr="0">
          <a:noAutofit/>
        </a:bodyPr>
        <a:lstStyle/>
        <a:p>
          <a:pPr marL="0" lvl="0" indent="0" algn="ctr" defTabSz="889000">
            <a:lnSpc>
              <a:spcPct val="90000"/>
            </a:lnSpc>
            <a:spcBef>
              <a:spcPct val="0"/>
            </a:spcBef>
            <a:spcAft>
              <a:spcPct val="35000"/>
            </a:spcAft>
            <a:buNone/>
          </a:pPr>
          <a:r>
            <a:rPr lang="fr-FR" sz="2000" b="1" kern="1200">
              <a:latin typeface="Georgia" panose="02040502050405020303" pitchFamily="18" charset="0"/>
            </a:rPr>
            <a:t>Faiblesses</a:t>
          </a:r>
          <a:endParaRPr lang="fr-FR" sz="1800" b="1" kern="1200">
            <a:latin typeface="Georgia" panose="02040502050405020303" pitchFamily="18" charset="0"/>
          </a:endParaRPr>
        </a:p>
        <a:p>
          <a:pPr marL="0" lvl="0" indent="0" algn="ctr" defTabSz="889000">
            <a:lnSpc>
              <a:spcPct val="90000"/>
            </a:lnSpc>
            <a:spcBef>
              <a:spcPct val="0"/>
            </a:spcBef>
            <a:spcAft>
              <a:spcPct val="35000"/>
            </a:spcAft>
            <a:buNone/>
          </a:pPr>
          <a:r>
            <a:rPr lang="fr-FR" sz="1200" b="1" kern="1200">
              <a:latin typeface="Georgia" panose="02040502050405020303" pitchFamily="18" charset="0"/>
            </a:rPr>
            <a:t>- Manque d'expérience interne en data science :</a:t>
          </a:r>
          <a:r>
            <a:rPr lang="fr-FR" sz="1200" kern="1200">
              <a:latin typeface="Georgia" panose="02040502050405020303" pitchFamily="18" charset="0"/>
            </a:rPr>
            <a:t> Le data scientist du projet est junior et nécessite un accompagnement par le sous-traitant.</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Délais serrés :</a:t>
          </a:r>
          <a:r>
            <a:rPr lang="fr-FR" sz="1200" kern="1200">
              <a:latin typeface="Georgia" panose="02040502050405020303" pitchFamily="18" charset="0"/>
            </a:rPr>
            <a:t> Un concurrent développe un projet similaire, il est crucial d'être le premier à proposer ce type de service.</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Ressources mobilisées sur d'autres projets :</a:t>
          </a:r>
          <a:r>
            <a:rPr lang="fr-FR" sz="1200" kern="1200">
              <a:latin typeface="Georgia" panose="02040502050405020303" pitchFamily="18" charset="0"/>
            </a:rPr>
            <a:t> Les développeurs de l'application mobile travaillent en parallèle sur une autre application urgente, ce qui peut limiter leur disponibilité pour le projet Fashion-Insta.</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Nature sensible des données :</a:t>
          </a:r>
          <a:r>
            <a:rPr lang="fr-FR" sz="1200" kern="1200">
              <a:latin typeface="Georgia" panose="02040502050405020303" pitchFamily="18" charset="0"/>
            </a:rPr>
            <a:t> Les données de type images traitées sont des données personnelles sensibles, ce qui requiert une gestion et une protection rigoureuses.</a:t>
          </a:r>
        </a:p>
      </dsp:txBody>
      <dsp:txXfrm>
        <a:off x="7196881" y="0"/>
        <a:ext cx="7196881" cy="2973025"/>
      </dsp:txXfrm>
    </dsp:sp>
    <dsp:sp modelId="{F7806C43-229D-4114-83D5-A0DBC0E2F614}">
      <dsp:nvSpPr>
        <dsp:cNvPr id="0" name=""/>
        <dsp:cNvSpPr/>
      </dsp:nvSpPr>
      <dsp:spPr>
        <a:xfrm rot="10800000">
          <a:off x="0" y="3964034"/>
          <a:ext cx="7196881" cy="3964034"/>
        </a:xfrm>
        <a:prstGeom prst="round1Rect">
          <a:avLst/>
        </a:prstGeom>
        <a:solidFill>
          <a:schemeClr val="accent3"/>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142240" numCol="1" spcCol="1270" anchor="ctr" anchorCtr="0">
          <a:noAutofit/>
        </a:bodyPr>
        <a:lstStyle/>
        <a:p>
          <a:pPr marL="0" lvl="0" indent="0" algn="ctr" defTabSz="889000">
            <a:lnSpc>
              <a:spcPct val="90000"/>
            </a:lnSpc>
            <a:spcBef>
              <a:spcPct val="0"/>
            </a:spcBef>
            <a:spcAft>
              <a:spcPct val="35000"/>
            </a:spcAft>
            <a:buNone/>
          </a:pPr>
          <a:r>
            <a:rPr lang="fr-FR" sz="2000" b="1" kern="1200">
              <a:latin typeface="Georgia" panose="02040502050405020303" pitchFamily="18" charset="0"/>
            </a:rPr>
            <a:t>Opportunités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Croissance du marché de la mode en ligne :</a:t>
          </a:r>
          <a:r>
            <a:rPr lang="fr-FR" sz="1200" kern="1200">
              <a:latin typeface="Georgia" panose="02040502050405020303" pitchFamily="18" charset="0"/>
            </a:rPr>
            <a:t> Augmentation constante des achats de vêtements en ligne, créant une forte demande pour des solutions de recommandation personnalisées.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Demande croissante de recommandations personnalisées :</a:t>
          </a:r>
          <a:r>
            <a:rPr lang="fr-FR" sz="1200" kern="1200">
              <a:latin typeface="Georgia" panose="02040502050405020303" pitchFamily="18" charset="0"/>
            </a:rPr>
            <a:t> Les consommateurs recherchent de plus en plus des recommandations personnalisées pour leurs achats.</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Potentiel de différenciation :</a:t>
          </a:r>
          <a:r>
            <a:rPr lang="fr-FR" sz="1200" kern="1200">
              <a:latin typeface="Georgia" panose="02040502050405020303" pitchFamily="18" charset="0"/>
            </a:rPr>
            <a:t> Être le premier à proposer une application de recommandation d'articles vestimentaires basée sur des photos offre un avantage concurrentiel important.</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Opportunités de partenariats :</a:t>
          </a:r>
          <a:r>
            <a:rPr lang="fr-FR" sz="1200" kern="1200">
              <a:latin typeface="Georgia" panose="02040502050405020303" pitchFamily="18" charset="0"/>
            </a:rPr>
            <a:t> Possibilité de nouer des partenariats avec des influenceurs, des marques de mode ou d'autres acteurs du secteur.</a:t>
          </a:r>
        </a:p>
        <a:p>
          <a:pPr marL="0" lvl="0" indent="0" algn="ctr" defTabSz="889000">
            <a:lnSpc>
              <a:spcPct val="90000"/>
            </a:lnSpc>
            <a:spcBef>
              <a:spcPct val="0"/>
            </a:spcBef>
            <a:spcAft>
              <a:spcPct val="35000"/>
            </a:spcAft>
            <a:buNone/>
          </a:pPr>
          <a:r>
            <a:rPr lang="fr-FR" sz="1200" b="1" kern="1200">
              <a:latin typeface="Georgia" panose="02040502050405020303" pitchFamily="18" charset="0"/>
            </a:rPr>
            <a:t>- Expansion internationale :</a:t>
          </a:r>
          <a:r>
            <a:rPr lang="fr-FR" sz="1200" kern="1200">
              <a:latin typeface="Georgia" panose="02040502050405020303" pitchFamily="18" charset="0"/>
            </a:rPr>
            <a:t> Potentiel de développement de l'application sur de nouveaux marchés.</a:t>
          </a:r>
        </a:p>
      </dsp:txBody>
      <dsp:txXfrm rot="10800000">
        <a:off x="0" y="4955043"/>
        <a:ext cx="7196881" cy="2973025"/>
      </dsp:txXfrm>
    </dsp:sp>
    <dsp:sp modelId="{2C945F76-BC47-4C22-A558-20850890635D}">
      <dsp:nvSpPr>
        <dsp:cNvPr id="0" name=""/>
        <dsp:cNvSpPr/>
      </dsp:nvSpPr>
      <dsp:spPr>
        <a:xfrm rot="5400000">
          <a:off x="8813304" y="2311776"/>
          <a:ext cx="3964034" cy="7196881"/>
        </a:xfrm>
        <a:prstGeom prst="round1Rect">
          <a:avLst/>
        </a:prstGeom>
        <a:solidFill>
          <a:schemeClr val="accent5"/>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142240" tIns="142240" rIns="142240" bIns="142240" numCol="1" spcCol="1270" anchor="ctr" anchorCtr="0">
          <a:noAutofit/>
        </a:bodyPr>
        <a:lstStyle/>
        <a:p>
          <a:pPr marL="0" lvl="0" indent="0" algn="ctr" defTabSz="889000">
            <a:lnSpc>
              <a:spcPct val="90000"/>
            </a:lnSpc>
            <a:spcBef>
              <a:spcPct val="0"/>
            </a:spcBef>
            <a:spcAft>
              <a:spcPct val="35000"/>
            </a:spcAft>
            <a:buNone/>
          </a:pPr>
          <a:r>
            <a:rPr lang="fr-FR" sz="2000" b="1" kern="1200">
              <a:latin typeface="Georgia" panose="02040502050405020303" pitchFamily="18" charset="0"/>
            </a:rPr>
            <a:t>Menaces</a:t>
          </a:r>
          <a:endParaRPr lang="fr-FR" sz="1800" b="1" kern="1200">
            <a:latin typeface="Georgia" panose="02040502050405020303" pitchFamily="18" charset="0"/>
          </a:endParaRPr>
        </a:p>
        <a:p>
          <a:pPr marL="0" lvl="0" indent="0" algn="ctr" defTabSz="889000">
            <a:lnSpc>
              <a:spcPct val="90000"/>
            </a:lnSpc>
            <a:spcBef>
              <a:spcPct val="0"/>
            </a:spcBef>
            <a:spcAft>
              <a:spcPct val="35000"/>
            </a:spcAft>
            <a:buNone/>
          </a:pPr>
          <a:r>
            <a:rPr lang="fr-FR" sz="1200" b="1" kern="1200"/>
            <a:t>- Changements réglementaires :</a:t>
          </a:r>
          <a:r>
            <a:rPr lang="fr-FR" sz="1200" kern="1200"/>
            <a:t> Évolution de la réglementation sur la protection des données personnelles, pouvant impacter la collecte et le traitement des données.</a:t>
          </a:r>
        </a:p>
        <a:p>
          <a:pPr marL="0" lvl="0" indent="0" algn="ctr" defTabSz="889000">
            <a:lnSpc>
              <a:spcPct val="90000"/>
            </a:lnSpc>
            <a:spcBef>
              <a:spcPct val="0"/>
            </a:spcBef>
            <a:spcAft>
              <a:spcPct val="35000"/>
            </a:spcAft>
            <a:buNone/>
          </a:pPr>
          <a:r>
            <a:rPr lang="fr-FR" sz="1200" b="1" kern="1200"/>
            <a:t>- Attaques informatiques :</a:t>
          </a:r>
          <a:r>
            <a:rPr lang="fr-FR" sz="1200" kern="1200"/>
            <a:t> Risque de piratage de l'application ou des données des utilisateurs, pouvant nuire à la réputation de Fashion-Insta.</a:t>
          </a:r>
        </a:p>
        <a:p>
          <a:pPr marL="0" lvl="0" indent="0" algn="ctr" defTabSz="889000">
            <a:lnSpc>
              <a:spcPct val="90000"/>
            </a:lnSpc>
            <a:spcBef>
              <a:spcPct val="0"/>
            </a:spcBef>
            <a:spcAft>
              <a:spcPct val="35000"/>
            </a:spcAft>
            <a:buNone/>
          </a:pPr>
          <a:r>
            <a:rPr lang="fr-FR" sz="1200" b="1" kern="1200"/>
            <a:t>- Mauvaise réception de l'application par les utilisateurs :</a:t>
          </a:r>
          <a:r>
            <a:rPr lang="fr-FR" sz="1200" kern="1200"/>
            <a:t> Risque que l'application ne réponde pas aux attentes des utilisateurs et ne rencontre pas le succès escompté.</a:t>
          </a:r>
        </a:p>
        <a:p>
          <a:pPr marL="0" lvl="0" indent="0" algn="ctr" defTabSz="889000">
            <a:lnSpc>
              <a:spcPct val="90000"/>
            </a:lnSpc>
            <a:spcBef>
              <a:spcPct val="0"/>
            </a:spcBef>
            <a:spcAft>
              <a:spcPct val="35000"/>
            </a:spcAft>
            <a:buNone/>
          </a:pPr>
          <a:r>
            <a:rPr lang="fr-FR" sz="1200" b="1" kern="1200"/>
            <a:t>- Changements dans les tendances de la mode :</a:t>
          </a:r>
          <a:r>
            <a:rPr lang="fr-FR" sz="1200" kern="1200"/>
            <a:t> Évolution rapide des tendances de la mode qui pourrait rendre les algorithmes de recommandation obsolètes.</a:t>
          </a:r>
        </a:p>
        <a:p>
          <a:pPr marL="0" lvl="0" indent="0" algn="ctr" defTabSz="889000">
            <a:lnSpc>
              <a:spcPct val="90000"/>
            </a:lnSpc>
            <a:spcBef>
              <a:spcPct val="0"/>
            </a:spcBef>
            <a:spcAft>
              <a:spcPct val="35000"/>
            </a:spcAft>
            <a:buNone/>
          </a:pPr>
          <a:r>
            <a:rPr lang="fr-FR" sz="1200" b="1" kern="1200"/>
            <a:t>- Difficultés de recrutement :</a:t>
          </a:r>
          <a:r>
            <a:rPr lang="fr-FR" sz="1200" kern="1200"/>
            <a:t> Difficultés à recruter et à retenir des talents dans le domaine des technologies de l'information, ce qui peut retarder le projet.</a:t>
          </a:r>
          <a:endParaRPr lang="fr-FR" sz="1200" kern="1200">
            <a:latin typeface="Georgia" panose="02040502050405020303" pitchFamily="18" charset="0"/>
          </a:endParaRPr>
        </a:p>
      </dsp:txBody>
      <dsp:txXfrm rot="-5400000">
        <a:off x="7196880" y="4919208"/>
        <a:ext cx="7196881" cy="2973025"/>
      </dsp:txXfrm>
    </dsp:sp>
    <dsp:sp modelId="{59AEECE2-72DB-4E95-90EB-B3DB2189EF8F}">
      <dsp:nvSpPr>
        <dsp:cNvPr id="0" name=""/>
        <dsp:cNvSpPr/>
      </dsp:nvSpPr>
      <dsp:spPr>
        <a:xfrm>
          <a:off x="5037816" y="2973025"/>
          <a:ext cx="4318128" cy="1982017"/>
        </a:xfrm>
        <a:prstGeom prst="roundRect">
          <a:avLst/>
        </a:prstGeom>
        <a:solidFill>
          <a:schemeClr val="accent1">
            <a:tint val="6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201930" tIns="201930" rIns="201930" bIns="201930" numCol="1" spcCol="1270" anchor="ctr" anchorCtr="0">
          <a:noAutofit/>
        </a:bodyPr>
        <a:lstStyle/>
        <a:p>
          <a:pPr marL="0" lvl="0" indent="0" algn="ctr" defTabSz="2355850">
            <a:lnSpc>
              <a:spcPct val="90000"/>
            </a:lnSpc>
            <a:spcBef>
              <a:spcPct val="0"/>
            </a:spcBef>
            <a:spcAft>
              <a:spcPct val="35000"/>
            </a:spcAft>
            <a:buNone/>
          </a:pPr>
          <a:r>
            <a:rPr lang="fr-FR" sz="5300" kern="1200">
              <a:latin typeface="Georgia" panose="02040502050405020303" pitchFamily="18" charset="0"/>
            </a:rPr>
            <a:t>Matrice SWOT</a:t>
          </a:r>
        </a:p>
      </dsp:txBody>
      <dsp:txXfrm>
        <a:off x="5134570" y="3069779"/>
        <a:ext cx="4124620" cy="1788509"/>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radial1">
  <dgm:title val=""/>
  <dgm:desc val=""/>
  <dgm:catLst>
    <dgm:cat type="relationship" pri="22000"/>
    <dgm:cat type="cycle" pri="10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Lst>
      <dgm:cxnLst>
        <dgm:cxn modelId="2" srcId="0" destId="1" srcOrd="0" destOrd="0"/>
        <dgm:cxn modelId="15" srcId="1" destId="11" srcOrd="0" destOrd="0"/>
        <dgm:cxn modelId="16" srcId="1" destId="12" srcOrd="1" destOrd="0"/>
        <dgm:cxn modelId="17" srcId="1" destId="13" srcOrd="2" destOrd="0"/>
      </dgm:cxnLst>
      <dgm:bg/>
      <dgm:whole/>
    </dgm:dataModel>
  </dgm:styleData>
  <dgm:clrData>
    <dgm:dataModel>
      <dgm:ptLst>
        <dgm:pt modelId="0" type="doc"/>
        <dgm:pt modelId="1"/>
        <dgm:pt modelId="11"/>
        <dgm:pt modelId="12"/>
        <dgm:pt modelId="13"/>
        <dgm:pt modelId="14"/>
        <dgm:pt modelId="15"/>
        <dgm:pt modelId="16"/>
      </dgm:ptLst>
      <dgm:cxnLst>
        <dgm:cxn modelId="2" srcId="0" destId="1" srcOrd="0" destOrd="0"/>
        <dgm:cxn modelId="16" srcId="1" destId="11" srcOrd="0" destOrd="0"/>
        <dgm:cxn modelId="17" srcId="1" destId="12" srcOrd="1" destOrd="0"/>
        <dgm:cxn modelId="18" srcId="1" destId="13" srcOrd="2" destOrd="0"/>
        <dgm:cxn modelId="19" srcId="1" destId="14" srcOrd="3" destOrd="0"/>
        <dgm:cxn modelId="20" srcId="1" destId="15" srcOrd="4" destOrd="0"/>
        <dgm:cxn modelId="21" srcId="1" destId="16" srcOrd="5" destOrd="0"/>
      </dgm:cxnLst>
      <dgm:bg/>
      <dgm:whole/>
    </dgm:dataModel>
  </dgm:clrData>
  <dgm:layoutNode name="cycle">
    <dgm:varLst>
      <dgm:chMax val="1"/>
      <dgm:dir/>
      <dgm:animLvl val="ctr"/>
      <dgm:resizeHandles val="exact"/>
    </dgm:varLst>
    <dgm:choose name="Name0">
      <dgm:if name="Name1" func="var" arg="dir" op="equ" val="norm">
        <dgm:choose name="Name2">
          <dgm:if name="Name3" axis="ch ch" ptType="node node" st="1 1" cnt="1 0" func="cnt" op="lte" val="1">
            <dgm:alg type="cycle">
              <dgm:param type="stAng" val="90"/>
              <dgm:param type="spanAng" val="360"/>
              <dgm:param type="ctrShpMap" val="fNode"/>
            </dgm:alg>
          </dgm:if>
          <dgm:else name="Name4">
            <dgm:alg type="cycle">
              <dgm:param type="stAng" val="0"/>
              <dgm:param type="spanAng" val="360"/>
              <dgm:param type="ctrShpMap" val="fNode"/>
            </dgm:alg>
          </dgm:else>
        </dgm:choose>
      </dgm:if>
      <dgm:else name="Name5">
        <dgm:alg type="cycle">
          <dgm:param type="stAng" val="0"/>
          <dgm:param type="spanAng" val="-360"/>
          <dgm:param type="ctrShpMap" val="fNode"/>
        </dgm:alg>
      </dgm:else>
    </dgm:choose>
    <dgm:shape xmlns:r="http://schemas.openxmlformats.org/officeDocument/2006/relationships" r:blip="">
      <dgm:adjLst/>
    </dgm:shape>
    <dgm:presOf/>
    <dgm:constrLst>
      <dgm:constr type="w" for="ch" forName="centerShape" refType="w"/>
      <dgm:constr type="w" for="ch" forName="node" refType="w" refFor="ch" refForName="centerShape" op="equ"/>
      <dgm:constr type="sp" refType="w" refFor="ch" refForName="node" fact="0.3"/>
      <dgm:constr type="sibSp" refType="w" refFor="ch" refForName="node" fact="0.3"/>
      <dgm:constr type="primFontSz" for="ch" forName="centerShape" val="65"/>
      <dgm:constr type="primFontSz" for="des" forName="node" op="equ" val="65"/>
      <dgm:constr type="primFontSz" for="des" forName="connTx" val="55"/>
      <dgm:constr type="primFontSz" for="des" forName="connTx" refType="primFontSz" refFor="ch" refForName="centerShape" op="lte" fact="0.8"/>
    </dgm:constrLst>
    <dgm:ruleLst/>
    <dgm:forEach name="Name6" axis="ch" ptType="node" cnt="1">
      <dgm:layoutNode name="centerShape" styleLbl="node0">
        <dgm:alg type="tx"/>
        <dgm:shape xmlns:r="http://schemas.openxmlformats.org/officeDocument/2006/relationships" type="ellipse" r:blip="">
          <dgm:adjLst/>
        </dgm:shape>
        <dgm:presOf axis="self"/>
        <dgm:constrLst>
          <dgm:constr type="h" refType="w"/>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forEach name="Name7" axis="ch">
        <dgm:forEach name="Name8" axis="self" ptType="parTrans">
          <dgm:layoutNode name="Name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connDist"/>
              <dgm:constr type="userA" for="ch" refType="connDist"/>
              <dgm:constr type="w" val="1"/>
              <dgm:constr type="h" val="5"/>
              <dgm:constr type="begPad"/>
              <dgm:constr type="endPad"/>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w" val="NaN" fact="0.8" max="NaN"/>
                <dgm:rule type="h" val="NaN" fact="1" max="NaN"/>
                <dgm:rule type="primFontSz" val="5" fact="NaN" max="NaN"/>
              </dgm:ruleLst>
            </dgm:layoutNode>
          </dgm:layoutNode>
        </dgm:forEach>
        <dgm:forEach name="Name10" axis="self" ptType="node">
          <dgm:layoutNode name="node" styleLbl="node1">
            <dgm:varLst>
              <dgm:bulletEnabled val="1"/>
            </dgm:varLst>
            <dgm:alg type="tx">
              <dgm:param type="txAnchorVertCh" val="mid"/>
            </dgm:alg>
            <dgm:shape xmlns:r="http://schemas.openxmlformats.org/officeDocument/2006/relationships" type="ellipse" r:blip="">
              <dgm:adjLst/>
            </dgm:shape>
            <dgm:presOf axis="desOrSelf" ptType="node"/>
            <dgm:constrLst>
              <dgm:constr type="h" refType="w"/>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forEach>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matrix1">
  <dgm:title val=""/>
  <dgm:desc val=""/>
  <dgm:catLst>
    <dgm:cat type="matrix" pri="2000"/>
  </dgm:catLst>
  <dgm:sampData>
    <dgm:dataModel>
      <dgm:ptLst>
        <dgm:pt modelId="0" type="doc"/>
        <dgm:pt modelId="1">
          <dgm:prSet phldr="1"/>
        </dgm:pt>
        <dgm:pt modelId="11">
          <dgm:prSet phldr="1"/>
        </dgm:pt>
        <dgm:pt modelId="12">
          <dgm:prSet phldr="1"/>
        </dgm:pt>
        <dgm:pt modelId="13">
          <dgm:prSet phldr="1"/>
        </dgm:pt>
        <dgm:pt modelId="14">
          <dgm:prSet phldr="1"/>
        </dgm:pt>
      </dgm:ptLst>
      <dgm:cxnLst>
        <dgm:cxn modelId="2" srcId="0" destId="1" srcOrd="0" destOrd="0"/>
        <dgm:cxn modelId="3" srcId="1" destId="11" srcOrd="0" destOrd="0"/>
        <dgm:cxn modelId="4" srcId="1" destId="12" srcOrd="1" destOrd="0"/>
        <dgm:cxn modelId="5" srcId="1" destId="13" srcOrd="2" destOrd="0"/>
        <dgm:cxn modelId="6" srcId="1" destId="14" srcOrd="3" destOrd="0"/>
      </dgm:cxnLst>
      <dgm:bg/>
      <dgm:whole/>
    </dgm:dataModel>
  </dgm:sampData>
  <dgm:styleData>
    <dgm:dataModel>
      <dgm:ptLst>
        <dgm:pt modelId="0" type="doc"/>
        <dgm:pt modelId="1"/>
        <dgm:pt modelId="11"/>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3" destOrd="0"/>
      </dgm:cxnLst>
      <dgm:bg/>
      <dgm:whole/>
    </dgm:dataModel>
  </dgm:styleData>
  <dgm:clrData>
    <dgm:dataModel>
      <dgm:ptLst>
        <dgm:pt modelId="0" type="doc"/>
        <dgm:pt modelId="1"/>
        <dgm:pt modelId="11"/>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3" destOrd="0"/>
      </dgm:cxnLst>
      <dgm:bg/>
      <dgm:whole/>
    </dgm:dataModel>
  </dgm:clrData>
  <dgm:layoutNode name="diagram">
    <dgm:varLst>
      <dgm:chMax val="1"/>
      <dgm:dir/>
      <dgm:animLvl val="ctr"/>
      <dgm:resizeHandles val="exact"/>
    </dgm:varLst>
    <dgm:alg type="composite"/>
    <dgm:shape xmlns:r="http://schemas.openxmlformats.org/officeDocument/2006/relationships" r:blip="">
      <dgm:adjLst/>
    </dgm:shape>
    <dgm:presOf/>
    <dgm:constrLst>
      <dgm:constr type="ctrX" for="ch" forName="matrix" refType="w" fact="0.5"/>
      <dgm:constr type="ctrY" for="ch" forName="matrix" refType="h" fact="0.5"/>
      <dgm:constr type="w" for="ch" forName="matrix" refType="w"/>
      <dgm:constr type="h" for="ch" forName="matrix" refType="h"/>
      <dgm:constr type="ctrX" for="ch" forName="centerTile" refType="w" fact="0.5"/>
      <dgm:constr type="ctrY" for="ch" forName="centerTile" refType="h" fact="0.5"/>
      <dgm:constr type="w" for="ch" forName="centerTile" refType="w" fact="0.3"/>
      <dgm:constr type="h" for="ch" forName="centerTile" refType="h" fact="0.25"/>
      <dgm:constr type="primFontSz" for="des" ptType="node" op="equ" val="65"/>
    </dgm:constrLst>
    <dgm:ruleLst/>
    <dgm:choose name="Name0">
      <dgm:if name="Name1" axis="ch" ptType="node" func="cnt" op="gte" val="1">
        <dgm:layoutNode name="matrix">
          <dgm:alg type="composite"/>
          <dgm:shape xmlns:r="http://schemas.openxmlformats.org/officeDocument/2006/relationships" r:blip="">
            <dgm:adjLst/>
          </dgm:shape>
          <dgm:presOf/>
          <dgm:constrLst>
            <dgm:constr type="l" for="ch" forName="tile1"/>
            <dgm:constr type="t" for="ch" forName="tile1"/>
            <dgm:constr type="r" for="ch" forName="tile1" refType="w" fact="0.5"/>
            <dgm:constr type="b" for="ch" forName="tile1" refType="h" fact="0.5"/>
            <dgm:constr type="l" for="ch" forName="tile1text" refType="l" refFor="ch" refForName="tile1"/>
            <dgm:constr type="t" for="ch" forName="tile1text" refType="t" refFor="ch" refForName="tile1"/>
            <dgm:constr type="w" for="ch" forName="tile1text" refType="w" refFor="ch" refForName="tile1"/>
            <dgm:constr type="h" for="ch" forName="tile1text" refType="h" refFor="ch" refForName="tile1" fact="0.75"/>
            <dgm:constr type="r" for="ch" forName="tile2" refType="w"/>
            <dgm:constr type="t" for="ch" forName="tile2"/>
            <dgm:constr type="l" for="ch" forName="tile2" refType="w" fact="0.5"/>
            <dgm:constr type="b" for="ch" forName="tile2" refType="h" fact="0.5"/>
            <dgm:constr type="r" for="ch" forName="tile2text" refType="r" refFor="ch" refForName="tile2"/>
            <dgm:constr type="t" for="ch" forName="tile2text" refType="t" refFor="ch" refForName="tile2"/>
            <dgm:constr type="w" for="ch" forName="tile2text" refType="w" refFor="ch" refForName="tile2"/>
            <dgm:constr type="h" for="ch" forName="tile2text" refType="h" refFor="ch" refForName="tile2" fact="0.75"/>
            <dgm:constr type="l" for="ch" forName="tile3"/>
            <dgm:constr type="b" for="ch" forName="tile3" refType="h"/>
            <dgm:constr type="r" for="ch" forName="tile3" refType="w" fact="0.5"/>
            <dgm:constr type="t" for="ch" forName="tile3" refType="h" fact="0.5"/>
            <dgm:constr type="l" for="ch" forName="tile3text" refType="l" refFor="ch" refForName="tile3"/>
            <dgm:constr type="b" for="ch" forName="tile3text" refType="b" refFor="ch" refForName="tile3"/>
            <dgm:constr type="w" for="ch" forName="tile3text" refType="w" refFor="ch" refForName="tile3"/>
            <dgm:constr type="h" for="ch" forName="tile3text" refType="h" refFor="ch" refForName="tile3" fact="0.75"/>
            <dgm:constr type="r" for="ch" forName="tile4" refType="w"/>
            <dgm:constr type="b" for="ch" forName="tile4" refType="h"/>
            <dgm:constr type="l" for="ch" forName="tile4" refType="w" fact="0.5"/>
            <dgm:constr type="t" for="ch" forName="tile4" refType="h" fact="0.5"/>
            <dgm:constr type="r" for="ch" forName="tile4text" refType="r" refFor="ch" refForName="tile4"/>
            <dgm:constr type="b" for="ch" forName="tile4text" refType="b" refFor="ch" refForName="tile4"/>
            <dgm:constr type="w" for="ch" forName="tile4text" refType="w" refFor="ch" refForName="tile4"/>
            <dgm:constr type="h" for="ch" forName="tile4text" refType="h" refFor="ch" refForName="tile4" fact="0.75"/>
          </dgm:constrLst>
          <dgm:ruleLst/>
          <dgm:layoutNode name="tile1" styleLbl="node1">
            <dgm:alg type="sp"/>
            <dgm:shape xmlns:r="http://schemas.openxmlformats.org/officeDocument/2006/relationships" rot="270" type="round1Rect" r:blip="">
              <dgm:adjLst/>
            </dgm:shape>
            <dgm:choose name="Name2">
              <dgm:if name="Name3" func="var" arg="dir" op="equ" val="norm">
                <dgm:presOf axis="ch ch desOrSelf" ptType="node node node" st="1 1 1" cnt="1 1 0"/>
              </dgm:if>
              <dgm:else name="Name4">
                <dgm:presOf axis="ch ch desOrSelf" ptType="node node node" st="1 2 1" cnt="1 1 0"/>
              </dgm:else>
            </dgm:choose>
            <dgm:constrLst/>
            <dgm:ruleLst/>
          </dgm:layoutNode>
          <dgm:layoutNode name="tile1text" styleLbl="node1">
            <dgm:varLst>
              <dgm:chMax val="0"/>
              <dgm:chPref val="0"/>
              <dgm:bulletEnabled val="1"/>
            </dgm:varLst>
            <dgm:choose name="Name5">
              <dgm:if name="Name6" axis="root des" func="maxDepth" op="gte" val="3">
                <dgm:alg type="tx">
                  <dgm:param type="txAnchorVert" val="t"/>
                  <dgm:param type="parTxLTRAlign" val="l"/>
                  <dgm:param type="parTxRTLAlign" val="r"/>
                </dgm:alg>
              </dgm:if>
              <dgm:else name="Name7">
                <dgm:alg type="tx"/>
              </dgm:else>
            </dgm:choose>
            <dgm:shape xmlns:r="http://schemas.openxmlformats.org/officeDocument/2006/relationships" rot="270" type="rect" r:blip="" hideGeom="1">
              <dgm:adjLst>
                <dgm:adj idx="1" val="0.2"/>
              </dgm:adjLst>
            </dgm:shape>
            <dgm:choose name="Name8">
              <dgm:if name="Name9" func="var" arg="dir" op="equ" val="norm">
                <dgm:presOf axis="ch ch desOrSelf" ptType="node node node" st="1 1 1" cnt="1 1 0"/>
              </dgm:if>
              <dgm:else name="Name10">
                <dgm:presOf axis="ch ch desOrSelf" ptType="node node node" st="1 2 1" cnt="1 1 0"/>
              </dgm:else>
            </dgm:choose>
            <dgm:constrLst/>
            <dgm:ruleLst>
              <dgm:rule type="primFontSz" val="5" fact="NaN" max="NaN"/>
            </dgm:ruleLst>
          </dgm:layoutNode>
          <dgm:layoutNode name="tile2" styleLbl="node1">
            <dgm:alg type="sp"/>
            <dgm:shape xmlns:r="http://schemas.openxmlformats.org/officeDocument/2006/relationships" type="round1Rect" r:blip="">
              <dgm:adjLst/>
            </dgm:shape>
            <dgm:choose name="Name11">
              <dgm:if name="Name12" func="var" arg="dir" op="equ" val="norm">
                <dgm:presOf axis="ch ch desOrSelf" ptType="node node node" st="1 2 1" cnt="1 1 0"/>
              </dgm:if>
              <dgm:else name="Name13">
                <dgm:presOf axis="ch ch desOrSelf" ptType="node node node" st="1 1 1" cnt="1 1 0"/>
              </dgm:else>
            </dgm:choose>
            <dgm:constrLst/>
            <dgm:ruleLst/>
          </dgm:layoutNode>
          <dgm:layoutNode name="tile2text" styleLbl="node1">
            <dgm:varLst>
              <dgm:chMax val="0"/>
              <dgm:chPref val="0"/>
              <dgm:bulletEnabled val="1"/>
            </dgm:varLst>
            <dgm:choose name="Name14">
              <dgm:if name="Name15" axis="root des" func="maxDepth" op="gte" val="3">
                <dgm:alg type="tx">
                  <dgm:param type="txAnchorVert" val="t"/>
                  <dgm:param type="parTxLTRAlign" val="l"/>
                  <dgm:param type="parTxRTLAlign" val="r"/>
                </dgm:alg>
              </dgm:if>
              <dgm:else name="Name16">
                <dgm:alg type="tx"/>
              </dgm:else>
            </dgm:choose>
            <dgm:shape xmlns:r="http://schemas.openxmlformats.org/officeDocument/2006/relationships" type="rect" r:blip="" hideGeom="1">
              <dgm:adjLst/>
            </dgm:shape>
            <dgm:choose name="Name17">
              <dgm:if name="Name18" func="var" arg="dir" op="equ" val="norm">
                <dgm:presOf axis="ch ch desOrSelf" ptType="node node node" st="1 2 1" cnt="1 1 0"/>
              </dgm:if>
              <dgm:else name="Name19">
                <dgm:presOf axis="ch ch desOrSelf" ptType="node node node" st="1 1 1" cnt="1 1 0"/>
              </dgm:else>
            </dgm:choose>
            <dgm:constrLst/>
            <dgm:ruleLst>
              <dgm:rule type="primFontSz" val="5" fact="NaN" max="NaN"/>
            </dgm:ruleLst>
          </dgm:layoutNode>
          <dgm:layoutNode name="tile3" styleLbl="node1">
            <dgm:alg type="sp"/>
            <dgm:shape xmlns:r="http://schemas.openxmlformats.org/officeDocument/2006/relationships" rot="180" type="round1Rect" r:blip="">
              <dgm:adjLst/>
            </dgm:shape>
            <dgm:choose name="Name20">
              <dgm:if name="Name21" func="var" arg="dir" op="equ" val="norm">
                <dgm:presOf axis="ch ch desOrSelf" ptType="node node node" st="1 3 1" cnt="1 1 0"/>
              </dgm:if>
              <dgm:else name="Name22">
                <dgm:presOf axis="ch ch desOrSelf" ptType="node node node" st="1 4 1" cnt="1 1 0"/>
              </dgm:else>
            </dgm:choose>
            <dgm:constrLst/>
            <dgm:ruleLst/>
          </dgm:layoutNode>
          <dgm:layoutNode name="tile3text" styleLbl="node1">
            <dgm:varLst>
              <dgm:chMax val="0"/>
              <dgm:chPref val="0"/>
              <dgm:bulletEnabled val="1"/>
            </dgm:varLst>
            <dgm:choose name="Name23">
              <dgm:if name="Name24" axis="root des" func="maxDepth" op="gte" val="3">
                <dgm:alg type="tx">
                  <dgm:param type="txAnchorVert" val="t"/>
                  <dgm:param type="parTxLTRAlign" val="l"/>
                  <dgm:param type="parTxRTLAlign" val="r"/>
                </dgm:alg>
              </dgm:if>
              <dgm:else name="Name25">
                <dgm:alg type="tx"/>
              </dgm:else>
            </dgm:choose>
            <dgm:shape xmlns:r="http://schemas.openxmlformats.org/officeDocument/2006/relationships" rot="180" type="rect" r:blip="" hideGeom="1">
              <dgm:adjLst/>
            </dgm:shape>
            <dgm:choose name="Name26">
              <dgm:if name="Name27" func="var" arg="dir" op="equ" val="norm">
                <dgm:presOf axis="ch ch desOrSelf" ptType="node node node" st="1 3 1" cnt="1 1 0"/>
              </dgm:if>
              <dgm:else name="Name28">
                <dgm:presOf axis="ch ch desOrSelf" ptType="node node node" st="1 4 1" cnt="1 1 0"/>
              </dgm:else>
            </dgm:choose>
            <dgm:constrLst/>
            <dgm:ruleLst>
              <dgm:rule type="primFontSz" val="5" fact="NaN" max="NaN"/>
            </dgm:ruleLst>
          </dgm:layoutNode>
          <dgm:layoutNode name="tile4" styleLbl="node1">
            <dgm:alg type="sp"/>
            <dgm:shape xmlns:r="http://schemas.openxmlformats.org/officeDocument/2006/relationships" rot="90" type="round1Rect" r:blip="">
              <dgm:adjLst/>
            </dgm:shape>
            <dgm:choose name="Name29">
              <dgm:if name="Name30" func="var" arg="dir" op="equ" val="norm">
                <dgm:presOf axis="ch ch desOrSelf" ptType="node node node" st="1 4 1" cnt="1 1 0"/>
              </dgm:if>
              <dgm:else name="Name31">
                <dgm:presOf axis="ch ch desOrSelf" ptType="node node node" st="1 3 1" cnt="1 1 0"/>
              </dgm:else>
            </dgm:choose>
            <dgm:constrLst/>
            <dgm:ruleLst/>
          </dgm:layoutNode>
          <dgm:layoutNode name="tile4text" styleLbl="node1">
            <dgm:varLst>
              <dgm:chMax val="0"/>
              <dgm:chPref val="0"/>
              <dgm:bulletEnabled val="1"/>
            </dgm:varLst>
            <dgm:choose name="Name32">
              <dgm:if name="Name33" axis="root des" func="maxDepth" op="gte" val="3">
                <dgm:alg type="tx">
                  <dgm:param type="txAnchorVert" val="t"/>
                  <dgm:param type="parTxLTRAlign" val="l"/>
                  <dgm:param type="parTxRTLAlign" val="r"/>
                </dgm:alg>
              </dgm:if>
              <dgm:else name="Name34">
                <dgm:alg type="tx"/>
              </dgm:else>
            </dgm:choose>
            <dgm:shape xmlns:r="http://schemas.openxmlformats.org/officeDocument/2006/relationships" rot="90" type="rect" r:blip="" hideGeom="1">
              <dgm:adjLst/>
            </dgm:shape>
            <dgm:choose name="Name35">
              <dgm:if name="Name36" func="var" arg="dir" op="equ" val="norm">
                <dgm:presOf axis="ch ch desOrSelf" ptType="node node node" st="1 4 1" cnt="1 1 0"/>
              </dgm:if>
              <dgm:else name="Name37">
                <dgm:presOf axis="ch ch desOrSelf" ptType="node node node" st="1 3 1" cnt="1 1 0"/>
              </dgm:else>
            </dgm:choose>
            <dgm:constrLst/>
            <dgm:ruleLst>
              <dgm:rule type="primFontSz" val="5" fact="NaN" max="NaN"/>
            </dgm:ruleLst>
          </dgm:layoutNode>
        </dgm:layoutNode>
        <dgm:layoutNode name="centerTile" styleLbl="fgShp">
          <dgm:varLst>
            <dgm:chMax val="0"/>
            <dgm:chPref val="0"/>
          </dgm:varLst>
          <dgm:alg type="tx"/>
          <dgm:shape xmlns:r="http://schemas.openxmlformats.org/officeDocument/2006/relationships" type="roundRect" r:blip="">
            <dgm:adjLst/>
          </dgm:shape>
          <dgm:presOf axis="ch" ptType="node" cnt="1"/>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if>
      <dgm:else name="Name38"/>
    </dgm:choose>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diagramQuickStyle" Target="../diagrams/quickStyle1.xml"/><Relationship Id="rId7" Type="http://schemas.openxmlformats.org/officeDocument/2006/relationships/chart" Target="../charts/chart12.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3.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7.xml.rels><?xml version="1.0" encoding="UTF-8" standalone="yes"?>
<Relationships xmlns="http://schemas.openxmlformats.org/package/2006/relationships"><Relationship Id="rId8" Type="http://schemas.microsoft.com/office/2007/relationships/diagramDrawing" Target="../diagrams/drawing3.xml"/><Relationship Id="rId3" Type="http://schemas.openxmlformats.org/officeDocument/2006/relationships/image" Target="../media/image6.png"/><Relationship Id="rId7" Type="http://schemas.openxmlformats.org/officeDocument/2006/relationships/diagramColors" Target="../diagrams/colors3.xml"/><Relationship Id="rId12" Type="http://schemas.openxmlformats.org/officeDocument/2006/relationships/chart" Target="../charts/chart17.xml"/><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diagramQuickStyle" Target="../diagrams/quickStyle3.xml"/><Relationship Id="rId11" Type="http://schemas.openxmlformats.org/officeDocument/2006/relationships/chart" Target="../charts/chart16.xml"/><Relationship Id="rId5" Type="http://schemas.openxmlformats.org/officeDocument/2006/relationships/diagramLayout" Target="../diagrams/layout3.xml"/><Relationship Id="rId10" Type="http://schemas.openxmlformats.org/officeDocument/2006/relationships/chart" Target="../charts/chart15.xml"/><Relationship Id="rId4" Type="http://schemas.openxmlformats.org/officeDocument/2006/relationships/diagramData" Target="../diagrams/data3.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11</xdr:col>
      <xdr:colOff>522952</xdr:colOff>
      <xdr:row>59</xdr:row>
      <xdr:rowOff>94064</xdr:rowOff>
    </xdr:to>
    <xdr:pic>
      <xdr:nvPicPr>
        <xdr:cNvPr id="2" name="Image 1">
          <a:extLst>
            <a:ext uri="{FF2B5EF4-FFF2-40B4-BE49-F238E27FC236}">
              <a16:creationId xmlns:a16="http://schemas.microsoft.com/office/drawing/2014/main" id="{BC3D6ECB-4B49-E38E-6419-1A27A8770CFE}"/>
            </a:ext>
          </a:extLst>
        </xdr:cNvPr>
        <xdr:cNvPicPr>
          <a:picLocks noChangeAspect="1"/>
        </xdr:cNvPicPr>
      </xdr:nvPicPr>
      <xdr:blipFill>
        <a:blip xmlns:r="http://schemas.openxmlformats.org/officeDocument/2006/relationships" r:embed="rId1"/>
        <a:stretch>
          <a:fillRect/>
        </a:stretch>
      </xdr:blipFill>
      <xdr:spPr>
        <a:xfrm>
          <a:off x="2286000" y="161925"/>
          <a:ext cx="7380952" cy="9485714"/>
        </a:xfrm>
        <a:prstGeom prst="rect">
          <a:avLst/>
        </a:prstGeom>
      </xdr:spPr>
    </xdr:pic>
    <xdr:clientData/>
  </xdr:twoCellAnchor>
  <xdr:twoCellAnchor>
    <xdr:from>
      <xdr:col>0</xdr:col>
      <xdr:colOff>19873</xdr:colOff>
      <xdr:row>17</xdr:row>
      <xdr:rowOff>133350</xdr:rowOff>
    </xdr:from>
    <xdr:to>
      <xdr:col>11</xdr:col>
      <xdr:colOff>515173</xdr:colOff>
      <xdr:row>20</xdr:row>
      <xdr:rowOff>85725</xdr:rowOff>
    </xdr:to>
    <xdr:sp macro="" textlink="">
      <xdr:nvSpPr>
        <xdr:cNvPr id="3" name="Rectangle 2">
          <a:extLst>
            <a:ext uri="{FF2B5EF4-FFF2-40B4-BE49-F238E27FC236}">
              <a16:creationId xmlns:a16="http://schemas.microsoft.com/office/drawing/2014/main" id="{C3144FFA-5D89-C9F8-6A30-EFB3823C8DBF}"/>
            </a:ext>
          </a:extLst>
        </xdr:cNvPr>
        <xdr:cNvSpPr/>
      </xdr:nvSpPr>
      <xdr:spPr>
        <a:xfrm>
          <a:off x="781873" y="2886075"/>
          <a:ext cx="9096375" cy="438150"/>
        </a:xfrm>
        <a:prstGeom prst="rect">
          <a:avLst/>
        </a:prstGeom>
        <a:solidFill>
          <a:srgbClr val="4285F4">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19048</xdr:colOff>
      <xdr:row>32</xdr:row>
      <xdr:rowOff>85724</xdr:rowOff>
    </xdr:from>
    <xdr:to>
      <xdr:col>11</xdr:col>
      <xdr:colOff>515173</xdr:colOff>
      <xdr:row>43</xdr:row>
      <xdr:rowOff>9524</xdr:rowOff>
    </xdr:to>
    <xdr:sp macro="" textlink="">
      <xdr:nvSpPr>
        <xdr:cNvPr id="4" name="Rectangle 3">
          <a:extLst>
            <a:ext uri="{FF2B5EF4-FFF2-40B4-BE49-F238E27FC236}">
              <a16:creationId xmlns:a16="http://schemas.microsoft.com/office/drawing/2014/main" id="{A6877832-2CB1-48DF-B3EC-1B991CE10C5C}"/>
            </a:ext>
          </a:extLst>
        </xdr:cNvPr>
        <xdr:cNvSpPr/>
      </xdr:nvSpPr>
      <xdr:spPr>
        <a:xfrm>
          <a:off x="781048" y="5267324"/>
          <a:ext cx="9097200" cy="1704975"/>
        </a:xfrm>
        <a:prstGeom prst="rect">
          <a:avLst/>
        </a:prstGeom>
        <a:solidFill>
          <a:srgbClr val="4285F4">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19048</xdr:colOff>
      <xdr:row>46</xdr:row>
      <xdr:rowOff>95250</xdr:rowOff>
    </xdr:from>
    <xdr:to>
      <xdr:col>11</xdr:col>
      <xdr:colOff>515173</xdr:colOff>
      <xdr:row>50</xdr:row>
      <xdr:rowOff>66676</xdr:rowOff>
    </xdr:to>
    <xdr:sp macro="" textlink="">
      <xdr:nvSpPr>
        <xdr:cNvPr id="5" name="Rectangle 4">
          <a:extLst>
            <a:ext uri="{FF2B5EF4-FFF2-40B4-BE49-F238E27FC236}">
              <a16:creationId xmlns:a16="http://schemas.microsoft.com/office/drawing/2014/main" id="{54B30520-1A5C-408A-8B91-FFFE44DEE2BF}"/>
            </a:ext>
          </a:extLst>
        </xdr:cNvPr>
        <xdr:cNvSpPr/>
      </xdr:nvSpPr>
      <xdr:spPr>
        <a:xfrm>
          <a:off x="781048" y="7543800"/>
          <a:ext cx="9097200" cy="619126"/>
        </a:xfrm>
        <a:prstGeom prst="rect">
          <a:avLst/>
        </a:prstGeom>
        <a:solidFill>
          <a:srgbClr val="4285F4">
            <a:alpha val="50196"/>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19048</xdr:colOff>
      <xdr:row>20</xdr:row>
      <xdr:rowOff>152400</xdr:rowOff>
    </xdr:from>
    <xdr:to>
      <xdr:col>11</xdr:col>
      <xdr:colOff>515173</xdr:colOff>
      <xdr:row>31</xdr:row>
      <xdr:rowOff>142875</xdr:rowOff>
    </xdr:to>
    <xdr:sp macro="" textlink="">
      <xdr:nvSpPr>
        <xdr:cNvPr id="6" name="Rectangle 5">
          <a:extLst>
            <a:ext uri="{FF2B5EF4-FFF2-40B4-BE49-F238E27FC236}">
              <a16:creationId xmlns:a16="http://schemas.microsoft.com/office/drawing/2014/main" id="{BEE76588-AE5B-4EFC-844D-8B20A19CC6BB}"/>
            </a:ext>
          </a:extLst>
        </xdr:cNvPr>
        <xdr:cNvSpPr/>
      </xdr:nvSpPr>
      <xdr:spPr>
        <a:xfrm>
          <a:off x="781048" y="3390900"/>
          <a:ext cx="9097200" cy="1771650"/>
        </a:xfrm>
        <a:prstGeom prst="rect">
          <a:avLst/>
        </a:prstGeom>
        <a:solidFill>
          <a:schemeClr val="accent3">
            <a:alpha val="50196"/>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solidFill>
              <a:schemeClr val="accent3"/>
            </a:solidFill>
          </a:endParaRPr>
        </a:p>
      </xdr:txBody>
    </xdr:sp>
    <xdr:clientData/>
  </xdr:twoCellAnchor>
  <xdr:twoCellAnchor>
    <xdr:from>
      <xdr:col>0</xdr:col>
      <xdr:colOff>19048</xdr:colOff>
      <xdr:row>43</xdr:row>
      <xdr:rowOff>85725</xdr:rowOff>
    </xdr:from>
    <xdr:to>
      <xdr:col>11</xdr:col>
      <xdr:colOff>515173</xdr:colOff>
      <xdr:row>46</xdr:row>
      <xdr:rowOff>28575</xdr:rowOff>
    </xdr:to>
    <xdr:sp macro="" textlink="">
      <xdr:nvSpPr>
        <xdr:cNvPr id="7" name="Rectangle 6">
          <a:extLst>
            <a:ext uri="{FF2B5EF4-FFF2-40B4-BE49-F238E27FC236}">
              <a16:creationId xmlns:a16="http://schemas.microsoft.com/office/drawing/2014/main" id="{B2B1651A-9780-489C-A436-C8607C27BE4F}"/>
            </a:ext>
          </a:extLst>
        </xdr:cNvPr>
        <xdr:cNvSpPr/>
      </xdr:nvSpPr>
      <xdr:spPr>
        <a:xfrm>
          <a:off x="781048" y="7048500"/>
          <a:ext cx="9097200" cy="428625"/>
        </a:xfrm>
        <a:prstGeom prst="rect">
          <a:avLst/>
        </a:prstGeom>
        <a:solidFill>
          <a:schemeClr val="accent3">
            <a:alpha val="50196"/>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solidFill>
              <a:schemeClr val="accent3"/>
            </a:solidFill>
          </a:endParaRPr>
        </a:p>
      </xdr:txBody>
    </xdr:sp>
    <xdr:clientData/>
  </xdr:twoCellAnchor>
  <xdr:twoCellAnchor>
    <xdr:from>
      <xdr:col>0</xdr:col>
      <xdr:colOff>19048</xdr:colOff>
      <xdr:row>51</xdr:row>
      <xdr:rowOff>0</xdr:rowOff>
    </xdr:from>
    <xdr:to>
      <xdr:col>11</xdr:col>
      <xdr:colOff>515173</xdr:colOff>
      <xdr:row>58</xdr:row>
      <xdr:rowOff>152400</xdr:rowOff>
    </xdr:to>
    <xdr:sp macro="" textlink="">
      <xdr:nvSpPr>
        <xdr:cNvPr id="8" name="Rectangle 7">
          <a:extLst>
            <a:ext uri="{FF2B5EF4-FFF2-40B4-BE49-F238E27FC236}">
              <a16:creationId xmlns:a16="http://schemas.microsoft.com/office/drawing/2014/main" id="{22FC172D-EAA3-4229-9ABC-CC41D79DD086}"/>
            </a:ext>
          </a:extLst>
        </xdr:cNvPr>
        <xdr:cNvSpPr/>
      </xdr:nvSpPr>
      <xdr:spPr>
        <a:xfrm>
          <a:off x="781048" y="8258175"/>
          <a:ext cx="9097200" cy="1285875"/>
        </a:xfrm>
        <a:prstGeom prst="rect">
          <a:avLst/>
        </a:prstGeom>
        <a:solidFill>
          <a:schemeClr val="accent3">
            <a:alpha val="50196"/>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solidFill>
              <a:schemeClr val="accent3"/>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31</xdr:row>
      <xdr:rowOff>2</xdr:rowOff>
    </xdr:from>
    <xdr:to>
      <xdr:col>4</xdr:col>
      <xdr:colOff>1197429</xdr:colOff>
      <xdr:row>53</xdr:row>
      <xdr:rowOff>30679</xdr:rowOff>
    </xdr:to>
    <xdr:pic>
      <xdr:nvPicPr>
        <xdr:cNvPr id="2" name="Image 1" descr="Utilisez un questionnaire matriciel de satisfaction pour prioriser les tâches">
          <a:extLst>
            <a:ext uri="{FF2B5EF4-FFF2-40B4-BE49-F238E27FC236}">
              <a16:creationId xmlns:a16="http://schemas.microsoft.com/office/drawing/2014/main" id="{3F0EB006-A15B-2E70-3544-529695F7B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4607" y="2503716"/>
          <a:ext cx="6177643" cy="3622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1018613</xdr:colOff>
      <xdr:row>45</xdr:row>
      <xdr:rowOff>124946</xdr:rowOff>
    </xdr:from>
    <xdr:to>
      <xdr:col>10</xdr:col>
      <xdr:colOff>171450</xdr:colOff>
      <xdr:row>62</xdr:row>
      <xdr:rowOff>12327</xdr:rowOff>
    </xdr:to>
    <xdr:graphicFrame macro="">
      <xdr:nvGraphicFramePr>
        <xdr:cNvPr id="2" name="Graphique 1">
          <a:extLst>
            <a:ext uri="{FF2B5EF4-FFF2-40B4-BE49-F238E27FC236}">
              <a16:creationId xmlns:a16="http://schemas.microsoft.com/office/drawing/2014/main" id="{FA942134-1766-83CF-FBA3-75E0E67DF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1000125</xdr:colOff>
      <xdr:row>67</xdr:row>
      <xdr:rowOff>19050</xdr:rowOff>
    </xdr:from>
    <xdr:to>
      <xdr:col>10</xdr:col>
      <xdr:colOff>161925</xdr:colOff>
      <xdr:row>78</xdr:row>
      <xdr:rowOff>76800</xdr:rowOff>
    </xdr:to>
    <xdr:graphicFrame macro="">
      <xdr:nvGraphicFramePr>
        <xdr:cNvPr id="3" name="Graphique 2">
          <a:extLst>
            <a:ext uri="{FF2B5EF4-FFF2-40B4-BE49-F238E27FC236}">
              <a16:creationId xmlns:a16="http://schemas.microsoft.com/office/drawing/2014/main" id="{0775D386-BF06-4DF7-923A-E089833FB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847749</xdr:colOff>
      <xdr:row>389</xdr:row>
      <xdr:rowOff>16855</xdr:rowOff>
    </xdr:from>
    <xdr:to>
      <xdr:col>7</xdr:col>
      <xdr:colOff>313528</xdr:colOff>
      <xdr:row>394</xdr:row>
      <xdr:rowOff>44823</xdr:rowOff>
    </xdr:to>
    <mc:AlternateContent xmlns:mc="http://schemas.openxmlformats.org/markup-compatibility/2006" xmlns:a14="http://schemas.microsoft.com/office/drawing/2010/main">
      <mc:Choice Requires="a14">
        <xdr:sp macro="" textlink="">
          <xdr:nvSpPr>
            <xdr:cNvPr id="5" name="ZoneTexte 3">
              <a:extLst>
                <a:ext uri="{FF2B5EF4-FFF2-40B4-BE49-F238E27FC236}">
                  <a16:creationId xmlns:a16="http://schemas.microsoft.com/office/drawing/2014/main" id="{87F72402-FF05-F926-7F10-E2DB787BFB2A}"/>
                </a:ext>
              </a:extLst>
            </xdr:cNvPr>
            <xdr:cNvSpPr txBox="1"/>
          </xdr:nvSpPr>
          <xdr:spPr>
            <a:xfrm>
              <a:off x="847749" y="82828326"/>
              <a:ext cx="8733044" cy="812379"/>
            </a:xfrm>
            <a:prstGeom prst="rect">
              <a:avLst/>
            </a:prstGeom>
            <a:noFill/>
          </xdr:spPr>
          <xdr:txBody>
            <a:bodyPr wrap="square" lIns="0" tIns="0" rIns="0" bIns="0"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fr-FR" b="0" i="1">
                        <a:latin typeface="Cambria Math" panose="02040503050406030204" pitchFamily="18" charset="0"/>
                      </a:rPr>
                      <m:t>𝑅𝑂𝐼</m:t>
                    </m:r>
                    <m:r>
                      <a:rPr lang="fr-FR" b="0" i="1" baseline="-25000">
                        <a:latin typeface="Cambria Math" panose="02040503050406030204" pitchFamily="18" charset="0"/>
                      </a:rPr>
                      <m:t>𝑖</m:t>
                    </m:r>
                    <m:r>
                      <a:rPr lang="fr-FR" b="0" i="1">
                        <a:latin typeface="Cambria Math" panose="02040503050406030204" pitchFamily="18" charset="0"/>
                      </a:rPr>
                      <m:t>=</m:t>
                    </m:r>
                    <m:f>
                      <m:fPr>
                        <m:ctrlPr>
                          <a:rPr lang="fr-FR" b="0" i="1">
                            <a:latin typeface="Cambria Math" panose="02040503050406030204" pitchFamily="18" charset="0"/>
                          </a:rPr>
                        </m:ctrlPr>
                      </m:fPr>
                      <m:num>
                        <m:r>
                          <a:rPr lang="fr-FR" b="0" i="1">
                            <a:latin typeface="Cambria Math" panose="02040503050406030204" pitchFamily="18" charset="0"/>
                          </a:rPr>
                          <m:t>𝐺𝑎𝑖𝑛𝑠</m:t>
                        </m:r>
                      </m:num>
                      <m:den>
                        <m:r>
                          <a:rPr lang="fr-FR" b="0" i="1">
                            <a:latin typeface="Cambria Math" panose="02040503050406030204" pitchFamily="18" charset="0"/>
                          </a:rPr>
                          <m:t>𝐶𝑜</m:t>
                        </m:r>
                        <m:r>
                          <a:rPr lang="fr-FR" b="0" i="1">
                            <a:latin typeface="Cambria Math" panose="02040503050406030204" pitchFamily="18" charset="0"/>
                          </a:rPr>
                          <m:t>û</m:t>
                        </m:r>
                        <m:r>
                          <a:rPr lang="fr-FR" b="0" i="1">
                            <a:latin typeface="Cambria Math" panose="02040503050406030204" pitchFamily="18" charset="0"/>
                          </a:rPr>
                          <m:t>𝑡𝑠</m:t>
                        </m:r>
                      </m:den>
                    </m:f>
                    <m:r>
                      <a:rPr lang="fr-FR" b="0" i="1">
                        <a:latin typeface="Cambria Math" panose="02040503050406030204" pitchFamily="18" charset="0"/>
                      </a:rPr>
                      <m:t>=</m:t>
                    </m:r>
                    <m:f>
                      <m:fPr>
                        <m:ctrlPr>
                          <a:rPr lang="fr-FR" b="0" i="1">
                            <a:latin typeface="Cambria Math" panose="02040503050406030204" pitchFamily="18" charset="0"/>
                          </a:rPr>
                        </m:ctrlPr>
                      </m:fPr>
                      <m:num>
                        <m:nary>
                          <m:naryPr>
                            <m:chr m:val="∑"/>
                            <m:limLoc m:val="subSup"/>
                            <m:ctrlPr>
                              <a:rPr lang="fr-FR" b="0" i="1">
                                <a:latin typeface="Cambria Math" panose="02040503050406030204" pitchFamily="18" charset="0"/>
                              </a:rPr>
                            </m:ctrlPr>
                          </m:naryPr>
                          <m:sub>
                            <m:r>
                              <m:rPr>
                                <m:brk m:alnAt="25"/>
                              </m:rPr>
                              <a:rPr lang="fr-FR" b="0" i="1">
                                <a:latin typeface="Cambria Math" panose="02040503050406030204" pitchFamily="18" charset="0"/>
                              </a:rPr>
                              <m:t>2</m:t>
                            </m:r>
                            <m:r>
                              <a:rPr lang="fr-FR" b="0" i="1">
                                <a:latin typeface="Cambria Math" panose="02040503050406030204" pitchFamily="18" charset="0"/>
                              </a:rPr>
                              <m:t>025</m:t>
                            </m:r>
                          </m:sub>
                          <m:sup>
                            <m:r>
                              <a:rPr lang="fr-FR" b="0" i="1">
                                <a:latin typeface="Cambria Math" panose="02040503050406030204" pitchFamily="18" charset="0"/>
                              </a:rPr>
                              <m:t>𝑖</m:t>
                            </m:r>
                          </m:sup>
                          <m:e>
                            <m:r>
                              <a:rPr lang="fr-FR" b="0" i="1">
                                <a:latin typeface="Cambria Math" panose="02040503050406030204" pitchFamily="18" charset="0"/>
                              </a:rPr>
                              <m:t>𝐺𝑎𝑖𝑛𝑠</m:t>
                            </m:r>
                            <m:r>
                              <a:rPr lang="fr-FR" b="0" i="1">
                                <a:latin typeface="Cambria Math" panose="02040503050406030204" pitchFamily="18" charset="0"/>
                              </a:rPr>
                              <m:t> </m:t>
                            </m:r>
                            <m:r>
                              <a:rPr lang="fr-FR" b="0" i="1">
                                <a:latin typeface="Cambria Math" panose="02040503050406030204" pitchFamily="18" charset="0"/>
                              </a:rPr>
                              <m:t>𝑎𝑛𝑛𝑢𝑒𝑙𝑠</m:t>
                            </m:r>
                            <m:r>
                              <a:rPr lang="fr-FR" b="0" i="1">
                                <a:latin typeface="Cambria Math" panose="02040503050406030204" pitchFamily="18" charset="0"/>
                              </a:rPr>
                              <m:t> </m:t>
                            </m:r>
                            <m:r>
                              <a:rPr lang="fr-FR" b="0" i="1">
                                <a:latin typeface="Cambria Math" panose="02040503050406030204" pitchFamily="18" charset="0"/>
                              </a:rPr>
                              <m:t>𝑝𝑟𝑜𝑗𝑒𝑡</m:t>
                            </m:r>
                            <m:r>
                              <a:rPr lang="fr-FR" b="0" i="1">
                                <a:latin typeface="Cambria Math" panose="02040503050406030204" pitchFamily="18" charset="0"/>
                              </a:rPr>
                              <m:t>é</m:t>
                            </m:r>
                            <m:r>
                              <a:rPr lang="fr-FR" b="0" i="1">
                                <a:latin typeface="Cambria Math" panose="02040503050406030204" pitchFamily="18" charset="0"/>
                              </a:rPr>
                              <m:t>𝑠</m:t>
                            </m:r>
                          </m:e>
                        </m:nary>
                      </m:num>
                      <m:den>
                        <m:r>
                          <a:rPr lang="fr-FR" b="0" i="1">
                            <a:latin typeface="Cambria Math" panose="02040503050406030204" pitchFamily="18" charset="0"/>
                          </a:rPr>
                          <m:t>𝐶</m:t>
                        </m:r>
                        <m:sSub>
                          <m:sSubPr>
                            <m:ctrlPr>
                              <a:rPr lang="fr-FR" b="0" i="1">
                                <a:latin typeface="Cambria Math" panose="02040503050406030204" pitchFamily="18" charset="0"/>
                              </a:rPr>
                            </m:ctrlPr>
                          </m:sSubPr>
                          <m:e>
                            <m:r>
                              <a:rPr lang="fr-FR" b="0" i="1">
                                <a:latin typeface="Cambria Math" panose="02040503050406030204" pitchFamily="18" charset="0"/>
                              </a:rPr>
                              <m:t>𝐼</m:t>
                            </m:r>
                          </m:e>
                          <m:sub>
                            <m:r>
                              <a:rPr lang="fr-FR" b="0" i="1">
                                <a:latin typeface="Cambria Math" panose="02040503050406030204" pitchFamily="18" charset="0"/>
                              </a:rPr>
                              <m:t>𝐷𝑒𝑣</m:t>
                            </m:r>
                          </m:sub>
                        </m:sSub>
                        <m:r>
                          <a:rPr lang="fr-FR" b="0" i="1">
                            <a:latin typeface="Cambria Math" panose="02040503050406030204" pitchFamily="18" charset="0"/>
                          </a:rPr>
                          <m:t>+</m:t>
                        </m:r>
                        <m:r>
                          <a:rPr lang="fr-FR" b="0" i="1">
                            <a:latin typeface="Cambria Math" panose="02040503050406030204" pitchFamily="18" charset="0"/>
                          </a:rPr>
                          <m:t>𝐶</m:t>
                        </m:r>
                        <m:sSub>
                          <m:sSubPr>
                            <m:ctrlPr>
                              <a:rPr lang="fr-FR" b="0" i="1">
                                <a:latin typeface="Cambria Math" panose="02040503050406030204" pitchFamily="18" charset="0"/>
                              </a:rPr>
                            </m:ctrlPr>
                          </m:sSubPr>
                          <m:e>
                            <m:r>
                              <a:rPr lang="fr-FR" b="0" i="1">
                                <a:latin typeface="Cambria Math" panose="02040503050406030204" pitchFamily="18" charset="0"/>
                              </a:rPr>
                              <m:t>𝐼</m:t>
                            </m:r>
                          </m:e>
                          <m:sub>
                            <m:r>
                              <a:rPr lang="fr-FR" b="0" i="1">
                                <a:latin typeface="Cambria Math" panose="02040503050406030204" pitchFamily="18" charset="0"/>
                              </a:rPr>
                              <m:t>𝐼𝑛𝑓</m:t>
                            </m:r>
                            <m:r>
                              <a:rPr lang="fr-FR" b="0" i="1">
                                <a:latin typeface="Cambria Math" panose="02040503050406030204" pitchFamily="18" charset="0"/>
                              </a:rPr>
                              <m:t>_</m:t>
                            </m:r>
                            <m:r>
                              <a:rPr lang="fr-FR" b="0" i="1">
                                <a:latin typeface="Cambria Math" panose="02040503050406030204" pitchFamily="18" charset="0"/>
                              </a:rPr>
                              <m:t>𝐶𝑜𝑛𝑐𝑒𝑝𝑡𝑖𝑜𝑛</m:t>
                            </m:r>
                          </m:sub>
                        </m:sSub>
                        <m:r>
                          <a:rPr lang="fr-FR" b="0" i="1">
                            <a:latin typeface="Cambria Math" panose="02040503050406030204" pitchFamily="18" charset="0"/>
                          </a:rPr>
                          <m:t>+ </m:t>
                        </m:r>
                        <m:nary>
                          <m:naryPr>
                            <m:chr m:val="∑"/>
                            <m:ctrlPr>
                              <a:rPr lang="fr-FR" b="0" i="1">
                                <a:latin typeface="Cambria Math" panose="02040503050406030204" pitchFamily="18" charset="0"/>
                              </a:rPr>
                            </m:ctrlPr>
                          </m:naryPr>
                          <m:sub>
                            <m:r>
                              <m:rPr>
                                <m:brk m:alnAt="23"/>
                              </m:rPr>
                              <a:rPr lang="fr-FR" b="0" i="1">
                                <a:latin typeface="Cambria Math" panose="02040503050406030204" pitchFamily="18" charset="0"/>
                              </a:rPr>
                              <m:t>2</m:t>
                            </m:r>
                            <m:r>
                              <a:rPr lang="fr-FR" b="0" i="1">
                                <a:latin typeface="Cambria Math" panose="02040503050406030204" pitchFamily="18" charset="0"/>
                              </a:rPr>
                              <m:t>025</m:t>
                            </m:r>
                          </m:sub>
                          <m:sup>
                            <m:r>
                              <a:rPr lang="fr-FR" b="0" i="1">
                                <a:latin typeface="Cambria Math" panose="02040503050406030204" pitchFamily="18" charset="0"/>
                              </a:rPr>
                              <m:t>𝑖</m:t>
                            </m:r>
                          </m:sup>
                          <m:e>
                            <m:r>
                              <a:rPr lang="fr-FR" b="0" i="1">
                                <a:latin typeface="Cambria Math" panose="02040503050406030204" pitchFamily="18" charset="0"/>
                              </a:rPr>
                              <m:t>𝐶𝐴</m:t>
                            </m:r>
                            <m:r>
                              <a:rPr lang="fr-FR" b="0" i="1" baseline="-25000">
                                <a:latin typeface="Cambria Math" panose="02040503050406030204" pitchFamily="18" charset="0"/>
                              </a:rPr>
                              <m:t>𝑀𝑎𝑖𝑛𝑡𝑒𝑛𝑎𝑛𝑐𝑒</m:t>
                            </m:r>
                            <m:r>
                              <a:rPr lang="fr-FR" b="0" i="1">
                                <a:latin typeface="Cambria Math" panose="02040503050406030204" pitchFamily="18" charset="0"/>
                              </a:rPr>
                              <m:t>+</m:t>
                            </m:r>
                            <m:nary>
                              <m:naryPr>
                                <m:chr m:val="∑"/>
                                <m:ctrlPr>
                                  <a:rPr lang="fr-FR" b="0" i="1">
                                    <a:latin typeface="Cambria Math" panose="02040503050406030204" pitchFamily="18" charset="0"/>
                                  </a:rPr>
                                </m:ctrlPr>
                              </m:naryPr>
                              <m:sub>
                                <m:r>
                                  <m:rPr>
                                    <m:brk m:alnAt="23"/>
                                  </m:rPr>
                                  <a:rPr lang="fr-FR" b="0" i="1">
                                    <a:latin typeface="Cambria Math" panose="02040503050406030204" pitchFamily="18" charset="0"/>
                                  </a:rPr>
                                  <m:t>2</m:t>
                                </m:r>
                                <m:r>
                                  <a:rPr lang="fr-FR" b="0" i="1">
                                    <a:latin typeface="Cambria Math" panose="02040503050406030204" pitchFamily="18" charset="0"/>
                                  </a:rPr>
                                  <m:t>025</m:t>
                                </m:r>
                              </m:sub>
                              <m:sup>
                                <m:r>
                                  <a:rPr lang="fr-FR" b="0" i="1">
                                    <a:latin typeface="Cambria Math" panose="02040503050406030204" pitchFamily="18" charset="0"/>
                                  </a:rPr>
                                  <m:t>𝑖</m:t>
                                </m:r>
                              </m:sup>
                              <m:e>
                                <m:r>
                                  <a:rPr lang="fr-FR" b="0" i="1">
                                    <a:latin typeface="Cambria Math" panose="02040503050406030204" pitchFamily="18" charset="0"/>
                                  </a:rPr>
                                  <m:t>𝐶𝐴</m:t>
                                </m:r>
                                <m:r>
                                  <a:rPr lang="fr-FR" b="0" i="1" baseline="-25000">
                                    <a:latin typeface="Cambria Math" panose="02040503050406030204" pitchFamily="18" charset="0"/>
                                  </a:rPr>
                                  <m:t>𝐼𝑛𝑓</m:t>
                                </m:r>
                                <m:r>
                                  <a:rPr lang="fr-FR" b="0" i="1" baseline="-25000">
                                    <a:latin typeface="Cambria Math" panose="02040503050406030204" pitchFamily="18" charset="0"/>
                                  </a:rPr>
                                  <m:t>_</m:t>
                                </m:r>
                                <m:r>
                                  <a:rPr lang="fr-FR" b="0" i="1" baseline="-25000">
                                    <a:latin typeface="Cambria Math" panose="02040503050406030204" pitchFamily="18" charset="0"/>
                                  </a:rPr>
                                  <m:t>𝑃𝑟𝑜𝑑𝑢𝑐𝑡𝑖𝑜𝑛</m:t>
                                </m:r>
                                <m:r>
                                  <a:rPr lang="fr-FR" b="0" i="1" baseline="-25000">
                                    <a:latin typeface="Cambria Math" panose="02040503050406030204" pitchFamily="18" charset="0"/>
                                  </a:rPr>
                                  <m:t> </m:t>
                                </m:r>
                              </m:e>
                            </m:nary>
                          </m:e>
                        </m:nary>
                      </m:den>
                    </m:f>
                  </m:oMath>
                </m:oMathPara>
              </a14:m>
              <a:endParaRPr lang="fr-FR"/>
            </a:p>
          </xdr:txBody>
        </xdr:sp>
      </mc:Choice>
      <mc:Fallback xmlns="">
        <xdr:sp macro="" textlink="">
          <xdr:nvSpPr>
            <xdr:cNvPr id="5" name="ZoneTexte 3">
              <a:extLst>
                <a:ext uri="{FF2B5EF4-FFF2-40B4-BE49-F238E27FC236}">
                  <a16:creationId xmlns:a16="http://schemas.microsoft.com/office/drawing/2014/main" id="{87F72402-FF05-F926-7F10-E2DB787BFB2A}"/>
                </a:ext>
              </a:extLst>
            </xdr:cNvPr>
            <xdr:cNvSpPr txBox="1"/>
          </xdr:nvSpPr>
          <xdr:spPr>
            <a:xfrm>
              <a:off x="847749" y="82828326"/>
              <a:ext cx="8733044" cy="812379"/>
            </a:xfrm>
            <a:prstGeom prst="rect">
              <a:avLst/>
            </a:prstGeom>
            <a:noFill/>
          </xdr:spPr>
          <xdr:txBody>
            <a:bodyPr wrap="square" lIns="0" tIns="0" rIns="0" bIns="0" rtlCol="0">
              <a:noAutofit/>
            </a:bodyPr>
            <a:lstStyle>
              <a:defPPr>
                <a:defRPr lang="fr-FR"/>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r>
                <a:rPr lang="fr-FR" b="0" i="0">
                  <a:latin typeface="Cambria Math" panose="02040503050406030204" pitchFamily="18" charset="0"/>
                </a:rPr>
                <a:t>𝑅𝑂𝐼</a:t>
              </a:r>
              <a:r>
                <a:rPr lang="fr-FR" b="0" i="0" baseline="-25000">
                  <a:latin typeface="Cambria Math" panose="02040503050406030204" pitchFamily="18" charset="0"/>
                </a:rPr>
                <a:t>𝑖</a:t>
              </a:r>
              <a:r>
                <a:rPr lang="fr-FR" b="0" i="0">
                  <a:latin typeface="Cambria Math" panose="02040503050406030204" pitchFamily="18" charset="0"/>
                </a:rPr>
                <a:t>=𝐺𝑎𝑖𝑛𝑠/𝐶𝑜û𝑡𝑠=(∑2_2025^𝑖▒〖𝐺𝑎𝑖𝑛𝑠 𝑎𝑛𝑛𝑢𝑒𝑙𝑠 𝑝𝑟𝑜𝑗𝑒𝑡é𝑠〗)/(𝐶𝐼_𝐷𝑒𝑣+𝐶𝐼_(𝐼𝑛𝑓_𝐶𝑜𝑛𝑐𝑒𝑝𝑡𝑖𝑜𝑛)+ ∑_2025^𝑖</a:t>
              </a:r>
              <a:r>
                <a:rPr lang="fr-FR" b="0" i="0" baseline="-25000">
                  <a:latin typeface="Cambria Math" panose="02040503050406030204" pitchFamily="18" charset="0"/>
                </a:rPr>
                <a:t>▒〖</a:t>
              </a:r>
              <a:r>
                <a:rPr lang="fr-FR" b="0" i="0">
                  <a:latin typeface="Cambria Math" panose="02040503050406030204" pitchFamily="18" charset="0"/>
                </a:rPr>
                <a:t>𝐶𝐴</a:t>
              </a:r>
              <a:r>
                <a:rPr lang="fr-FR" b="0" i="0" baseline="-25000">
                  <a:latin typeface="Cambria Math" panose="02040503050406030204" pitchFamily="18" charset="0"/>
                </a:rPr>
                <a:t>𝑀𝑎𝑖𝑛𝑡𝑒𝑛𝑎𝑛𝑐𝑒</a:t>
              </a:r>
              <a:r>
                <a:rPr lang="fr-FR" b="0" i="0">
                  <a:latin typeface="Cambria Math" panose="02040503050406030204" pitchFamily="18" charset="0"/>
                </a:rPr>
                <a:t>+∑_2025^𝑖</a:t>
              </a:r>
              <a:r>
                <a:rPr lang="fr-FR" b="0" i="0" baseline="-25000">
                  <a:latin typeface="Cambria Math" panose="02040503050406030204" pitchFamily="18" charset="0"/>
                </a:rPr>
                <a:t>▒〖</a:t>
              </a:r>
              <a:r>
                <a:rPr lang="fr-FR" b="0" i="0">
                  <a:latin typeface="Cambria Math" panose="02040503050406030204" pitchFamily="18" charset="0"/>
                </a:rPr>
                <a:t>𝐶𝐴</a:t>
              </a:r>
              <a:r>
                <a:rPr lang="fr-FR" b="0" i="0" baseline="-25000">
                  <a:latin typeface="Cambria Math" panose="02040503050406030204" pitchFamily="18" charset="0"/>
                </a:rPr>
                <a:t>𝐼𝑛𝑓_𝑃𝑟𝑜𝑑𝑢𝑐𝑡𝑖𝑜𝑛 〗〗)</a:t>
              </a:r>
              <a:endParaRPr lang="fr-FR"/>
            </a:p>
          </xdr:txBody>
        </xdr:sp>
      </mc:Fallback>
    </mc:AlternateContent>
    <xdr:clientData/>
  </xdr:twoCellAnchor>
  <xdr:twoCellAnchor>
    <xdr:from>
      <xdr:col>6</xdr:col>
      <xdr:colOff>599305</xdr:colOff>
      <xdr:row>361</xdr:row>
      <xdr:rowOff>30764</xdr:rowOff>
    </xdr:from>
    <xdr:to>
      <xdr:col>8</xdr:col>
      <xdr:colOff>810512</xdr:colOff>
      <xdr:row>372</xdr:row>
      <xdr:rowOff>18577</xdr:rowOff>
    </xdr:to>
    <xdr:graphicFrame macro="">
      <xdr:nvGraphicFramePr>
        <xdr:cNvPr id="6" name="Graphique 5">
          <a:extLst>
            <a:ext uri="{FF2B5EF4-FFF2-40B4-BE49-F238E27FC236}">
              <a16:creationId xmlns:a16="http://schemas.microsoft.com/office/drawing/2014/main" id="{ECCC5F38-F005-A92F-0E41-6DFC95E08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810513</xdr:colOff>
      <xdr:row>361</xdr:row>
      <xdr:rowOff>30764</xdr:rowOff>
    </xdr:from>
    <xdr:to>
      <xdr:col>11</xdr:col>
      <xdr:colOff>194050</xdr:colOff>
      <xdr:row>372</xdr:row>
      <xdr:rowOff>18577</xdr:rowOff>
    </xdr:to>
    <xdr:graphicFrame macro="">
      <xdr:nvGraphicFramePr>
        <xdr:cNvPr id="7" name="Graphique 6">
          <a:extLst>
            <a:ext uri="{FF2B5EF4-FFF2-40B4-BE49-F238E27FC236}">
              <a16:creationId xmlns:a16="http://schemas.microsoft.com/office/drawing/2014/main" id="{DC6577E9-ADA2-4C5F-A844-DCD9C3023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272143</xdr:colOff>
      <xdr:row>360</xdr:row>
      <xdr:rowOff>149678</xdr:rowOff>
    </xdr:from>
    <xdr:to>
      <xdr:col>13</xdr:col>
      <xdr:colOff>417090</xdr:colOff>
      <xdr:row>371</xdr:row>
      <xdr:rowOff>148141</xdr:rowOff>
    </xdr:to>
    <xdr:graphicFrame macro="">
      <xdr:nvGraphicFramePr>
        <xdr:cNvPr id="8" name="Graphique 7">
          <a:extLst>
            <a:ext uri="{FF2B5EF4-FFF2-40B4-BE49-F238E27FC236}">
              <a16:creationId xmlns:a16="http://schemas.microsoft.com/office/drawing/2014/main" id="{62DE317E-5909-4487-BC5B-795A66FB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82861</xdr:colOff>
      <xdr:row>486</xdr:row>
      <xdr:rowOff>55222</xdr:rowOff>
    </xdr:from>
    <xdr:to>
      <xdr:col>5</xdr:col>
      <xdr:colOff>522656</xdr:colOff>
      <xdr:row>510</xdr:row>
      <xdr:rowOff>74912</xdr:rowOff>
    </xdr:to>
    <xdr:graphicFrame macro="">
      <xdr:nvGraphicFramePr>
        <xdr:cNvPr id="15" name="Graphique 14">
          <a:extLst>
            <a:ext uri="{FF2B5EF4-FFF2-40B4-BE49-F238E27FC236}">
              <a16:creationId xmlns:a16="http://schemas.microsoft.com/office/drawing/2014/main" id="{4842DF9A-AD45-008A-E771-9F3403505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9</xdr:col>
      <xdr:colOff>796558</xdr:colOff>
      <xdr:row>467</xdr:row>
      <xdr:rowOff>124922</xdr:rowOff>
    </xdr:from>
    <xdr:ext cx="13259312" cy="3656318"/>
    <xdr:sp macro="" textlink="">
      <xdr:nvSpPr>
        <xdr:cNvPr id="17" name="Rectangle 16">
          <a:extLst>
            <a:ext uri="{FF2B5EF4-FFF2-40B4-BE49-F238E27FC236}">
              <a16:creationId xmlns:a16="http://schemas.microsoft.com/office/drawing/2014/main" id="{1F4279FB-2926-C405-1C44-E88004B7D955}"/>
            </a:ext>
          </a:extLst>
        </xdr:cNvPr>
        <xdr:cNvSpPr/>
      </xdr:nvSpPr>
      <xdr:spPr>
        <a:xfrm>
          <a:off x="12821871" y="100018360"/>
          <a:ext cx="13259312" cy="3656318"/>
        </a:xfrm>
        <a:prstGeom prst="rect">
          <a:avLst/>
        </a:prstGeom>
        <a:solidFill>
          <a:srgbClr val="C0C0C0">
            <a:alpha val="50196"/>
          </a:srgbClr>
        </a:solidFill>
      </xdr:spPr>
      <xdr:txBody>
        <a:bodyPr wrap="square" lIns="91440" tIns="45720" rIns="91440" bIns="45720">
          <a:noAutofit/>
        </a:bodyPr>
        <a:lstStyle/>
        <a:p>
          <a:pPr algn="ctr"/>
          <a:br>
            <a:rPr lang="fr-FR" sz="7200" b="1" cap="none" spc="0">
              <a:ln w="12700">
                <a:solidFill>
                  <a:schemeClr val="accent5"/>
                </a:solidFill>
                <a:prstDash val="solid"/>
              </a:ln>
              <a:pattFill prst="ltDnDiag">
                <a:fgClr>
                  <a:schemeClr val="accent5">
                    <a:lumMod val="60000"/>
                    <a:lumOff val="40000"/>
                  </a:schemeClr>
                </a:fgClr>
                <a:bgClr>
                  <a:schemeClr val="bg1"/>
                </a:bgClr>
              </a:pattFill>
              <a:effectLst/>
            </a:rPr>
          </a:br>
          <a:r>
            <a:rPr lang="fr-FR" sz="7200" b="1" cap="none" spc="0">
              <a:ln w="12700">
                <a:solidFill>
                  <a:schemeClr val="accent5"/>
                </a:solidFill>
                <a:prstDash val="solid"/>
              </a:ln>
              <a:pattFill prst="ltDnDiag">
                <a:fgClr>
                  <a:schemeClr val="accent5">
                    <a:lumMod val="60000"/>
                    <a:lumOff val="40000"/>
                  </a:schemeClr>
                </a:fgClr>
                <a:bgClr>
                  <a:schemeClr val="bg1"/>
                </a:bgClr>
              </a:pattFill>
              <a:effectLst/>
            </a:rPr>
            <a:t>POUR LES GRAPHIQUES</a:t>
          </a:r>
          <a:br>
            <a:rPr lang="fr-FR" sz="7200" b="1" cap="none" spc="0">
              <a:ln w="12700">
                <a:solidFill>
                  <a:schemeClr val="accent5"/>
                </a:solidFill>
                <a:prstDash val="solid"/>
              </a:ln>
              <a:pattFill prst="ltDnDiag">
                <a:fgClr>
                  <a:schemeClr val="accent5">
                    <a:lumMod val="60000"/>
                    <a:lumOff val="40000"/>
                  </a:schemeClr>
                </a:fgClr>
                <a:bgClr>
                  <a:schemeClr val="bg1"/>
                </a:bgClr>
              </a:pattFill>
              <a:effectLst/>
            </a:rPr>
          </a:br>
          <a:r>
            <a:rPr lang="fr-FR" sz="7200" b="1" cap="none" spc="0">
              <a:ln w="12700">
                <a:solidFill>
                  <a:schemeClr val="accent5"/>
                </a:solidFill>
                <a:prstDash val="solid"/>
              </a:ln>
              <a:pattFill prst="ltDnDiag">
                <a:fgClr>
                  <a:schemeClr val="accent5">
                    <a:lumMod val="60000"/>
                    <a:lumOff val="40000"/>
                  </a:schemeClr>
                </a:fgClr>
                <a:bgClr>
                  <a:schemeClr val="bg1"/>
                </a:bgClr>
              </a:pattFill>
              <a:effectLst/>
            </a:rPr>
            <a:t>Ne pas toucher</a:t>
          </a:r>
          <a:r>
            <a:rPr lang="fr-FR" sz="7200" b="1" cap="none" spc="0" baseline="0">
              <a:ln w="12700">
                <a:solidFill>
                  <a:schemeClr val="accent5"/>
                </a:solidFill>
                <a:prstDash val="solid"/>
              </a:ln>
              <a:pattFill prst="ltDnDiag">
                <a:fgClr>
                  <a:schemeClr val="accent5">
                    <a:lumMod val="60000"/>
                    <a:lumOff val="40000"/>
                  </a:schemeClr>
                </a:fgClr>
                <a:bgClr>
                  <a:schemeClr val="bg1"/>
                </a:bgClr>
              </a:pattFill>
              <a:effectLst/>
            </a:rPr>
            <a:t> !</a:t>
          </a:r>
        </a:p>
        <a:p>
          <a:pPr algn="ctr"/>
          <a:endParaRPr lang="fr-FR" sz="5400" b="1" cap="none" spc="0" baseline="0">
            <a:ln w="12700">
              <a:solidFill>
                <a:schemeClr val="accent5"/>
              </a:solidFill>
              <a:prstDash val="solid"/>
            </a:ln>
            <a:pattFill prst="ltDnDiag">
              <a:fgClr>
                <a:schemeClr val="accent5">
                  <a:lumMod val="60000"/>
                  <a:lumOff val="40000"/>
                </a:schemeClr>
              </a:fgClr>
              <a:bgClr>
                <a:schemeClr val="bg1"/>
              </a:bgClr>
            </a:pattFill>
            <a:effectLst/>
          </a:endParaRPr>
        </a:p>
        <a:p>
          <a:pPr algn="ctr"/>
          <a:endParaRPr lang="fr-FR" sz="5400" b="1" cap="none" spc="0">
            <a:ln w="12700">
              <a:solidFill>
                <a:schemeClr val="accent5"/>
              </a:solidFill>
              <a:prstDash val="solid"/>
            </a:ln>
            <a:pattFill prst="ltDnDiag">
              <a:fgClr>
                <a:schemeClr val="accent5">
                  <a:lumMod val="60000"/>
                  <a:lumOff val="40000"/>
                </a:schemeClr>
              </a:fgClr>
              <a:bgClr>
                <a:schemeClr val="bg1"/>
              </a:bgClr>
            </a:pattFill>
            <a:effectLst/>
          </a:endParaRPr>
        </a:p>
      </xdr:txBody>
    </xdr:sp>
    <xdr:clientData/>
  </xdr:oneCellAnchor>
  <xdr:twoCellAnchor>
    <xdr:from>
      <xdr:col>8</xdr:col>
      <xdr:colOff>743591</xdr:colOff>
      <xdr:row>82</xdr:row>
      <xdr:rowOff>156800</xdr:rowOff>
    </xdr:from>
    <xdr:to>
      <xdr:col>12</xdr:col>
      <xdr:colOff>607519</xdr:colOff>
      <xdr:row>99</xdr:row>
      <xdr:rowOff>64112</xdr:rowOff>
    </xdr:to>
    <xdr:graphicFrame macro="">
      <xdr:nvGraphicFramePr>
        <xdr:cNvPr id="20" name="Graphique 19">
          <a:extLst>
            <a:ext uri="{FF2B5EF4-FFF2-40B4-BE49-F238E27FC236}">
              <a16:creationId xmlns:a16="http://schemas.microsoft.com/office/drawing/2014/main" id="{12094CC5-AC0A-E76F-2914-4DAD8C9E4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760358</xdr:colOff>
      <xdr:row>427</xdr:row>
      <xdr:rowOff>138210</xdr:rowOff>
    </xdr:from>
    <xdr:to>
      <xdr:col>24</xdr:col>
      <xdr:colOff>203307</xdr:colOff>
      <xdr:row>450</xdr:row>
      <xdr:rowOff>36020</xdr:rowOff>
    </xdr:to>
    <xdr:grpSp>
      <xdr:nvGrpSpPr>
        <xdr:cNvPr id="24" name="Groupe 23">
          <a:extLst>
            <a:ext uri="{FF2B5EF4-FFF2-40B4-BE49-F238E27FC236}">
              <a16:creationId xmlns:a16="http://schemas.microsoft.com/office/drawing/2014/main" id="{9B38C240-CE43-2710-A6E4-8476F5988A81}"/>
            </a:ext>
          </a:extLst>
        </xdr:cNvPr>
        <xdr:cNvGrpSpPr/>
      </xdr:nvGrpSpPr>
      <xdr:grpSpPr>
        <a:xfrm>
          <a:off x="24014805" y="88467457"/>
          <a:ext cx="6587820" cy="3824351"/>
          <a:chOff x="11733661" y="92645754"/>
          <a:chExt cx="4573601" cy="3234658"/>
        </a:xfrm>
      </xdr:grpSpPr>
      <xdr:graphicFrame macro="">
        <xdr:nvGraphicFramePr>
          <xdr:cNvPr id="10" name="Graphique 9">
            <a:extLst>
              <a:ext uri="{FF2B5EF4-FFF2-40B4-BE49-F238E27FC236}">
                <a16:creationId xmlns:a16="http://schemas.microsoft.com/office/drawing/2014/main" id="{D4572466-5E63-CBD8-7AC0-0D4E5F33EE53}"/>
              </a:ext>
            </a:extLst>
          </xdr:cNvPr>
          <xdr:cNvGraphicFramePr/>
        </xdr:nvGraphicFramePr>
        <xdr:xfrm>
          <a:off x="11733661" y="92645754"/>
          <a:ext cx="4573601" cy="3234658"/>
        </xdr:xfrm>
        <a:graphic>
          <a:graphicData uri="http://schemas.openxmlformats.org/drawingml/2006/chart">
            <c:chart xmlns:c="http://schemas.openxmlformats.org/drawingml/2006/chart" xmlns:r="http://schemas.openxmlformats.org/officeDocument/2006/relationships" r:id="rId8"/>
          </a:graphicData>
        </a:graphic>
      </xdr:graphicFrame>
      <xdr:sp macro="" textlink="">
        <xdr:nvSpPr>
          <xdr:cNvPr id="19" name="ZoneTexte 18">
            <a:extLst>
              <a:ext uri="{FF2B5EF4-FFF2-40B4-BE49-F238E27FC236}">
                <a16:creationId xmlns:a16="http://schemas.microsoft.com/office/drawing/2014/main" id="{01E0652A-09B6-403D-B266-9A153A8F42BD}"/>
              </a:ext>
            </a:extLst>
          </xdr:cNvPr>
          <xdr:cNvSpPr txBox="1"/>
        </xdr:nvSpPr>
        <xdr:spPr>
          <a:xfrm>
            <a:off x="14693956" y="94809838"/>
            <a:ext cx="1409460" cy="2050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Zone de non rentabilité</a:t>
            </a:r>
          </a:p>
        </xdr:txBody>
      </xdr:sp>
      <xdr:sp macro="" textlink="">
        <xdr:nvSpPr>
          <xdr:cNvPr id="13" name="Rectangle 12">
            <a:extLst>
              <a:ext uri="{FF2B5EF4-FFF2-40B4-BE49-F238E27FC236}">
                <a16:creationId xmlns:a16="http://schemas.microsoft.com/office/drawing/2014/main" id="{93103C62-A10F-DA1C-6DF8-C5E70C6EEE44}"/>
              </a:ext>
            </a:extLst>
          </xdr:cNvPr>
          <xdr:cNvSpPr/>
        </xdr:nvSpPr>
        <xdr:spPr>
          <a:xfrm>
            <a:off x="12211122" y="93621059"/>
            <a:ext cx="3901647" cy="1390362"/>
          </a:xfrm>
          <a:prstGeom prst="rect">
            <a:avLst/>
          </a:prstGeom>
          <a:solidFill>
            <a:srgbClr val="EA4335">
              <a:alpha val="34902"/>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8" name="ZoneTexte 17">
            <a:extLst>
              <a:ext uri="{FF2B5EF4-FFF2-40B4-BE49-F238E27FC236}">
                <a16:creationId xmlns:a16="http://schemas.microsoft.com/office/drawing/2014/main" id="{80A9378B-3532-4D28-570F-6ED1616DA5F4}"/>
              </a:ext>
            </a:extLst>
          </xdr:cNvPr>
          <xdr:cNvSpPr txBox="1"/>
        </xdr:nvSpPr>
        <xdr:spPr>
          <a:xfrm>
            <a:off x="12233333" y="93037841"/>
            <a:ext cx="1135566" cy="1953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t>Zone de rentabilité</a:t>
            </a:r>
          </a:p>
        </xdr:txBody>
      </xdr:sp>
      <xdr:sp macro="" textlink="">
        <xdr:nvSpPr>
          <xdr:cNvPr id="14" name="Rectangle 13">
            <a:extLst>
              <a:ext uri="{FF2B5EF4-FFF2-40B4-BE49-F238E27FC236}">
                <a16:creationId xmlns:a16="http://schemas.microsoft.com/office/drawing/2014/main" id="{6093CD9E-9132-4A22-BCF6-64C8C13C6049}"/>
              </a:ext>
            </a:extLst>
          </xdr:cNvPr>
          <xdr:cNvSpPr/>
        </xdr:nvSpPr>
        <xdr:spPr>
          <a:xfrm>
            <a:off x="12212402" y="93046024"/>
            <a:ext cx="3900242" cy="575035"/>
          </a:xfrm>
          <a:prstGeom prst="rect">
            <a:avLst/>
          </a:prstGeom>
          <a:solidFill>
            <a:srgbClr val="34A853">
              <a:alpha val="34902"/>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grpSp>
    <xdr:clientData/>
  </xdr:twoCellAnchor>
  <xdr:twoCellAnchor>
    <xdr:from>
      <xdr:col>8</xdr:col>
      <xdr:colOff>741990</xdr:colOff>
      <xdr:row>96</xdr:row>
      <xdr:rowOff>160883</xdr:rowOff>
    </xdr:from>
    <xdr:to>
      <xdr:col>12</xdr:col>
      <xdr:colOff>605918</xdr:colOff>
      <xdr:row>112</xdr:row>
      <xdr:rowOff>121822</xdr:rowOff>
    </xdr:to>
    <xdr:graphicFrame macro="">
      <xdr:nvGraphicFramePr>
        <xdr:cNvPr id="21" name="Graphique 20">
          <a:extLst>
            <a:ext uri="{FF2B5EF4-FFF2-40B4-BE49-F238E27FC236}">
              <a16:creationId xmlns:a16="http://schemas.microsoft.com/office/drawing/2014/main" id="{B86E6560-0188-4806-9928-9627544BD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740388</xdr:colOff>
      <xdr:row>110</xdr:row>
      <xdr:rowOff>42420</xdr:rowOff>
    </xdr:from>
    <xdr:to>
      <xdr:col>12</xdr:col>
      <xdr:colOff>605917</xdr:colOff>
      <xdr:row>125</xdr:row>
      <xdr:rowOff>145835</xdr:rowOff>
    </xdr:to>
    <xdr:graphicFrame macro="">
      <xdr:nvGraphicFramePr>
        <xdr:cNvPr id="22" name="Graphique 21">
          <a:extLst>
            <a:ext uri="{FF2B5EF4-FFF2-40B4-BE49-F238E27FC236}">
              <a16:creationId xmlns:a16="http://schemas.microsoft.com/office/drawing/2014/main" id="{8BE2F791-32C9-43E3-A7F5-093BD92C9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1475471</xdr:colOff>
      <xdr:row>429</xdr:row>
      <xdr:rowOff>81701</xdr:rowOff>
    </xdr:from>
    <xdr:to>
      <xdr:col>6</xdr:col>
      <xdr:colOff>721211</xdr:colOff>
      <xdr:row>451</xdr:row>
      <xdr:rowOff>156403</xdr:rowOff>
    </xdr:to>
    <xdr:grpSp>
      <xdr:nvGrpSpPr>
        <xdr:cNvPr id="4" name="Groupe 3">
          <a:extLst>
            <a:ext uri="{FF2B5EF4-FFF2-40B4-BE49-F238E27FC236}">
              <a16:creationId xmlns:a16="http://schemas.microsoft.com/office/drawing/2014/main" id="{BE9805C0-0134-463C-B6F8-988A4FE95713}"/>
            </a:ext>
          </a:extLst>
        </xdr:cNvPr>
        <xdr:cNvGrpSpPr/>
      </xdr:nvGrpSpPr>
      <xdr:grpSpPr>
        <a:xfrm>
          <a:off x="2371942" y="88760572"/>
          <a:ext cx="6731269" cy="3821949"/>
          <a:chOff x="11733660" y="92645754"/>
          <a:chExt cx="4581527" cy="3234658"/>
        </a:xfrm>
      </xdr:grpSpPr>
      <xdr:graphicFrame macro="">
        <xdr:nvGraphicFramePr>
          <xdr:cNvPr id="9" name="Graphique 8">
            <a:extLst>
              <a:ext uri="{FF2B5EF4-FFF2-40B4-BE49-F238E27FC236}">
                <a16:creationId xmlns:a16="http://schemas.microsoft.com/office/drawing/2014/main" id="{8F2D519E-AB0C-4840-0842-B7FFFD3FF6F6}"/>
              </a:ext>
            </a:extLst>
          </xdr:cNvPr>
          <xdr:cNvGraphicFramePr/>
        </xdr:nvGraphicFramePr>
        <xdr:xfrm>
          <a:off x="11733660" y="92645754"/>
          <a:ext cx="4581527" cy="3234658"/>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2" name="Rectangle 11">
            <a:extLst>
              <a:ext uri="{FF2B5EF4-FFF2-40B4-BE49-F238E27FC236}">
                <a16:creationId xmlns:a16="http://schemas.microsoft.com/office/drawing/2014/main" id="{D0E4B63A-CD9A-34EC-6581-A5BB54A5367D}"/>
              </a:ext>
            </a:extLst>
          </xdr:cNvPr>
          <xdr:cNvSpPr/>
        </xdr:nvSpPr>
        <xdr:spPr>
          <a:xfrm>
            <a:off x="12208008" y="93782954"/>
            <a:ext cx="3917738" cy="1362682"/>
          </a:xfrm>
          <a:prstGeom prst="rect">
            <a:avLst/>
          </a:prstGeom>
          <a:solidFill>
            <a:srgbClr val="EA4335">
              <a:alpha val="34902"/>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23" name="Rectangle 22">
            <a:extLst>
              <a:ext uri="{FF2B5EF4-FFF2-40B4-BE49-F238E27FC236}">
                <a16:creationId xmlns:a16="http://schemas.microsoft.com/office/drawing/2014/main" id="{64066143-9185-20A9-E745-5E6CAF0B1635}"/>
              </a:ext>
            </a:extLst>
          </xdr:cNvPr>
          <xdr:cNvSpPr/>
        </xdr:nvSpPr>
        <xdr:spPr>
          <a:xfrm>
            <a:off x="12208805" y="93213081"/>
            <a:ext cx="3916941" cy="575035"/>
          </a:xfrm>
          <a:prstGeom prst="rect">
            <a:avLst/>
          </a:prstGeom>
          <a:solidFill>
            <a:srgbClr val="34A853">
              <a:alpha val="34902"/>
            </a:srgb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11" name="ZoneTexte 10">
            <a:extLst>
              <a:ext uri="{FF2B5EF4-FFF2-40B4-BE49-F238E27FC236}">
                <a16:creationId xmlns:a16="http://schemas.microsoft.com/office/drawing/2014/main" id="{37FBCF01-29EF-5ABE-BCCA-16E406CFC027}"/>
              </a:ext>
            </a:extLst>
          </xdr:cNvPr>
          <xdr:cNvSpPr txBox="1"/>
        </xdr:nvSpPr>
        <xdr:spPr>
          <a:xfrm>
            <a:off x="14878352" y="94964218"/>
            <a:ext cx="1236712" cy="205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b="1"/>
              <a:t>Zone de non rentabilité</a:t>
            </a:r>
          </a:p>
        </xdr:txBody>
      </xdr:sp>
      <xdr:sp macro="" textlink="">
        <xdr:nvSpPr>
          <xdr:cNvPr id="16" name="ZoneTexte 15">
            <a:extLst>
              <a:ext uri="{FF2B5EF4-FFF2-40B4-BE49-F238E27FC236}">
                <a16:creationId xmlns:a16="http://schemas.microsoft.com/office/drawing/2014/main" id="{FB7CD05C-2968-6EC8-DBB3-123216A2CC8A}"/>
              </a:ext>
            </a:extLst>
          </xdr:cNvPr>
          <xdr:cNvSpPr txBox="1"/>
        </xdr:nvSpPr>
        <xdr:spPr>
          <a:xfrm>
            <a:off x="12210233" y="93210659"/>
            <a:ext cx="1135566" cy="195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100" b="1"/>
              <a:t>Zone de rentabilité</a:t>
            </a:r>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0.01767</cdr:x>
      <cdr:y>0.01922</cdr:y>
    </cdr:from>
    <cdr:to>
      <cdr:x>0.9729</cdr:x>
      <cdr:y>0.19189</cdr:y>
    </cdr:to>
    <cdr:sp macro="" textlink="">
      <cdr:nvSpPr>
        <cdr:cNvPr id="3" name="ZoneTexte 2">
          <a:extLst xmlns:a="http://schemas.openxmlformats.org/drawingml/2006/main">
            <a:ext uri="{FF2B5EF4-FFF2-40B4-BE49-F238E27FC236}">
              <a16:creationId xmlns:a16="http://schemas.microsoft.com/office/drawing/2014/main" id="{46EC28FE-577B-0861-CB2E-834DCA16AC43}"/>
            </a:ext>
          </a:extLst>
        </cdr:cNvPr>
        <cdr:cNvSpPr txBox="1"/>
      </cdr:nvSpPr>
      <cdr:spPr>
        <a:xfrm xmlns:a="http://schemas.openxmlformats.org/drawingml/2006/main">
          <a:off x="106456" y="75719"/>
          <a:ext cx="5755822" cy="68035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fr-FR" sz="1600" b="1"/>
            <a:t>Rentabilité atteinte apres 4 ans pour le profil</a:t>
          </a:r>
        </a:p>
        <a:p xmlns:a="http://schemas.openxmlformats.org/drawingml/2006/main">
          <a:pPr algn="ctr"/>
          <a:r>
            <a:rPr lang="fr-FR" sz="1600" b="1"/>
            <a:t>Junior et les machines de type NC6</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0</xdr:colOff>
      <xdr:row>42</xdr:row>
      <xdr:rowOff>0</xdr:rowOff>
    </xdr:from>
    <xdr:to>
      <xdr:col>6</xdr:col>
      <xdr:colOff>865910</xdr:colOff>
      <xdr:row>76</xdr:row>
      <xdr:rowOff>84667</xdr:rowOff>
    </xdr:to>
    <xdr:grpSp>
      <xdr:nvGrpSpPr>
        <xdr:cNvPr id="8" name="Groupe 7">
          <a:extLst>
            <a:ext uri="{FF2B5EF4-FFF2-40B4-BE49-F238E27FC236}">
              <a16:creationId xmlns:a16="http://schemas.microsoft.com/office/drawing/2014/main" id="{9B427D35-03B8-7B70-FE52-537654F670EB}"/>
            </a:ext>
          </a:extLst>
        </xdr:cNvPr>
        <xdr:cNvGrpSpPr/>
      </xdr:nvGrpSpPr>
      <xdr:grpSpPr>
        <a:xfrm>
          <a:off x="783771" y="10809514"/>
          <a:ext cx="11207339" cy="5636382"/>
          <a:chOff x="762000" y="11225893"/>
          <a:chExt cx="10921589" cy="5636381"/>
        </a:xfrm>
      </xdr:grpSpPr>
      <xdr:graphicFrame macro="">
        <xdr:nvGraphicFramePr>
          <xdr:cNvPr id="2" name="Diagramme 1">
            <a:extLst>
              <a:ext uri="{FF2B5EF4-FFF2-40B4-BE49-F238E27FC236}">
                <a16:creationId xmlns:a16="http://schemas.microsoft.com/office/drawing/2014/main" id="{5D9B7C8B-5628-ECC7-69AF-0C8ED8639787}"/>
              </a:ext>
            </a:extLst>
          </xdr:cNvPr>
          <xdr:cNvGraphicFramePr/>
        </xdr:nvGraphicFramePr>
        <xdr:xfrm>
          <a:off x="762000" y="11225893"/>
          <a:ext cx="9614380" cy="5636381"/>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sp macro="" textlink="">
        <xdr:nvSpPr>
          <xdr:cNvPr id="3" name="Flèche : bas 2">
            <a:extLst>
              <a:ext uri="{FF2B5EF4-FFF2-40B4-BE49-F238E27FC236}">
                <a16:creationId xmlns:a16="http://schemas.microsoft.com/office/drawing/2014/main" id="{6520BE64-03E8-CC94-C427-129347618785}"/>
              </a:ext>
            </a:extLst>
          </xdr:cNvPr>
          <xdr:cNvSpPr/>
        </xdr:nvSpPr>
        <xdr:spPr>
          <a:xfrm>
            <a:off x="9479230" y="12111592"/>
            <a:ext cx="900546" cy="373825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sp macro="" textlink="">
        <xdr:nvSpPr>
          <xdr:cNvPr id="6" name="ZoneTexte 5">
            <a:extLst>
              <a:ext uri="{FF2B5EF4-FFF2-40B4-BE49-F238E27FC236}">
                <a16:creationId xmlns:a16="http://schemas.microsoft.com/office/drawing/2014/main" id="{5E0B6F15-F0AA-48BA-BC99-651D8812031E}"/>
              </a:ext>
            </a:extLst>
          </xdr:cNvPr>
          <xdr:cNvSpPr txBox="1"/>
        </xdr:nvSpPr>
        <xdr:spPr>
          <a:xfrm>
            <a:off x="8090066" y="15867165"/>
            <a:ext cx="3593523" cy="9277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400" b="1">
                <a:latin typeface="Georgia" panose="02040502050405020303" pitchFamily="18" charset="0"/>
              </a:rPr>
              <a:t>FORTES DEPENDENCES</a:t>
            </a:r>
          </a:p>
        </xdr:txBody>
      </xdr:sp>
      <xdr:sp macro="" textlink="">
        <xdr:nvSpPr>
          <xdr:cNvPr id="7" name="ZoneTexte 6">
            <a:extLst>
              <a:ext uri="{FF2B5EF4-FFF2-40B4-BE49-F238E27FC236}">
                <a16:creationId xmlns:a16="http://schemas.microsoft.com/office/drawing/2014/main" id="{3C642CCE-22F2-45AC-8050-8266DD1F3A3F}"/>
              </a:ext>
            </a:extLst>
          </xdr:cNvPr>
          <xdr:cNvSpPr txBox="1"/>
        </xdr:nvSpPr>
        <xdr:spPr>
          <a:xfrm>
            <a:off x="8072747" y="11312483"/>
            <a:ext cx="3593523" cy="8510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2400" b="1">
                <a:latin typeface="Georgia" panose="02040502050405020303" pitchFamily="18" charset="0"/>
              </a:rPr>
              <a:t>PAS</a:t>
            </a:r>
            <a:r>
              <a:rPr lang="fr-FR" sz="2400" b="1" baseline="0">
                <a:latin typeface="Georgia" panose="02040502050405020303" pitchFamily="18" charset="0"/>
              </a:rPr>
              <a:t> DE</a:t>
            </a:r>
            <a:r>
              <a:rPr lang="fr-FR" sz="2400" b="1">
                <a:latin typeface="Georgia" panose="02040502050405020303" pitchFamily="18" charset="0"/>
              </a:rPr>
              <a:t> DEPENDENCES</a:t>
            </a:r>
          </a:p>
        </xdr:txBody>
      </xdr:sp>
    </xdr:grpSp>
    <xdr:clientData/>
  </xdr:twoCellAnchor>
  <xdr:twoCellAnchor editAs="oneCell">
    <xdr:from>
      <xdr:col>1</xdr:col>
      <xdr:colOff>0</xdr:colOff>
      <xdr:row>88</xdr:row>
      <xdr:rowOff>0</xdr:rowOff>
    </xdr:from>
    <xdr:to>
      <xdr:col>5</xdr:col>
      <xdr:colOff>313762</xdr:colOff>
      <xdr:row>150</xdr:row>
      <xdr:rowOff>43887</xdr:rowOff>
    </xdr:to>
    <xdr:pic>
      <xdr:nvPicPr>
        <xdr:cNvPr id="11" name="Image 10">
          <a:extLst>
            <a:ext uri="{FF2B5EF4-FFF2-40B4-BE49-F238E27FC236}">
              <a16:creationId xmlns:a16="http://schemas.microsoft.com/office/drawing/2014/main" id="{B4D08303-2BB8-1606-C10E-770A70070B0D}"/>
            </a:ext>
          </a:extLst>
        </xdr:cNvPr>
        <xdr:cNvPicPr>
          <a:picLocks noChangeAspect="1"/>
        </xdr:cNvPicPr>
      </xdr:nvPicPr>
      <xdr:blipFill>
        <a:blip xmlns:r="http://schemas.openxmlformats.org/officeDocument/2006/relationships" r:embed="rId6"/>
        <a:stretch>
          <a:fillRect/>
        </a:stretch>
      </xdr:blipFill>
      <xdr:spPr>
        <a:xfrm>
          <a:off x="762000" y="23734059"/>
          <a:ext cx="8352381" cy="10057143"/>
        </a:xfrm>
        <a:prstGeom prst="rect">
          <a:avLst/>
        </a:prstGeom>
      </xdr:spPr>
    </xdr:pic>
    <xdr:clientData/>
  </xdr:twoCellAnchor>
  <xdr:twoCellAnchor>
    <xdr:from>
      <xdr:col>1</xdr:col>
      <xdr:colOff>503463</xdr:colOff>
      <xdr:row>268</xdr:row>
      <xdr:rowOff>23131</xdr:rowOff>
    </xdr:from>
    <xdr:to>
      <xdr:col>4</xdr:col>
      <xdr:colOff>1020534</xdr:colOff>
      <xdr:row>289</xdr:row>
      <xdr:rowOff>68035</xdr:rowOff>
    </xdr:to>
    <xdr:graphicFrame macro="">
      <xdr:nvGraphicFramePr>
        <xdr:cNvPr id="4" name="Graphique 3">
          <a:extLst>
            <a:ext uri="{FF2B5EF4-FFF2-40B4-BE49-F238E27FC236}">
              <a16:creationId xmlns:a16="http://schemas.microsoft.com/office/drawing/2014/main" id="{20F66F4C-2207-1DF9-3EFC-8E7E6EC9B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1251856</xdr:colOff>
      <xdr:row>268</xdr:row>
      <xdr:rowOff>9523</xdr:rowOff>
    </xdr:from>
    <xdr:to>
      <xdr:col>7</xdr:col>
      <xdr:colOff>1428749</xdr:colOff>
      <xdr:row>289</xdr:row>
      <xdr:rowOff>122464</xdr:rowOff>
    </xdr:to>
    <xdr:graphicFrame macro="">
      <xdr:nvGraphicFramePr>
        <xdr:cNvPr id="5" name="Graphique 4">
          <a:extLst>
            <a:ext uri="{FF2B5EF4-FFF2-40B4-BE49-F238E27FC236}">
              <a16:creationId xmlns:a16="http://schemas.microsoft.com/office/drawing/2014/main" id="{29811858-C67D-3D8F-D19A-2B7CC369A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2242811</xdr:colOff>
      <xdr:row>10</xdr:row>
      <xdr:rowOff>65433</xdr:rowOff>
    </xdr:from>
    <xdr:to>
      <xdr:col>19</xdr:col>
      <xdr:colOff>478615</xdr:colOff>
      <xdr:row>26</xdr:row>
      <xdr:rowOff>75372</xdr:rowOff>
    </xdr:to>
    <xdr:grpSp>
      <xdr:nvGrpSpPr>
        <xdr:cNvPr id="23" name="Groupe 22">
          <a:extLst>
            <a:ext uri="{FF2B5EF4-FFF2-40B4-BE49-F238E27FC236}">
              <a16:creationId xmlns:a16="http://schemas.microsoft.com/office/drawing/2014/main" id="{F8CF0827-8390-3D38-8263-0C0F365C041F}"/>
            </a:ext>
          </a:extLst>
        </xdr:cNvPr>
        <xdr:cNvGrpSpPr/>
      </xdr:nvGrpSpPr>
      <xdr:grpSpPr>
        <a:xfrm>
          <a:off x="10864297" y="2090176"/>
          <a:ext cx="8022061" cy="3199453"/>
          <a:chOff x="8883097" y="2131944"/>
          <a:chExt cx="4572000" cy="2743200"/>
        </a:xfrm>
      </xdr:grpSpPr>
      <xdr:graphicFrame macro="">
        <xdr:nvGraphicFramePr>
          <xdr:cNvPr id="2" name="Diagramme 1">
            <a:extLst>
              <a:ext uri="{FF2B5EF4-FFF2-40B4-BE49-F238E27FC236}">
                <a16:creationId xmlns:a16="http://schemas.microsoft.com/office/drawing/2014/main" id="{94E85D9D-47C1-F5D5-6DA5-89BB422B237C}"/>
              </a:ext>
            </a:extLst>
          </xdr:cNvPr>
          <xdr:cNvGraphicFramePr/>
        </xdr:nvGraphicFramePr>
        <xdr:xfrm>
          <a:off x="8883097" y="2131944"/>
          <a:ext cx="4572000" cy="274320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xnSp macro="">
        <xdr:nvCxnSpPr>
          <xdr:cNvPr id="10" name="Connecteur droit avec flèche 9">
            <a:extLst>
              <a:ext uri="{FF2B5EF4-FFF2-40B4-BE49-F238E27FC236}">
                <a16:creationId xmlns:a16="http://schemas.microsoft.com/office/drawing/2014/main" id="{DB7DE2A5-227A-80E5-ECC5-AFC08B811947}"/>
              </a:ext>
            </a:extLst>
          </xdr:cNvPr>
          <xdr:cNvCxnSpPr/>
        </xdr:nvCxnSpPr>
        <xdr:spPr>
          <a:xfrm flipH="1" flipV="1">
            <a:off x="10817726" y="4393151"/>
            <a:ext cx="718764" cy="10053"/>
          </a:xfrm>
          <a:prstGeom prst="straightConnector1">
            <a:avLst/>
          </a:prstGeom>
          <a:ln w="12700">
            <a:solidFill>
              <a:schemeClr val="tx1"/>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16" name="Connecteur droit avec flèche 15">
            <a:extLst>
              <a:ext uri="{FF2B5EF4-FFF2-40B4-BE49-F238E27FC236}">
                <a16:creationId xmlns:a16="http://schemas.microsoft.com/office/drawing/2014/main" id="{EC7661EF-4F3A-4A30-9820-EBF3571CF481}"/>
              </a:ext>
            </a:extLst>
          </xdr:cNvPr>
          <xdr:cNvCxnSpPr/>
        </xdr:nvCxnSpPr>
        <xdr:spPr>
          <a:xfrm flipH="1" flipV="1">
            <a:off x="11391136" y="2913498"/>
            <a:ext cx="462855" cy="1034850"/>
          </a:xfrm>
          <a:prstGeom prst="straightConnector1">
            <a:avLst/>
          </a:prstGeom>
          <a:ln w="12700">
            <a:solidFill>
              <a:schemeClr val="tx1"/>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xnSp macro="">
        <xdr:nvCxnSpPr>
          <xdr:cNvPr id="20" name="Connecteur droit avec flèche 19">
            <a:extLst>
              <a:ext uri="{FF2B5EF4-FFF2-40B4-BE49-F238E27FC236}">
                <a16:creationId xmlns:a16="http://schemas.microsoft.com/office/drawing/2014/main" id="{41900FE7-7981-44EB-B5AD-6D5E138BBDBC}"/>
              </a:ext>
            </a:extLst>
          </xdr:cNvPr>
          <xdr:cNvCxnSpPr/>
        </xdr:nvCxnSpPr>
        <xdr:spPr>
          <a:xfrm flipV="1">
            <a:off x="10420796" y="2876046"/>
            <a:ext cx="505239" cy="1076740"/>
          </a:xfrm>
          <a:prstGeom prst="straightConnector1">
            <a:avLst/>
          </a:prstGeom>
          <a:ln w="12700">
            <a:solidFill>
              <a:schemeClr val="tx1"/>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763360</xdr:colOff>
      <xdr:row>19</xdr:row>
      <xdr:rowOff>106136</xdr:rowOff>
    </xdr:from>
    <xdr:to>
      <xdr:col>6</xdr:col>
      <xdr:colOff>1528694</xdr:colOff>
      <xdr:row>44</xdr:row>
      <xdr:rowOff>115154</xdr:rowOff>
    </xdr:to>
    <xdr:pic>
      <xdr:nvPicPr>
        <xdr:cNvPr id="2" name="Image 1">
          <a:extLst>
            <a:ext uri="{FF2B5EF4-FFF2-40B4-BE49-F238E27FC236}">
              <a16:creationId xmlns:a16="http://schemas.microsoft.com/office/drawing/2014/main" id="{FBA79D63-109E-6C41-47FA-E5048BE2FA52}"/>
            </a:ext>
          </a:extLst>
        </xdr:cNvPr>
        <xdr:cNvPicPr>
          <a:picLocks noChangeAspect="1"/>
        </xdr:cNvPicPr>
      </xdr:nvPicPr>
      <xdr:blipFill>
        <a:blip xmlns:r="http://schemas.openxmlformats.org/officeDocument/2006/relationships" r:embed="rId1"/>
        <a:stretch>
          <a:fillRect/>
        </a:stretch>
      </xdr:blipFill>
      <xdr:spPr>
        <a:xfrm>
          <a:off x="8056789" y="3480707"/>
          <a:ext cx="6004084" cy="4091161"/>
        </a:xfrm>
        <a:prstGeom prst="rect">
          <a:avLst/>
        </a:prstGeom>
      </xdr:spPr>
    </xdr:pic>
    <xdr:clientData/>
  </xdr:twoCellAnchor>
  <xdr:twoCellAnchor editAs="oneCell">
    <xdr:from>
      <xdr:col>4</xdr:col>
      <xdr:colOff>1183821</xdr:colOff>
      <xdr:row>43</xdr:row>
      <xdr:rowOff>149679</xdr:rowOff>
    </xdr:from>
    <xdr:to>
      <xdr:col>6</xdr:col>
      <xdr:colOff>1107196</xdr:colOff>
      <xdr:row>53</xdr:row>
      <xdr:rowOff>125185</xdr:rowOff>
    </xdr:to>
    <xdr:pic>
      <xdr:nvPicPr>
        <xdr:cNvPr id="3" name="Image 2" descr="Les risques génériques et les risques spécifiques">
          <a:extLst>
            <a:ext uri="{FF2B5EF4-FFF2-40B4-BE49-F238E27FC236}">
              <a16:creationId xmlns:a16="http://schemas.microsoft.com/office/drawing/2014/main" id="{77B48B2C-CC75-9C32-89A4-902BC10032D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477250" y="7443108"/>
          <a:ext cx="5162125" cy="1717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364671</xdr:colOff>
      <xdr:row>2</xdr:row>
      <xdr:rowOff>62594</xdr:rowOff>
    </xdr:from>
    <xdr:to>
      <xdr:col>6</xdr:col>
      <xdr:colOff>1273628</xdr:colOff>
      <xdr:row>16</xdr:row>
      <xdr:rowOff>52897</xdr:rowOff>
    </xdr:to>
    <xdr:pic>
      <xdr:nvPicPr>
        <xdr:cNvPr id="4" name="Image 3" descr="La connaissance du projet, l'identification des risques, leur priorisation, la mise au point d'une stratégie de prévention et le suivi des risques en cours de projet sont les étapes nécessaire à une bonne gestion des risques.">
          <a:extLst>
            <a:ext uri="{FF2B5EF4-FFF2-40B4-BE49-F238E27FC236}">
              <a16:creationId xmlns:a16="http://schemas.microsoft.com/office/drawing/2014/main" id="{F6C5BC0D-65AC-31A2-0D0C-24C5E7B6B1D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658100" y="525237"/>
          <a:ext cx="6147707" cy="2276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670831</xdr:colOff>
      <xdr:row>92</xdr:row>
      <xdr:rowOff>96607</xdr:rowOff>
    </xdr:from>
    <xdr:to>
      <xdr:col>9</xdr:col>
      <xdr:colOff>434193</xdr:colOff>
      <xdr:row>139</xdr:row>
      <xdr:rowOff>145596</xdr:rowOff>
    </xdr:to>
    <xdr:graphicFrame macro="">
      <xdr:nvGraphicFramePr>
        <xdr:cNvPr id="5" name="Diagramme 4">
          <a:extLst>
            <a:ext uri="{FF2B5EF4-FFF2-40B4-BE49-F238E27FC236}">
              <a16:creationId xmlns:a16="http://schemas.microsoft.com/office/drawing/2014/main" id="{31CEE2B3-F475-CC66-1238-DE258C16737A}"/>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4" r:lo="rId5" r:qs="rId6" r:cs="rId7"/>
        </a:graphicData>
      </a:graphic>
    </xdr:graphicFrame>
    <xdr:clientData/>
  </xdr:twoCellAnchor>
  <xdr:twoCellAnchor>
    <xdr:from>
      <xdr:col>3</xdr:col>
      <xdr:colOff>137679</xdr:colOff>
      <xdr:row>193</xdr:row>
      <xdr:rowOff>33400</xdr:rowOff>
    </xdr:from>
    <xdr:to>
      <xdr:col>6</xdr:col>
      <xdr:colOff>2688029</xdr:colOff>
      <xdr:row>228</xdr:row>
      <xdr:rowOff>28575</xdr:rowOff>
    </xdr:to>
    <xdr:graphicFrame macro="">
      <xdr:nvGraphicFramePr>
        <xdr:cNvPr id="7" name="Graphique 6">
          <a:extLst>
            <a:ext uri="{FF2B5EF4-FFF2-40B4-BE49-F238E27FC236}">
              <a16:creationId xmlns:a16="http://schemas.microsoft.com/office/drawing/2014/main" id="{562A72CA-C6CD-43B4-9D15-F3D5CE268F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272142</xdr:colOff>
      <xdr:row>161</xdr:row>
      <xdr:rowOff>54430</xdr:rowOff>
    </xdr:from>
    <xdr:to>
      <xdr:col>5</xdr:col>
      <xdr:colOff>553810</xdr:colOff>
      <xdr:row>191</xdr:row>
      <xdr:rowOff>108858</xdr:rowOff>
    </xdr:to>
    <xdr:graphicFrame macro="">
      <xdr:nvGraphicFramePr>
        <xdr:cNvPr id="9" name="Graphique 8">
          <a:extLst>
            <a:ext uri="{FF2B5EF4-FFF2-40B4-BE49-F238E27FC236}">
              <a16:creationId xmlns:a16="http://schemas.microsoft.com/office/drawing/2014/main" id="{122B2CA4-C493-4E3A-A2BD-D7BB41E9E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802822</xdr:colOff>
      <xdr:row>161</xdr:row>
      <xdr:rowOff>54429</xdr:rowOff>
    </xdr:from>
    <xdr:to>
      <xdr:col>10</xdr:col>
      <xdr:colOff>1356632</xdr:colOff>
      <xdr:row>191</xdr:row>
      <xdr:rowOff>108857</xdr:rowOff>
    </xdr:to>
    <xdr:graphicFrame macro="">
      <xdr:nvGraphicFramePr>
        <xdr:cNvPr id="10" name="Graphique 9">
          <a:extLst>
            <a:ext uri="{FF2B5EF4-FFF2-40B4-BE49-F238E27FC236}">
              <a16:creationId xmlns:a16="http://schemas.microsoft.com/office/drawing/2014/main" id="{63A2E63A-C584-47C1-911D-BB49DA42F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1279072</xdr:colOff>
      <xdr:row>236</xdr:row>
      <xdr:rowOff>91167</xdr:rowOff>
    </xdr:from>
    <xdr:to>
      <xdr:col>6</xdr:col>
      <xdr:colOff>435428</xdr:colOff>
      <xdr:row>246</xdr:row>
      <xdr:rowOff>81643</xdr:rowOff>
    </xdr:to>
    <xdr:graphicFrame macro="">
      <xdr:nvGraphicFramePr>
        <xdr:cNvPr id="8" name="Graphique 7">
          <a:extLst>
            <a:ext uri="{FF2B5EF4-FFF2-40B4-BE49-F238E27FC236}">
              <a16:creationId xmlns:a16="http://schemas.microsoft.com/office/drawing/2014/main" id="{D32B5322-72E7-BF3A-4895-8F2E6E902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DE58D-DD50-4200-AF9A-14968FF474C9}" name="Tableau1" displayName="Tableau1" ref="B15:J37" totalsRowShown="0" headerRowDxfId="15" dataDxfId="14" tableBorderDxfId="13">
  <autoFilter ref="B15:J37" xr:uid="{3D0DE58D-DD50-4200-AF9A-14968FF474C9}"/>
  <sortState xmlns:xlrd2="http://schemas.microsoft.com/office/spreadsheetml/2017/richdata2" ref="B16:J37">
    <sortCondition ref="C15:C37"/>
  </sortState>
  <tableColumns count="9">
    <tableColumn id="1" xr3:uid="{AFC7D312-10F5-46DE-A157-9419FBA716DF}" name="Sous Besoin" dataDxfId="12"/>
    <tableColumn id="2" xr3:uid="{51E9F96B-B861-4994-B943-52C35F6D1515}" name="IDX Sous Besoin" dataDxfId="11"/>
    <tableColumn id="3" xr3:uid="{9824FA84-2A98-47A5-83E2-A2DCB5575D25}" name="Charge en Jours" dataDxfId="10">
      <calculatedColumnFormula>E16+F16+G16+H16</calculatedColumnFormula>
    </tableColumn>
    <tableColumn id="4" xr3:uid="{F9CBE1C6-791E-4DF3-B8AE-EB5AB62755C6}" name="Développeur Front-End" dataDxfId="9"/>
    <tableColumn id="5" xr3:uid="{E0B97CC5-E95D-412E-B3DD-1144A00AA1BF}" name="Développeur Back-End" dataDxfId="8"/>
    <tableColumn id="6" xr3:uid="{3BD5CC7B-77AA-48D1-A86A-0EDB46EDCBD7}" name="Data Scientist" dataDxfId="7"/>
    <tableColumn id="7" xr3:uid="{26181DDC-0E4A-4D3A-BEC8-022B674F441F}" name="Chef De Projet (IA Product Manager)" dataDxfId="6"/>
    <tableColumn id="9" xr3:uid="{EB5C9956-0E31-4A43-B420-92DB7A6904ED}" name="Pondération" dataDxfId="5"/>
    <tableColumn id="10" xr3:uid="{E584B239-EB4B-4D4B-8F02-87F32C235FE4}" name="Commentaires" dataDxfId="4">
      <calculatedColumnFormula>IF(Tableau1[[#This Row],[Pondération]]=100,"Must Have", IF(Tableau1[[#This Row],[Pondération]]=50, "Should Have", IF(Tableau1[[#This Row],[Pondération]]=20, "Could Have", IF(Tableau1[[#This Row],[Pondération]]=13, "Would Have", IF(Tableau1[[#This Row],[Pondération]]=8, "Won't Have", "Won't Have")))))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malt.fr/t/barometre-tarifs/expert-data"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mailto:contact@fashion-Insta.fr" TargetMode="External"/><Relationship Id="rId7" Type="http://schemas.openxmlformats.org/officeDocument/2006/relationships/comments" Target="../comments1.xml"/><Relationship Id="rId2" Type="http://schemas.openxmlformats.org/officeDocument/2006/relationships/hyperlink" Target="mailto:jim-parsons@fashion-insta.fr" TargetMode="External"/><Relationship Id="rId1" Type="http://schemas.openxmlformats.org/officeDocument/2006/relationships/hyperlink" Target="mailto:contact@fashion-Insta.fr"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mailto:jim-parsons@fashion-insta.fr"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7E9FF-0C2C-4C95-B769-880170579D09}">
  <dimension ref="A3:P37"/>
  <sheetViews>
    <sheetView tabSelected="1" workbookViewId="0">
      <selection activeCell="D43" sqref="D43"/>
    </sheetView>
  </sheetViews>
  <sheetFormatPr baseColWidth="10" defaultColWidth="11.44140625" defaultRowHeight="13.2" x14ac:dyDescent="0.25"/>
  <cols>
    <col min="1" max="7" width="11.44140625" style="58"/>
    <col min="8" max="8" width="13.6640625" style="58" customWidth="1"/>
    <col min="9" max="16384" width="11.44140625" style="58"/>
  </cols>
  <sheetData>
    <row r="3" spans="1:16" ht="20.399999999999999" x14ac:dyDescent="0.35">
      <c r="A3" s="545" t="s">
        <v>893</v>
      </c>
      <c r="B3" s="545"/>
      <c r="C3" s="545"/>
      <c r="D3" s="545"/>
      <c r="E3" s="545"/>
      <c r="F3" s="545"/>
      <c r="G3" s="545"/>
      <c r="H3" s="545"/>
      <c r="I3" s="545"/>
      <c r="J3" s="545"/>
      <c r="K3" s="545"/>
      <c r="L3" s="545"/>
      <c r="M3" s="545"/>
      <c r="N3" s="545"/>
      <c r="O3" s="545"/>
      <c r="P3" s="545"/>
    </row>
    <row r="5" spans="1:16" x14ac:dyDescent="0.25">
      <c r="B5" s="57" t="s">
        <v>543</v>
      </c>
    </row>
    <row r="6" spans="1:16" ht="13.8" thickBot="1" x14ac:dyDescent="0.3">
      <c r="C6" s="57"/>
    </row>
    <row r="7" spans="1:16" ht="13.8" thickBot="1" x14ac:dyDescent="0.3">
      <c r="B7" s="538" t="s">
        <v>550</v>
      </c>
      <c r="C7" s="546" t="s">
        <v>547</v>
      </c>
      <c r="D7" s="546"/>
      <c r="E7" s="546"/>
      <c r="F7" s="546"/>
      <c r="G7" s="546"/>
      <c r="H7" s="547"/>
      <c r="I7" s="58" t="s">
        <v>536</v>
      </c>
    </row>
    <row r="8" spans="1:16" x14ac:dyDescent="0.25">
      <c r="B8" s="191" t="s">
        <v>548</v>
      </c>
      <c r="C8" s="548" t="s">
        <v>544</v>
      </c>
      <c r="D8" s="548"/>
      <c r="E8" s="548"/>
      <c r="F8" s="548"/>
      <c r="G8" s="548"/>
      <c r="H8" s="548"/>
    </row>
    <row r="9" spans="1:16" x14ac:dyDescent="0.25">
      <c r="B9" s="159" t="s">
        <v>549</v>
      </c>
      <c r="C9" s="549" t="s">
        <v>545</v>
      </c>
      <c r="D9" s="549"/>
      <c r="E9" s="549"/>
      <c r="F9" s="549"/>
      <c r="G9" s="549"/>
      <c r="H9" s="549"/>
    </row>
    <row r="10" spans="1:16" x14ac:dyDescent="0.25">
      <c r="B10" s="159" t="s">
        <v>619</v>
      </c>
      <c r="C10" s="550" t="s">
        <v>546</v>
      </c>
      <c r="D10" s="550"/>
      <c r="E10" s="550"/>
      <c r="F10" s="550"/>
      <c r="G10" s="550"/>
      <c r="H10" s="550"/>
      <c r="I10" s="58" t="s">
        <v>664</v>
      </c>
    </row>
    <row r="13" spans="1:16" ht="20.399999999999999" x14ac:dyDescent="0.35">
      <c r="A13" s="545" t="s">
        <v>894</v>
      </c>
      <c r="B13" s="545"/>
      <c r="C13" s="545"/>
      <c r="D13" s="545"/>
      <c r="E13" s="545"/>
      <c r="F13" s="545"/>
      <c r="G13" s="545"/>
      <c r="H13" s="545"/>
      <c r="I13" s="545"/>
      <c r="J13" s="545"/>
      <c r="K13" s="545"/>
      <c r="L13" s="545"/>
      <c r="M13" s="545"/>
      <c r="N13" s="545"/>
      <c r="O13" s="545"/>
      <c r="P13" s="545"/>
    </row>
    <row r="15" spans="1:16" x14ac:dyDescent="0.25">
      <c r="B15" s="541" t="s">
        <v>895</v>
      </c>
    </row>
    <row r="16" spans="1:16" x14ac:dyDescent="0.25">
      <c r="B16" s="540" t="s">
        <v>896</v>
      </c>
    </row>
    <row r="17" spans="2:2" x14ac:dyDescent="0.25">
      <c r="B17" s="540"/>
    </row>
    <row r="18" spans="2:2" x14ac:dyDescent="0.25">
      <c r="B18" s="541" t="s">
        <v>897</v>
      </c>
    </row>
    <row r="19" spans="2:2" x14ac:dyDescent="0.25">
      <c r="B19" s="540" t="s">
        <v>898</v>
      </c>
    </row>
    <row r="20" spans="2:2" x14ac:dyDescent="0.25">
      <c r="B20" s="540" t="s">
        <v>899</v>
      </c>
    </row>
    <row r="21" spans="2:2" x14ac:dyDescent="0.25">
      <c r="B21" s="540" t="s">
        <v>900</v>
      </c>
    </row>
    <row r="22" spans="2:2" x14ac:dyDescent="0.25">
      <c r="B22" s="540" t="s">
        <v>901</v>
      </c>
    </row>
    <row r="23" spans="2:2" x14ac:dyDescent="0.25">
      <c r="B23" s="540"/>
    </row>
    <row r="24" spans="2:2" x14ac:dyDescent="0.25">
      <c r="B24" s="541" t="s">
        <v>902</v>
      </c>
    </row>
    <row r="25" spans="2:2" x14ac:dyDescent="0.25">
      <c r="B25" s="540" t="s">
        <v>903</v>
      </c>
    </row>
    <row r="26" spans="2:2" x14ac:dyDescent="0.25">
      <c r="B26" s="539" t="s">
        <v>904</v>
      </c>
    </row>
    <row r="27" spans="2:2" x14ac:dyDescent="0.25">
      <c r="B27" s="539" t="s">
        <v>905</v>
      </c>
    </row>
    <row r="28" spans="2:2" x14ac:dyDescent="0.25">
      <c r="B28" s="539" t="s">
        <v>907</v>
      </c>
    </row>
    <row r="29" spans="2:2" x14ac:dyDescent="0.25">
      <c r="B29" s="539" t="s">
        <v>906</v>
      </c>
    </row>
    <row r="30" spans="2:2" x14ac:dyDescent="0.25">
      <c r="B30" s="540"/>
    </row>
    <row r="31" spans="2:2" x14ac:dyDescent="0.25">
      <c r="B31" s="541" t="s">
        <v>908</v>
      </c>
    </row>
    <row r="32" spans="2:2" x14ac:dyDescent="0.25">
      <c r="B32" s="539" t="s">
        <v>909</v>
      </c>
    </row>
    <row r="33" spans="2:2" x14ac:dyDescent="0.25">
      <c r="B33" s="539" t="s">
        <v>910</v>
      </c>
    </row>
    <row r="34" spans="2:2" x14ac:dyDescent="0.25">
      <c r="B34" s="539" t="s">
        <v>911</v>
      </c>
    </row>
    <row r="35" spans="2:2" x14ac:dyDescent="0.25">
      <c r="B35" s="539"/>
    </row>
    <row r="36" spans="2:2" x14ac:dyDescent="0.25">
      <c r="B36" s="541" t="s">
        <v>912</v>
      </c>
    </row>
    <row r="37" spans="2:2" x14ac:dyDescent="0.25">
      <c r="B37" s="540" t="s">
        <v>913</v>
      </c>
    </row>
  </sheetData>
  <mergeCells count="6">
    <mergeCell ref="A3:P3"/>
    <mergeCell ref="A13:P13"/>
    <mergeCell ref="C7:H7"/>
    <mergeCell ref="C8:H8"/>
    <mergeCell ref="C9:H9"/>
    <mergeCell ref="C10:H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7F6A6-8C7D-48E2-9EF2-5C372FBE00C0}">
  <sheetPr>
    <tabColor theme="1"/>
  </sheetPr>
  <dimension ref="A14:B62"/>
  <sheetViews>
    <sheetView workbookViewId="0">
      <selection activeCell="N52" sqref="N52"/>
    </sheetView>
  </sheetViews>
  <sheetFormatPr baseColWidth="10" defaultColWidth="11.44140625" defaultRowHeight="13.2" x14ac:dyDescent="0.25"/>
  <cols>
    <col min="1" max="1" width="11.44140625" style="58"/>
    <col min="2" max="2" width="14.6640625" style="58" customWidth="1"/>
    <col min="3" max="16384" width="11.44140625" style="58"/>
  </cols>
  <sheetData>
    <row r="14" spans="1:2" x14ac:dyDescent="0.25">
      <c r="A14" s="57"/>
      <c r="B14" s="57"/>
    </row>
    <row r="15" spans="1:2" x14ac:dyDescent="0.25">
      <c r="A15" s="57"/>
      <c r="B15" s="57"/>
    </row>
    <row r="16" spans="1:2" x14ac:dyDescent="0.25">
      <c r="A16" s="57"/>
      <c r="B16" s="57"/>
    </row>
    <row r="17" spans="1:2" x14ac:dyDescent="0.25">
      <c r="A17" s="57"/>
      <c r="B17" s="57"/>
    </row>
    <row r="18" spans="1:2" x14ac:dyDescent="0.25">
      <c r="A18" s="57"/>
      <c r="B18" s="57"/>
    </row>
    <row r="19" spans="1:2" x14ac:dyDescent="0.25">
      <c r="A19" s="59" t="s">
        <v>64</v>
      </c>
      <c r="B19" s="59" t="s">
        <v>65</v>
      </c>
    </row>
    <row r="20" spans="1:2" x14ac:dyDescent="0.25">
      <c r="A20" s="59" t="s">
        <v>57</v>
      </c>
      <c r="B20" s="59" t="s">
        <v>62</v>
      </c>
    </row>
    <row r="21" spans="1:2" x14ac:dyDescent="0.25">
      <c r="A21" s="59"/>
      <c r="B21" s="59"/>
    </row>
    <row r="22" spans="1:2" x14ac:dyDescent="0.25">
      <c r="A22" s="59" t="s">
        <v>58</v>
      </c>
      <c r="B22" s="59"/>
    </row>
    <row r="23" spans="1:2" x14ac:dyDescent="0.25">
      <c r="A23" s="59"/>
      <c r="B23" s="59"/>
    </row>
    <row r="24" spans="1:2" x14ac:dyDescent="0.25">
      <c r="A24" s="59"/>
      <c r="B24" s="59" t="s">
        <v>59</v>
      </c>
    </row>
    <row r="25" spans="1:2" x14ac:dyDescent="0.25">
      <c r="A25" s="59"/>
      <c r="B25" s="59"/>
    </row>
    <row r="26" spans="1:2" x14ac:dyDescent="0.25">
      <c r="A26" s="59"/>
      <c r="B26" s="59"/>
    </row>
    <row r="27" spans="1:2" x14ac:dyDescent="0.25">
      <c r="A27" s="59"/>
      <c r="B27" s="59" t="s">
        <v>60</v>
      </c>
    </row>
    <row r="28" spans="1:2" x14ac:dyDescent="0.25">
      <c r="A28" s="59"/>
      <c r="B28" s="59"/>
    </row>
    <row r="29" spans="1:2" x14ac:dyDescent="0.25">
      <c r="A29" s="59"/>
      <c r="B29" s="59" t="s">
        <v>66</v>
      </c>
    </row>
    <row r="30" spans="1:2" x14ac:dyDescent="0.25">
      <c r="A30" s="59"/>
      <c r="B30" s="59"/>
    </row>
    <row r="31" spans="1:2" x14ac:dyDescent="0.25">
      <c r="A31" s="59"/>
      <c r="B31" s="59" t="s">
        <v>67</v>
      </c>
    </row>
    <row r="32" spans="1:2" x14ac:dyDescent="0.25">
      <c r="A32" s="59"/>
      <c r="B32" s="59"/>
    </row>
    <row r="33" spans="1:2" x14ac:dyDescent="0.25">
      <c r="A33" s="59"/>
      <c r="B33" s="59"/>
    </row>
    <row r="34" spans="1:2" x14ac:dyDescent="0.25">
      <c r="A34" s="59" t="s">
        <v>68</v>
      </c>
      <c r="B34" s="59"/>
    </row>
    <row r="35" spans="1:2" x14ac:dyDescent="0.25">
      <c r="A35" s="59"/>
      <c r="B35" s="59"/>
    </row>
    <row r="36" spans="1:2" x14ac:dyDescent="0.25">
      <c r="A36" s="59"/>
      <c r="B36" s="59" t="s">
        <v>72</v>
      </c>
    </row>
    <row r="37" spans="1:2" x14ac:dyDescent="0.25">
      <c r="A37" s="59"/>
      <c r="B37" s="59"/>
    </row>
    <row r="38" spans="1:2" x14ac:dyDescent="0.25">
      <c r="A38" s="59"/>
      <c r="B38" s="59" t="s">
        <v>71</v>
      </c>
    </row>
    <row r="39" spans="1:2" x14ac:dyDescent="0.25">
      <c r="A39" s="59"/>
      <c r="B39" s="59"/>
    </row>
    <row r="40" spans="1:2" x14ac:dyDescent="0.25">
      <c r="A40" s="59"/>
      <c r="B40" s="59" t="s">
        <v>70</v>
      </c>
    </row>
    <row r="41" spans="1:2" x14ac:dyDescent="0.25">
      <c r="A41" s="59"/>
      <c r="B41" s="59"/>
    </row>
    <row r="42" spans="1:2" x14ac:dyDescent="0.25">
      <c r="A42" s="59"/>
      <c r="B42" s="59" t="s">
        <v>69</v>
      </c>
    </row>
    <row r="43" spans="1:2" x14ac:dyDescent="0.25">
      <c r="A43" s="59"/>
      <c r="B43" s="59"/>
    </row>
    <row r="44" spans="1:2" x14ac:dyDescent="0.25">
      <c r="A44" s="59"/>
      <c r="B44" s="59"/>
    </row>
    <row r="45" spans="1:2" x14ac:dyDescent="0.25">
      <c r="A45" s="59" t="s">
        <v>73</v>
      </c>
      <c r="B45" s="59" t="s">
        <v>74</v>
      </c>
    </row>
    <row r="46" spans="1:2" x14ac:dyDescent="0.25">
      <c r="A46" s="59"/>
      <c r="B46" s="59"/>
    </row>
    <row r="47" spans="1:2" x14ac:dyDescent="0.25">
      <c r="A47" s="59"/>
      <c r="B47" s="59"/>
    </row>
    <row r="48" spans="1:2" x14ac:dyDescent="0.25">
      <c r="A48" s="59" t="s">
        <v>75</v>
      </c>
      <c r="B48" s="59" t="s">
        <v>76</v>
      </c>
    </row>
    <row r="49" spans="1:2" x14ac:dyDescent="0.25">
      <c r="A49" s="59"/>
      <c r="B49" s="59"/>
    </row>
    <row r="50" spans="1:2" x14ac:dyDescent="0.25">
      <c r="A50" s="59"/>
      <c r="B50" s="59"/>
    </row>
    <row r="51" spans="1:2" x14ac:dyDescent="0.25">
      <c r="A51" s="59"/>
      <c r="B51" s="59"/>
    </row>
    <row r="52" spans="1:2" x14ac:dyDescent="0.25">
      <c r="A52" s="59" t="s">
        <v>77</v>
      </c>
      <c r="B52" s="59"/>
    </row>
    <row r="53" spans="1:2" x14ac:dyDescent="0.25">
      <c r="A53" s="59"/>
      <c r="B53" s="59"/>
    </row>
    <row r="54" spans="1:2" x14ac:dyDescent="0.25">
      <c r="A54" s="59"/>
      <c r="B54" s="59" t="s">
        <v>78</v>
      </c>
    </row>
    <row r="55" spans="1:2" x14ac:dyDescent="0.25">
      <c r="A55" s="59"/>
      <c r="B55" s="59" t="s">
        <v>79</v>
      </c>
    </row>
    <row r="56" spans="1:2" x14ac:dyDescent="0.25">
      <c r="A56" s="59"/>
      <c r="B56" s="59" t="s">
        <v>80</v>
      </c>
    </row>
    <row r="57" spans="1:2" x14ac:dyDescent="0.25">
      <c r="A57" s="59"/>
      <c r="B57" s="59" t="s">
        <v>81</v>
      </c>
    </row>
    <row r="58" spans="1:2" x14ac:dyDescent="0.25">
      <c r="A58" s="59"/>
      <c r="B58" s="59"/>
    </row>
    <row r="59" spans="1:2" x14ac:dyDescent="0.25">
      <c r="A59" s="59"/>
      <c r="B59" s="59"/>
    </row>
    <row r="60" spans="1:2" x14ac:dyDescent="0.25">
      <c r="A60" s="60"/>
      <c r="B60" s="60"/>
    </row>
    <row r="62" spans="1:2" x14ac:dyDescent="0.25">
      <c r="B62" s="57" t="s">
        <v>620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outlinePr summaryBelow="0" summaryRight="0"/>
  </sheetPr>
  <dimension ref="A1:L100"/>
  <sheetViews>
    <sheetView zoomScale="85" zoomScaleNormal="85" workbookViewId="0">
      <selection activeCell="I69" sqref="I69:I73"/>
    </sheetView>
  </sheetViews>
  <sheetFormatPr baseColWidth="10" defaultColWidth="12.5546875" defaultRowHeight="13.2" x14ac:dyDescent="0.25"/>
  <cols>
    <col min="1" max="1" width="9.44140625" style="60" customWidth="1"/>
    <col min="2" max="2" width="20.6640625" style="60" customWidth="1"/>
    <col min="3" max="3" width="18.33203125" style="60" customWidth="1"/>
    <col min="4" max="4" width="35.5546875" style="60" customWidth="1"/>
    <col min="5" max="5" width="23" style="60" bestFit="1" customWidth="1"/>
    <col min="6" max="7" width="43.44140625" style="60" customWidth="1"/>
    <col min="8" max="8" width="30" style="60" customWidth="1"/>
    <col min="9" max="9" width="55.33203125" style="60" customWidth="1"/>
    <col min="10" max="29" width="14.44140625" style="60" customWidth="1"/>
    <col min="30" max="16384" width="12.5546875" style="60"/>
  </cols>
  <sheetData>
    <row r="1" spans="1:9" ht="13.8" thickBot="1" x14ac:dyDescent="0.3"/>
    <row r="2" spans="1:9" ht="23.4" thickBot="1" x14ac:dyDescent="0.45">
      <c r="A2" s="551" t="s">
        <v>745</v>
      </c>
      <c r="B2" s="552"/>
      <c r="C2" s="552"/>
      <c r="D2" s="552"/>
      <c r="E2" s="552"/>
      <c r="F2" s="552"/>
      <c r="G2" s="552"/>
      <c r="H2" s="552"/>
      <c r="I2" s="553"/>
    </row>
    <row r="4" spans="1:9" ht="15.6" x14ac:dyDescent="0.25">
      <c r="B4" s="362" t="s">
        <v>847</v>
      </c>
    </row>
    <row r="5" spans="1:9" ht="15.6" x14ac:dyDescent="0.25">
      <c r="B5" s="363" t="s">
        <v>746</v>
      </c>
    </row>
    <row r="6" spans="1:9" ht="15.6" x14ac:dyDescent="0.25">
      <c r="B6" s="363"/>
    </row>
    <row r="7" spans="1:9" ht="15.6" x14ac:dyDescent="0.25">
      <c r="B7" s="364" t="s">
        <v>848</v>
      </c>
    </row>
    <row r="8" spans="1:9" ht="15.6" x14ac:dyDescent="0.25">
      <c r="B8" s="364" t="s">
        <v>849</v>
      </c>
    </row>
    <row r="9" spans="1:9" ht="15.6" x14ac:dyDescent="0.25">
      <c r="B9" s="364" t="s">
        <v>850</v>
      </c>
    </row>
    <row r="10" spans="1:9" ht="15.6" x14ac:dyDescent="0.25">
      <c r="B10" s="364" t="s">
        <v>851</v>
      </c>
    </row>
    <row r="11" spans="1:9" ht="15.6" x14ac:dyDescent="0.25">
      <c r="B11" s="364" t="s">
        <v>852</v>
      </c>
    </row>
    <row r="12" spans="1:9" ht="15.6" x14ac:dyDescent="0.25">
      <c r="B12" s="364" t="s">
        <v>853</v>
      </c>
    </row>
    <row r="13" spans="1:9" ht="15.6" x14ac:dyDescent="0.25">
      <c r="B13" s="365"/>
    </row>
    <row r="14" spans="1:9" ht="15.6" x14ac:dyDescent="0.25">
      <c r="B14" s="366" t="s">
        <v>919</v>
      </c>
    </row>
    <row r="18" spans="1:9" ht="13.8" thickBot="1" x14ac:dyDescent="0.3"/>
    <row r="19" spans="1:9" ht="23.4" thickBot="1" x14ac:dyDescent="0.45">
      <c r="A19" s="551" t="s">
        <v>867</v>
      </c>
      <c r="B19" s="552"/>
      <c r="C19" s="552"/>
      <c r="D19" s="552"/>
      <c r="E19" s="552"/>
      <c r="F19" s="552"/>
      <c r="G19" s="552"/>
      <c r="H19" s="552"/>
      <c r="I19" s="553"/>
    </row>
    <row r="21" spans="1:9" ht="12.75" customHeight="1" x14ac:dyDescent="0.25">
      <c r="B21" s="569" t="s">
        <v>325</v>
      </c>
      <c r="C21" s="569"/>
      <c r="D21" s="569"/>
      <c r="E21" s="569"/>
      <c r="F21" s="569"/>
      <c r="G21" s="569"/>
      <c r="H21" s="569"/>
    </row>
    <row r="22" spans="1:9" x14ac:dyDescent="0.25">
      <c r="B22" s="569"/>
      <c r="C22" s="569"/>
      <c r="D22" s="569"/>
      <c r="E22" s="569"/>
      <c r="F22" s="569"/>
      <c r="G22" s="569"/>
      <c r="H22" s="569"/>
    </row>
    <row r="23" spans="1:9" x14ac:dyDescent="0.25">
      <c r="B23" s="569"/>
      <c r="C23" s="569"/>
      <c r="D23" s="569"/>
      <c r="E23" s="569"/>
      <c r="F23" s="569"/>
      <c r="G23" s="569"/>
      <c r="H23" s="569"/>
    </row>
    <row r="24" spans="1:9" x14ac:dyDescent="0.25">
      <c r="B24" s="569"/>
      <c r="C24" s="569"/>
      <c r="D24" s="569"/>
      <c r="E24" s="569"/>
      <c r="F24" s="569"/>
      <c r="G24" s="569"/>
      <c r="H24" s="569"/>
    </row>
    <row r="25" spans="1:9" x14ac:dyDescent="0.25">
      <c r="B25" s="569"/>
      <c r="C25" s="569"/>
      <c r="D25" s="569"/>
      <c r="E25" s="569"/>
      <c r="F25" s="569"/>
      <c r="G25" s="569"/>
      <c r="H25" s="569"/>
    </row>
    <row r="26" spans="1:9" x14ac:dyDescent="0.25">
      <c r="B26" s="569"/>
      <c r="C26" s="569"/>
      <c r="D26" s="569"/>
      <c r="E26" s="569"/>
      <c r="F26" s="569"/>
      <c r="G26" s="569"/>
      <c r="H26" s="569"/>
    </row>
    <row r="27" spans="1:9" x14ac:dyDescent="0.25">
      <c r="B27" s="569"/>
      <c r="C27" s="569"/>
      <c r="D27" s="569"/>
      <c r="E27" s="569"/>
      <c r="F27" s="569"/>
      <c r="G27" s="569"/>
      <c r="H27" s="569"/>
    </row>
    <row r="28" spans="1:9" x14ac:dyDescent="0.25">
      <c r="B28" s="569"/>
      <c r="C28" s="569"/>
      <c r="D28" s="569"/>
      <c r="E28" s="569"/>
      <c r="F28" s="569"/>
      <c r="G28" s="569"/>
      <c r="H28" s="569"/>
    </row>
    <row r="30" spans="1:9" ht="18" x14ac:dyDescent="0.25">
      <c r="B30" s="312" t="s">
        <v>742</v>
      </c>
    </row>
    <row r="32" spans="1:9" x14ac:dyDescent="0.25">
      <c r="B32" s="58"/>
    </row>
    <row r="55" spans="2:5" ht="18" x14ac:dyDescent="0.25">
      <c r="B55" s="312" t="s">
        <v>743</v>
      </c>
    </row>
    <row r="56" spans="2:5" ht="13.8" thickBot="1" x14ac:dyDescent="0.3"/>
    <row r="57" spans="2:5" ht="13.8" thickBot="1" x14ac:dyDescent="0.3">
      <c r="B57" s="84" t="s">
        <v>238</v>
      </c>
      <c r="C57" s="85" t="s">
        <v>529</v>
      </c>
      <c r="D57" s="86" t="s">
        <v>536</v>
      </c>
    </row>
    <row r="58" spans="2:5" x14ac:dyDescent="0.25">
      <c r="B58" s="179" t="s">
        <v>530</v>
      </c>
      <c r="C58" s="226">
        <v>100</v>
      </c>
      <c r="D58" s="219"/>
    </row>
    <row r="59" spans="2:5" x14ac:dyDescent="0.25">
      <c r="B59" s="139" t="s">
        <v>531</v>
      </c>
      <c r="C59" s="90">
        <v>50</v>
      </c>
      <c r="D59" s="111"/>
    </row>
    <row r="60" spans="2:5" x14ac:dyDescent="0.25">
      <c r="B60" s="139" t="s">
        <v>532</v>
      </c>
      <c r="C60" s="90">
        <v>20</v>
      </c>
      <c r="D60" s="111"/>
    </row>
    <row r="61" spans="2:5" x14ac:dyDescent="0.25">
      <c r="B61" s="139" t="s">
        <v>533</v>
      </c>
      <c r="C61" s="90">
        <v>13</v>
      </c>
      <c r="D61" s="111"/>
    </row>
    <row r="62" spans="2:5" ht="67.5" customHeight="1" thickBot="1" x14ac:dyDescent="0.3">
      <c r="B62" s="82" t="s">
        <v>534</v>
      </c>
      <c r="C62" s="92" t="s">
        <v>535</v>
      </c>
      <c r="D62" s="287" t="s">
        <v>537</v>
      </c>
      <c r="E62" s="61" t="s">
        <v>744</v>
      </c>
    </row>
    <row r="64" spans="2:5" ht="13.8" thickBot="1" x14ac:dyDescent="0.3"/>
    <row r="65" spans="1:12" ht="23.4" thickBot="1" x14ac:dyDescent="0.45">
      <c r="A65" s="551" t="s">
        <v>868</v>
      </c>
      <c r="B65" s="552"/>
      <c r="C65" s="552"/>
      <c r="D65" s="552"/>
      <c r="E65" s="552"/>
      <c r="F65" s="552"/>
      <c r="G65" s="552"/>
      <c r="H65" s="552"/>
      <c r="I65" s="553"/>
    </row>
    <row r="66" spans="1:12" ht="13.8" thickBot="1" x14ac:dyDescent="0.3"/>
    <row r="67" spans="1:12" ht="31.8" thickBot="1" x14ac:dyDescent="0.3">
      <c r="A67" s="383" t="s">
        <v>123</v>
      </c>
      <c r="B67" s="383" t="s">
        <v>52</v>
      </c>
      <c r="C67" s="384" t="s">
        <v>122</v>
      </c>
      <c r="D67" s="384" t="s">
        <v>56</v>
      </c>
      <c r="E67" s="384" t="s">
        <v>0</v>
      </c>
      <c r="F67" s="384" t="s">
        <v>1</v>
      </c>
      <c r="G67" s="384" t="s">
        <v>2</v>
      </c>
      <c r="H67" s="384" t="s">
        <v>3</v>
      </c>
      <c r="I67" s="385" t="s">
        <v>4</v>
      </c>
    </row>
    <row r="68" spans="1:12" ht="40.200000000000003" thickBot="1" x14ac:dyDescent="0.3">
      <c r="A68" s="2" t="s">
        <v>124</v>
      </c>
      <c r="B68" s="3" t="s">
        <v>128</v>
      </c>
      <c r="C68" s="4" t="s">
        <v>62</v>
      </c>
      <c r="D68" s="5" t="s">
        <v>5</v>
      </c>
      <c r="E68" s="6" t="s">
        <v>6</v>
      </c>
      <c r="F68" s="6" t="s">
        <v>7</v>
      </c>
      <c r="G68" s="6" t="s">
        <v>8</v>
      </c>
      <c r="H68" s="7">
        <v>13</v>
      </c>
      <c r="I68" s="8" t="s">
        <v>9</v>
      </c>
    </row>
    <row r="69" spans="1:12" ht="26.4" x14ac:dyDescent="0.25">
      <c r="A69" s="560" t="s">
        <v>125</v>
      </c>
      <c r="B69" s="557" t="s">
        <v>129</v>
      </c>
      <c r="C69" s="11" t="s">
        <v>61</v>
      </c>
      <c r="D69" s="10" t="s">
        <v>53</v>
      </c>
      <c r="E69" s="12" t="s">
        <v>10</v>
      </c>
      <c r="F69" s="12" t="s">
        <v>54</v>
      </c>
      <c r="G69" s="12" t="s">
        <v>11</v>
      </c>
      <c r="H69" s="12">
        <v>13</v>
      </c>
      <c r="I69" s="375" t="s">
        <v>55</v>
      </c>
    </row>
    <row r="70" spans="1:12" ht="26.4" x14ac:dyDescent="0.25">
      <c r="A70" s="561"/>
      <c r="B70" s="558"/>
      <c r="C70" s="15" t="s">
        <v>63</v>
      </c>
      <c r="D70" s="14" t="s">
        <v>44</v>
      </c>
      <c r="E70" s="16" t="s">
        <v>10</v>
      </c>
      <c r="F70" s="16" t="s">
        <v>45</v>
      </c>
      <c r="G70" s="16" t="s">
        <v>46</v>
      </c>
      <c r="H70" s="16">
        <v>13</v>
      </c>
      <c r="I70" s="17" t="s">
        <v>214</v>
      </c>
    </row>
    <row r="71" spans="1:12" ht="39.6" x14ac:dyDescent="0.25">
      <c r="A71" s="561"/>
      <c r="B71" s="558"/>
      <c r="C71" s="15" t="s">
        <v>60</v>
      </c>
      <c r="D71" s="14" t="s">
        <v>47</v>
      </c>
      <c r="E71" s="16" t="s">
        <v>10</v>
      </c>
      <c r="F71" s="16" t="s">
        <v>12</v>
      </c>
      <c r="G71" s="16" t="s">
        <v>13</v>
      </c>
      <c r="H71" s="16">
        <v>100</v>
      </c>
      <c r="I71" s="17" t="s">
        <v>14</v>
      </c>
      <c r="J71" s="61"/>
      <c r="K71" s="61"/>
      <c r="L71" s="61"/>
    </row>
    <row r="72" spans="1:12" ht="39.6" x14ac:dyDescent="0.25">
      <c r="A72" s="561"/>
      <c r="B72" s="558"/>
      <c r="C72" s="15" t="s">
        <v>66</v>
      </c>
      <c r="D72" s="14" t="s">
        <v>48</v>
      </c>
      <c r="E72" s="16" t="s">
        <v>10</v>
      </c>
      <c r="F72" s="16" t="s">
        <v>15</v>
      </c>
      <c r="G72" s="16" t="s">
        <v>16</v>
      </c>
      <c r="H72" s="16">
        <v>100</v>
      </c>
      <c r="I72" s="17" t="s">
        <v>215</v>
      </c>
      <c r="J72" s="61"/>
      <c r="K72" s="61"/>
      <c r="L72" s="61"/>
    </row>
    <row r="73" spans="1:12" ht="40.200000000000003" thickBot="1" x14ac:dyDescent="0.3">
      <c r="A73" s="562"/>
      <c r="B73" s="559"/>
      <c r="C73" s="20" t="s">
        <v>67</v>
      </c>
      <c r="D73" s="19" t="s">
        <v>49</v>
      </c>
      <c r="E73" s="21" t="s">
        <v>10</v>
      </c>
      <c r="F73" s="21" t="s">
        <v>82</v>
      </c>
      <c r="G73" s="21" t="s">
        <v>50</v>
      </c>
      <c r="H73" s="21">
        <v>20</v>
      </c>
      <c r="I73" s="376" t="s">
        <v>51</v>
      </c>
      <c r="J73" s="61"/>
      <c r="K73" s="61"/>
      <c r="L73" s="61"/>
    </row>
    <row r="74" spans="1:12" ht="39.75" customHeight="1" x14ac:dyDescent="0.25">
      <c r="A74" s="563" t="s">
        <v>126</v>
      </c>
      <c r="B74" s="570" t="s">
        <v>130</v>
      </c>
      <c r="C74" s="24" t="s">
        <v>72</v>
      </c>
      <c r="D74" s="25" t="s">
        <v>83</v>
      </c>
      <c r="E74" s="26" t="s">
        <v>10</v>
      </c>
      <c r="F74" s="26" t="s">
        <v>17</v>
      </c>
      <c r="G74" s="26" t="s">
        <v>18</v>
      </c>
      <c r="H74" s="27">
        <v>13</v>
      </c>
      <c r="I74" s="28" t="s">
        <v>19</v>
      </c>
      <c r="J74" s="61"/>
      <c r="K74" s="61"/>
      <c r="L74" s="61"/>
    </row>
    <row r="75" spans="1:12" ht="39.6" x14ac:dyDescent="0.25">
      <c r="A75" s="564"/>
      <c r="B75" s="571"/>
      <c r="C75" s="31" t="s">
        <v>71</v>
      </c>
      <c r="D75" s="32" t="s">
        <v>20</v>
      </c>
      <c r="E75" s="33" t="s">
        <v>10</v>
      </c>
      <c r="F75" s="33" t="s">
        <v>84</v>
      </c>
      <c r="G75" s="33" t="s">
        <v>21</v>
      </c>
      <c r="H75" s="34">
        <v>13</v>
      </c>
      <c r="I75" s="35" t="s">
        <v>22</v>
      </c>
      <c r="J75" s="61"/>
      <c r="K75" s="61"/>
      <c r="L75" s="61"/>
    </row>
    <row r="76" spans="1:12" ht="26.4" x14ac:dyDescent="0.25">
      <c r="A76" s="564"/>
      <c r="B76" s="571"/>
      <c r="C76" s="31" t="s">
        <v>70</v>
      </c>
      <c r="D76" s="32" t="s">
        <v>23</v>
      </c>
      <c r="E76" s="33" t="s">
        <v>10</v>
      </c>
      <c r="F76" s="33" t="s">
        <v>24</v>
      </c>
      <c r="G76" s="33" t="s">
        <v>25</v>
      </c>
      <c r="H76" s="34">
        <v>13</v>
      </c>
      <c r="I76" s="35" t="s">
        <v>26</v>
      </c>
      <c r="J76" s="61"/>
      <c r="K76" s="61"/>
      <c r="L76" s="61"/>
    </row>
    <row r="77" spans="1:12" ht="53.4" thickBot="1" x14ac:dyDescent="0.3">
      <c r="A77" s="565"/>
      <c r="B77" s="572"/>
      <c r="C77" s="37" t="s">
        <v>69</v>
      </c>
      <c r="D77" s="38" t="s">
        <v>27</v>
      </c>
      <c r="E77" s="39" t="s">
        <v>10</v>
      </c>
      <c r="F77" s="39" t="s">
        <v>28</v>
      </c>
      <c r="G77" s="39" t="s">
        <v>29</v>
      </c>
      <c r="H77" s="40">
        <v>100</v>
      </c>
      <c r="I77" s="41" t="s">
        <v>216</v>
      </c>
      <c r="J77" s="61"/>
      <c r="K77" s="61"/>
      <c r="L77" s="61"/>
    </row>
    <row r="78" spans="1:12" ht="27" thickBot="1" x14ac:dyDescent="0.3">
      <c r="A78" s="42" t="s">
        <v>127</v>
      </c>
      <c r="B78" s="43" t="s">
        <v>131</v>
      </c>
      <c r="C78" s="43" t="s">
        <v>74</v>
      </c>
      <c r="D78" s="43" t="s">
        <v>85</v>
      </c>
      <c r="E78" s="44" t="s">
        <v>10</v>
      </c>
      <c r="F78" s="44" t="s">
        <v>86</v>
      </c>
      <c r="G78" s="44" t="s">
        <v>30</v>
      </c>
      <c r="H78" s="44">
        <v>13</v>
      </c>
      <c r="I78" s="45" t="s">
        <v>217</v>
      </c>
      <c r="J78" s="61"/>
      <c r="K78" s="61"/>
      <c r="L78" s="61"/>
    </row>
    <row r="79" spans="1:12" ht="26.4" x14ac:dyDescent="0.25">
      <c r="A79" s="566" t="s">
        <v>75</v>
      </c>
      <c r="B79" s="554" t="s">
        <v>132</v>
      </c>
      <c r="C79" s="24" t="s">
        <v>76</v>
      </c>
      <c r="D79" s="23" t="s">
        <v>31</v>
      </c>
      <c r="E79" s="46" t="s">
        <v>10</v>
      </c>
      <c r="F79" s="46" t="s">
        <v>32</v>
      </c>
      <c r="G79" s="46" t="s">
        <v>33</v>
      </c>
      <c r="H79" s="46">
        <v>13</v>
      </c>
      <c r="I79" s="377" t="s">
        <v>34</v>
      </c>
      <c r="J79" s="61"/>
      <c r="K79" s="61"/>
      <c r="L79" s="61"/>
    </row>
    <row r="80" spans="1:12" ht="26.4" x14ac:dyDescent="0.25">
      <c r="A80" s="567"/>
      <c r="B80" s="555"/>
      <c r="C80" s="31" t="s">
        <v>96</v>
      </c>
      <c r="D80" s="30" t="s">
        <v>87</v>
      </c>
      <c r="E80" s="48" t="s">
        <v>10</v>
      </c>
      <c r="F80" s="48" t="s">
        <v>88</v>
      </c>
      <c r="G80" s="48" t="s">
        <v>89</v>
      </c>
      <c r="H80" s="48">
        <v>13</v>
      </c>
      <c r="I80" s="378" t="s">
        <v>90</v>
      </c>
      <c r="J80" s="61"/>
      <c r="K80" s="61"/>
      <c r="L80" s="61"/>
    </row>
    <row r="81" spans="1:12" ht="26.4" x14ac:dyDescent="0.25">
      <c r="A81" s="567"/>
      <c r="B81" s="555"/>
      <c r="C81" s="31" t="s">
        <v>97</v>
      </c>
      <c r="D81" s="30" t="s">
        <v>91</v>
      </c>
      <c r="E81" s="48" t="s">
        <v>10</v>
      </c>
      <c r="F81" s="48" t="s">
        <v>35</v>
      </c>
      <c r="G81" s="48" t="s">
        <v>36</v>
      </c>
      <c r="H81" s="48">
        <v>13</v>
      </c>
      <c r="I81" s="50" t="s">
        <v>218</v>
      </c>
      <c r="J81" s="61"/>
      <c r="K81" s="61"/>
      <c r="L81" s="61"/>
    </row>
    <row r="82" spans="1:12" ht="26.4" x14ac:dyDescent="0.25">
      <c r="A82" s="567"/>
      <c r="B82" s="555"/>
      <c r="C82" s="31" t="s">
        <v>98</v>
      </c>
      <c r="D82" s="30" t="s">
        <v>37</v>
      </c>
      <c r="E82" s="48" t="s">
        <v>10</v>
      </c>
      <c r="F82" s="48" t="s">
        <v>38</v>
      </c>
      <c r="G82" s="48" t="s">
        <v>39</v>
      </c>
      <c r="H82" s="48">
        <v>50</v>
      </c>
      <c r="I82" s="378" t="s">
        <v>40</v>
      </c>
      <c r="J82" s="61"/>
      <c r="K82" s="61"/>
      <c r="L82" s="61"/>
    </row>
    <row r="83" spans="1:12" ht="27" thickBot="1" x14ac:dyDescent="0.3">
      <c r="A83" s="568"/>
      <c r="B83" s="556"/>
      <c r="C83" s="37" t="s">
        <v>99</v>
      </c>
      <c r="D83" s="36" t="s">
        <v>92</v>
      </c>
      <c r="E83" s="51" t="s">
        <v>10</v>
      </c>
      <c r="F83" s="51" t="s">
        <v>93</v>
      </c>
      <c r="G83" s="51" t="s">
        <v>94</v>
      </c>
      <c r="H83" s="51">
        <v>13</v>
      </c>
      <c r="I83" s="379" t="s">
        <v>95</v>
      </c>
      <c r="J83" s="61"/>
      <c r="K83" s="61"/>
      <c r="L83" s="61"/>
    </row>
    <row r="84" spans="1:12" ht="26.4" x14ac:dyDescent="0.25">
      <c r="A84" s="560" t="s">
        <v>77</v>
      </c>
      <c r="B84" s="557" t="s">
        <v>133</v>
      </c>
      <c r="C84" s="11" t="s">
        <v>78</v>
      </c>
      <c r="D84" s="10" t="s">
        <v>100</v>
      </c>
      <c r="E84" s="12" t="s">
        <v>10</v>
      </c>
      <c r="F84" s="12" t="s">
        <v>41</v>
      </c>
      <c r="G84" s="12" t="s">
        <v>42</v>
      </c>
      <c r="H84" s="12">
        <v>13</v>
      </c>
      <c r="I84" s="380" t="s">
        <v>43</v>
      </c>
      <c r="J84" s="61"/>
      <c r="K84" s="61"/>
      <c r="L84" s="61"/>
    </row>
    <row r="85" spans="1:12" ht="39.6" x14ac:dyDescent="0.25">
      <c r="A85" s="561"/>
      <c r="B85" s="558"/>
      <c r="C85" s="15" t="s">
        <v>79</v>
      </c>
      <c r="D85" s="14" t="s">
        <v>101</v>
      </c>
      <c r="E85" s="16" t="s">
        <v>10</v>
      </c>
      <c r="F85" s="16" t="s">
        <v>102</v>
      </c>
      <c r="G85" s="16" t="s">
        <v>103</v>
      </c>
      <c r="H85" s="16">
        <v>20</v>
      </c>
      <c r="I85" s="54" t="s">
        <v>219</v>
      </c>
      <c r="J85" s="61"/>
      <c r="K85" s="61"/>
      <c r="L85" s="61"/>
    </row>
    <row r="86" spans="1:12" ht="26.4" x14ac:dyDescent="0.25">
      <c r="A86" s="561"/>
      <c r="B86" s="558"/>
      <c r="C86" s="15" t="s">
        <v>80</v>
      </c>
      <c r="D86" s="14" t="s">
        <v>104</v>
      </c>
      <c r="E86" s="16" t="s">
        <v>10</v>
      </c>
      <c r="F86" s="16" t="s">
        <v>105</v>
      </c>
      <c r="G86" s="16" t="s">
        <v>106</v>
      </c>
      <c r="H86" s="16">
        <v>13</v>
      </c>
      <c r="I86" s="381" t="s">
        <v>107</v>
      </c>
      <c r="J86" s="61"/>
      <c r="K86" s="61"/>
      <c r="L86" s="61"/>
    </row>
    <row r="87" spans="1:12" ht="26.4" x14ac:dyDescent="0.25">
      <c r="A87" s="561"/>
      <c r="B87" s="558"/>
      <c r="C87" s="15" t="s">
        <v>81</v>
      </c>
      <c r="D87" s="14" t="s">
        <v>108</v>
      </c>
      <c r="E87" s="16" t="s">
        <v>10</v>
      </c>
      <c r="F87" s="16" t="s">
        <v>109</v>
      </c>
      <c r="G87" s="16" t="s">
        <v>110</v>
      </c>
      <c r="H87" s="16">
        <v>20</v>
      </c>
      <c r="I87" s="381" t="s">
        <v>111</v>
      </c>
      <c r="J87" s="61"/>
      <c r="K87" s="61"/>
      <c r="L87" s="61"/>
    </row>
    <row r="88" spans="1:12" ht="26.4" x14ac:dyDescent="0.25">
      <c r="A88" s="561"/>
      <c r="B88" s="558"/>
      <c r="C88" s="15" t="s">
        <v>120</v>
      </c>
      <c r="D88" s="14" t="s">
        <v>112</v>
      </c>
      <c r="E88" s="16" t="s">
        <v>10</v>
      </c>
      <c r="F88" s="16" t="s">
        <v>113</v>
      </c>
      <c r="G88" s="16" t="s">
        <v>114</v>
      </c>
      <c r="H88" s="16">
        <v>13</v>
      </c>
      <c r="I88" s="381" t="s">
        <v>115</v>
      </c>
      <c r="J88" s="61"/>
      <c r="K88" s="61"/>
      <c r="L88" s="61"/>
    </row>
    <row r="89" spans="1:12" ht="40.200000000000003" thickBot="1" x14ac:dyDescent="0.3">
      <c r="A89" s="562"/>
      <c r="B89" s="559"/>
      <c r="C89" s="20" t="s">
        <v>121</v>
      </c>
      <c r="D89" s="19" t="s">
        <v>116</v>
      </c>
      <c r="E89" s="21" t="s">
        <v>10</v>
      </c>
      <c r="F89" s="21" t="s">
        <v>117</v>
      </c>
      <c r="G89" s="21" t="s">
        <v>118</v>
      </c>
      <c r="H89" s="21">
        <v>13</v>
      </c>
      <c r="I89" s="382" t="s">
        <v>119</v>
      </c>
      <c r="J89" s="61"/>
      <c r="K89" s="61"/>
      <c r="L89" s="61"/>
    </row>
    <row r="90" spans="1:12" x14ac:dyDescent="0.25">
      <c r="D90" s="309"/>
      <c r="E90" s="310"/>
      <c r="F90" s="310"/>
      <c r="G90" s="310"/>
      <c r="H90" s="311"/>
      <c r="I90" s="310"/>
      <c r="J90" s="61"/>
      <c r="K90" s="61"/>
      <c r="L90" s="61"/>
    </row>
    <row r="91" spans="1:12" x14ac:dyDescent="0.25">
      <c r="D91" s="309"/>
      <c r="E91" s="310"/>
      <c r="F91" s="310"/>
      <c r="G91" s="310"/>
      <c r="H91" s="311"/>
      <c r="I91" s="310"/>
      <c r="J91" s="61"/>
      <c r="K91" s="61"/>
      <c r="L91" s="61"/>
    </row>
    <row r="92" spans="1:12" x14ac:dyDescent="0.25">
      <c r="D92" s="309"/>
      <c r="E92" s="310"/>
      <c r="F92" s="310"/>
      <c r="G92" s="310"/>
      <c r="H92" s="311"/>
      <c r="I92" s="310"/>
      <c r="J92" s="61"/>
      <c r="K92" s="61"/>
      <c r="L92" s="61"/>
    </row>
    <row r="93" spans="1:12" x14ac:dyDescent="0.25">
      <c r="D93" s="309"/>
      <c r="E93" s="310"/>
      <c r="F93" s="310"/>
      <c r="G93" s="310"/>
      <c r="H93" s="311"/>
      <c r="I93" s="310"/>
      <c r="J93" s="61"/>
      <c r="K93" s="61"/>
      <c r="L93" s="61"/>
    </row>
    <row r="94" spans="1:12" x14ac:dyDescent="0.25">
      <c r="D94" s="309"/>
      <c r="E94" s="310"/>
      <c r="F94" s="310"/>
      <c r="G94" s="310"/>
      <c r="H94" s="311"/>
      <c r="I94" s="310"/>
      <c r="J94" s="61"/>
      <c r="K94" s="61"/>
      <c r="L94" s="61"/>
    </row>
    <row r="95" spans="1:12" x14ac:dyDescent="0.25">
      <c r="D95" s="309"/>
      <c r="E95" s="310"/>
      <c r="F95" s="310"/>
      <c r="G95" s="310"/>
      <c r="H95" s="311"/>
      <c r="I95" s="310"/>
      <c r="J95" s="61"/>
      <c r="K95" s="61"/>
      <c r="L95" s="61"/>
    </row>
    <row r="96" spans="1:12" x14ac:dyDescent="0.25">
      <c r="D96" s="309"/>
      <c r="E96" s="310"/>
      <c r="F96" s="310"/>
      <c r="G96" s="310"/>
      <c r="H96" s="311"/>
      <c r="I96" s="310"/>
      <c r="J96" s="61"/>
      <c r="K96" s="61"/>
      <c r="L96" s="61"/>
    </row>
    <row r="97" spans="4:12" x14ac:dyDescent="0.25">
      <c r="D97" s="309"/>
      <c r="E97" s="310"/>
      <c r="F97" s="310"/>
      <c r="G97" s="310"/>
      <c r="H97" s="311"/>
      <c r="I97" s="310"/>
      <c r="J97" s="61"/>
      <c r="K97" s="61"/>
      <c r="L97" s="61"/>
    </row>
    <row r="98" spans="4:12" x14ac:dyDescent="0.25">
      <c r="D98" s="309"/>
      <c r="E98" s="310"/>
      <c r="F98" s="310"/>
      <c r="G98" s="310"/>
      <c r="H98" s="311"/>
      <c r="I98" s="310"/>
      <c r="J98" s="61"/>
      <c r="K98" s="61"/>
      <c r="L98" s="61"/>
    </row>
    <row r="99" spans="4:12" x14ac:dyDescent="0.25">
      <c r="D99" s="309"/>
      <c r="E99" s="310"/>
      <c r="F99" s="310"/>
      <c r="G99" s="310"/>
      <c r="H99" s="311"/>
      <c r="I99" s="310"/>
      <c r="J99" s="61"/>
      <c r="K99" s="61"/>
      <c r="L99" s="61"/>
    </row>
    <row r="100" spans="4:12" x14ac:dyDescent="0.25">
      <c r="D100" s="309"/>
      <c r="E100" s="310"/>
      <c r="F100" s="310"/>
      <c r="G100" s="310"/>
      <c r="H100" s="311"/>
      <c r="I100" s="310"/>
      <c r="J100" s="61"/>
      <c r="K100" s="61"/>
      <c r="L100" s="61"/>
    </row>
  </sheetData>
  <mergeCells count="12">
    <mergeCell ref="A2:I2"/>
    <mergeCell ref="B79:B83"/>
    <mergeCell ref="B84:B89"/>
    <mergeCell ref="A69:A73"/>
    <mergeCell ref="A74:A77"/>
    <mergeCell ref="A79:A83"/>
    <mergeCell ref="A84:A89"/>
    <mergeCell ref="A19:I19"/>
    <mergeCell ref="B21:H28"/>
    <mergeCell ref="A65:I65"/>
    <mergeCell ref="B69:B73"/>
    <mergeCell ref="B74:B7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3BBB7-0363-418D-B332-9BF7031CE62A}">
  <sheetPr>
    <tabColor theme="7"/>
  </sheetPr>
  <dimension ref="A1:X484"/>
  <sheetViews>
    <sheetView topLeftCell="A479" zoomScale="85" zoomScaleNormal="85" workbookViewId="0">
      <selection activeCell="H496" sqref="H496"/>
    </sheetView>
  </sheetViews>
  <sheetFormatPr baseColWidth="10" defaultColWidth="11.44140625" defaultRowHeight="13.2" x14ac:dyDescent="0.25"/>
  <cols>
    <col min="1" max="1" width="13.109375" style="58" customWidth="1"/>
    <col min="2" max="2" width="29" style="58" bestFit="1" customWidth="1"/>
    <col min="3" max="3" width="19.44140625" style="58" bestFit="1" customWidth="1"/>
    <col min="4" max="4" width="18.33203125" style="58" customWidth="1"/>
    <col min="5" max="5" width="23.44140625" style="58" customWidth="1"/>
    <col min="6" max="6" width="19" style="58" customWidth="1"/>
    <col min="7" max="7" width="21.88671875" style="58" customWidth="1"/>
    <col min="8" max="8" width="25" style="58" customWidth="1"/>
    <col min="9" max="9" width="19.109375" style="58" customWidth="1"/>
    <col min="10" max="10" width="16.88671875" style="58" customWidth="1"/>
    <col min="11" max="11" width="17.6640625" style="58" customWidth="1"/>
    <col min="12" max="12" width="19.44140625" style="58" customWidth="1"/>
    <col min="13" max="13" width="20.44140625" style="58" customWidth="1"/>
    <col min="14" max="14" width="16.44140625" style="58" bestFit="1" customWidth="1"/>
    <col min="15" max="16" width="16.109375" style="58" bestFit="1" customWidth="1"/>
    <col min="17" max="17" width="16.44140625" style="58" bestFit="1" customWidth="1"/>
    <col min="18" max="18" width="11.5546875" style="58" bestFit="1" customWidth="1"/>
    <col min="19" max="19" width="13" style="58" customWidth="1"/>
    <col min="20" max="21" width="18.109375" style="58" bestFit="1" customWidth="1"/>
    <col min="22" max="24" width="18.33203125" style="58" bestFit="1" customWidth="1"/>
    <col min="25" max="16384" width="11.44140625" style="58"/>
  </cols>
  <sheetData>
    <row r="1" spans="2:15" ht="13.8" thickBot="1" x14ac:dyDescent="0.3"/>
    <row r="2" spans="2:15" ht="23.4" thickBot="1" x14ac:dyDescent="0.45">
      <c r="B2" s="597" t="s">
        <v>138</v>
      </c>
      <c r="C2" s="598"/>
      <c r="D2" s="598"/>
      <c r="E2" s="598"/>
      <c r="F2" s="598"/>
      <c r="G2" s="598"/>
      <c r="H2" s="598"/>
      <c r="I2" s="598"/>
      <c r="J2" s="598"/>
      <c r="K2" s="598"/>
      <c r="L2" s="598"/>
      <c r="M2" s="598"/>
      <c r="N2" s="598"/>
      <c r="O2" s="614"/>
    </row>
    <row r="3" spans="2:15" x14ac:dyDescent="0.25">
      <c r="B3" s="615" t="s">
        <v>135</v>
      </c>
      <c r="C3" s="620" t="s">
        <v>139</v>
      </c>
      <c r="D3" s="621"/>
      <c r="E3" s="621"/>
      <c r="F3" s="621"/>
      <c r="G3" s="621"/>
      <c r="H3" s="621"/>
      <c r="I3" s="621"/>
      <c r="J3" s="621"/>
      <c r="K3" s="621"/>
      <c r="L3" s="621"/>
      <c r="M3" s="621"/>
      <c r="N3" s="621"/>
      <c r="O3" s="622"/>
    </row>
    <row r="4" spans="2:15" x14ac:dyDescent="0.25">
      <c r="B4" s="616"/>
      <c r="C4" s="608" t="s">
        <v>140</v>
      </c>
      <c r="D4" s="609"/>
      <c r="E4" s="609"/>
      <c r="F4" s="609"/>
      <c r="G4" s="609"/>
      <c r="H4" s="609"/>
      <c r="I4" s="609"/>
      <c r="J4" s="609"/>
      <c r="K4" s="609"/>
      <c r="L4" s="609"/>
      <c r="M4" s="609"/>
      <c r="N4" s="609"/>
      <c r="O4" s="610"/>
    </row>
    <row r="5" spans="2:15" ht="13.8" thickBot="1" x14ac:dyDescent="0.3">
      <c r="B5" s="617"/>
      <c r="C5" s="623" t="s">
        <v>141</v>
      </c>
      <c r="D5" s="624"/>
      <c r="E5" s="624"/>
      <c r="F5" s="624"/>
      <c r="G5" s="624"/>
      <c r="H5" s="624"/>
      <c r="I5" s="624"/>
      <c r="J5" s="624"/>
      <c r="K5" s="624"/>
      <c r="L5" s="624"/>
      <c r="M5" s="624"/>
      <c r="N5" s="624"/>
      <c r="O5" s="625"/>
    </row>
    <row r="6" spans="2:15" x14ac:dyDescent="0.25">
      <c r="B6" s="615" t="s">
        <v>136</v>
      </c>
      <c r="C6" s="620" t="s">
        <v>142</v>
      </c>
      <c r="D6" s="621"/>
      <c r="E6" s="621"/>
      <c r="F6" s="621"/>
      <c r="G6" s="621"/>
      <c r="H6" s="621"/>
      <c r="I6" s="621"/>
      <c r="J6" s="621"/>
      <c r="K6" s="621"/>
      <c r="L6" s="621"/>
      <c r="M6" s="621"/>
      <c r="N6" s="621"/>
      <c r="O6" s="622"/>
    </row>
    <row r="7" spans="2:15" x14ac:dyDescent="0.25">
      <c r="B7" s="616"/>
      <c r="C7" s="608" t="s">
        <v>143</v>
      </c>
      <c r="D7" s="609"/>
      <c r="E7" s="609"/>
      <c r="F7" s="609"/>
      <c r="G7" s="609"/>
      <c r="H7" s="609"/>
      <c r="I7" s="609"/>
      <c r="J7" s="609"/>
      <c r="K7" s="609"/>
      <c r="L7" s="609"/>
      <c r="M7" s="609"/>
      <c r="N7" s="609"/>
      <c r="O7" s="610"/>
    </row>
    <row r="8" spans="2:15" ht="13.8" thickBot="1" x14ac:dyDescent="0.3">
      <c r="B8" s="617"/>
      <c r="C8" s="623" t="s">
        <v>144</v>
      </c>
      <c r="D8" s="624"/>
      <c r="E8" s="624"/>
      <c r="F8" s="624"/>
      <c r="G8" s="624"/>
      <c r="H8" s="624"/>
      <c r="I8" s="624"/>
      <c r="J8" s="624"/>
      <c r="K8" s="624"/>
      <c r="L8" s="624"/>
      <c r="M8" s="624"/>
      <c r="N8" s="624"/>
      <c r="O8" s="625"/>
    </row>
    <row r="9" spans="2:15" x14ac:dyDescent="0.25">
      <c r="B9" s="618" t="s">
        <v>137</v>
      </c>
      <c r="C9" s="626" t="s">
        <v>145</v>
      </c>
      <c r="D9" s="627"/>
      <c r="E9" s="627"/>
      <c r="F9" s="627"/>
      <c r="G9" s="627"/>
      <c r="H9" s="627"/>
      <c r="I9" s="627"/>
      <c r="J9" s="627"/>
      <c r="K9" s="627"/>
      <c r="L9" s="627"/>
      <c r="M9" s="627"/>
      <c r="N9" s="627"/>
      <c r="O9" s="628"/>
    </row>
    <row r="10" spans="2:15" x14ac:dyDescent="0.25">
      <c r="B10" s="616"/>
      <c r="C10" s="608" t="s">
        <v>146</v>
      </c>
      <c r="D10" s="609"/>
      <c r="E10" s="609"/>
      <c r="F10" s="609"/>
      <c r="G10" s="609"/>
      <c r="H10" s="609"/>
      <c r="I10" s="609"/>
      <c r="J10" s="609"/>
      <c r="K10" s="609"/>
      <c r="L10" s="609"/>
      <c r="M10" s="609"/>
      <c r="N10" s="609"/>
      <c r="O10" s="610"/>
    </row>
    <row r="11" spans="2:15" x14ac:dyDescent="0.25">
      <c r="B11" s="616"/>
      <c r="C11" s="608" t="s">
        <v>147</v>
      </c>
      <c r="D11" s="609"/>
      <c r="E11" s="609"/>
      <c r="F11" s="609"/>
      <c r="G11" s="609"/>
      <c r="H11" s="609"/>
      <c r="I11" s="609"/>
      <c r="J11" s="609"/>
      <c r="K11" s="609"/>
      <c r="L11" s="609"/>
      <c r="M11" s="609"/>
      <c r="N11" s="609"/>
      <c r="O11" s="610"/>
    </row>
    <row r="12" spans="2:15" ht="13.8" thickBot="1" x14ac:dyDescent="0.3">
      <c r="B12" s="619"/>
      <c r="C12" s="611" t="s">
        <v>148</v>
      </c>
      <c r="D12" s="612"/>
      <c r="E12" s="612"/>
      <c r="F12" s="612"/>
      <c r="G12" s="612"/>
      <c r="H12" s="612"/>
      <c r="I12" s="612"/>
      <c r="J12" s="612"/>
      <c r="K12" s="612"/>
      <c r="L12" s="612"/>
      <c r="M12" s="612"/>
      <c r="N12" s="612"/>
      <c r="O12" s="613"/>
    </row>
    <row r="13" spans="2:15" x14ac:dyDescent="0.25">
      <c r="B13" s="605" t="s">
        <v>149</v>
      </c>
      <c r="C13" s="599" t="s">
        <v>150</v>
      </c>
      <c r="D13" s="599"/>
      <c r="E13" s="599"/>
      <c r="F13" s="599"/>
      <c r="G13" s="599"/>
      <c r="H13" s="599"/>
      <c r="I13" s="599"/>
      <c r="J13" s="599"/>
      <c r="K13" s="599"/>
      <c r="L13" s="599"/>
      <c r="M13" s="599"/>
      <c r="N13" s="599"/>
      <c r="O13" s="600"/>
    </row>
    <row r="14" spans="2:15" x14ac:dyDescent="0.25">
      <c r="B14" s="606"/>
      <c r="C14" s="601" t="s">
        <v>151</v>
      </c>
      <c r="D14" s="601"/>
      <c r="E14" s="601"/>
      <c r="F14" s="601"/>
      <c r="G14" s="601"/>
      <c r="H14" s="601"/>
      <c r="I14" s="601"/>
      <c r="J14" s="601"/>
      <c r="K14" s="601"/>
      <c r="L14" s="601"/>
      <c r="M14" s="601"/>
      <c r="N14" s="601"/>
      <c r="O14" s="602"/>
    </row>
    <row r="15" spans="2:15" x14ac:dyDescent="0.25">
      <c r="B15" s="606"/>
      <c r="C15" s="601" t="s">
        <v>152</v>
      </c>
      <c r="D15" s="601"/>
      <c r="E15" s="601"/>
      <c r="F15" s="601"/>
      <c r="G15" s="601"/>
      <c r="H15" s="601"/>
      <c r="I15" s="601"/>
      <c r="J15" s="601"/>
      <c r="K15" s="601"/>
      <c r="L15" s="601"/>
      <c r="M15" s="601"/>
      <c r="N15" s="601"/>
      <c r="O15" s="602"/>
    </row>
    <row r="16" spans="2:15" ht="13.8" thickBot="1" x14ac:dyDescent="0.3">
      <c r="B16" s="607"/>
      <c r="C16" s="603" t="s">
        <v>153</v>
      </c>
      <c r="D16" s="603"/>
      <c r="E16" s="603"/>
      <c r="F16" s="603"/>
      <c r="G16" s="603"/>
      <c r="H16" s="603"/>
      <c r="I16" s="603"/>
      <c r="J16" s="603"/>
      <c r="K16" s="603"/>
      <c r="L16" s="603"/>
      <c r="M16" s="603"/>
      <c r="N16" s="603"/>
      <c r="O16" s="604"/>
    </row>
    <row r="17" spans="2:15" ht="13.8" thickBot="1" x14ac:dyDescent="0.3"/>
    <row r="18" spans="2:15" ht="23.4" thickBot="1" x14ac:dyDescent="0.45">
      <c r="B18" s="597" t="s">
        <v>154</v>
      </c>
      <c r="C18" s="598"/>
      <c r="D18" s="598"/>
      <c r="E18" s="598"/>
      <c r="F18" s="598"/>
      <c r="G18" s="598"/>
      <c r="H18" s="598"/>
      <c r="I18" s="598"/>
      <c r="J18" s="552"/>
      <c r="K18" s="552"/>
      <c r="L18" s="552"/>
      <c r="M18" s="552"/>
      <c r="N18" s="552"/>
      <c r="O18" s="553"/>
    </row>
    <row r="19" spans="2:15" ht="23.4" thickBot="1" x14ac:dyDescent="0.45">
      <c r="B19" s="213"/>
      <c r="C19" s="214"/>
      <c r="D19" s="214"/>
      <c r="E19" s="214"/>
      <c r="F19" s="214"/>
      <c r="G19" s="214"/>
      <c r="H19" s="214"/>
      <c r="I19" s="214"/>
      <c r="J19" s="361"/>
      <c r="K19" s="275"/>
      <c r="L19" s="275"/>
      <c r="M19" s="275"/>
      <c r="N19" s="275"/>
      <c r="O19" s="275"/>
    </row>
    <row r="20" spans="2:15" ht="31.8" thickBot="1" x14ac:dyDescent="0.3">
      <c r="B20" s="63" t="s">
        <v>56</v>
      </c>
      <c r="C20" s="64" t="s">
        <v>122</v>
      </c>
      <c r="D20" s="64" t="s">
        <v>134</v>
      </c>
      <c r="E20" s="64" t="s">
        <v>135</v>
      </c>
      <c r="F20" s="64" t="s">
        <v>136</v>
      </c>
      <c r="G20" s="64" t="s">
        <v>137</v>
      </c>
      <c r="H20" s="64" t="s">
        <v>220</v>
      </c>
      <c r="I20" s="65" t="s">
        <v>162</v>
      </c>
      <c r="J20" s="65">
        <f>SUM(I21:I42)</f>
        <v>1273.5</v>
      </c>
    </row>
    <row r="21" spans="2:15" ht="27" thickBot="1" x14ac:dyDescent="0.3">
      <c r="B21" s="66" t="s">
        <v>5</v>
      </c>
      <c r="C21" s="4" t="s">
        <v>62</v>
      </c>
      <c r="D21" s="67">
        <f>E21+F21+G21+H21</f>
        <v>45</v>
      </c>
      <c r="E21" s="67">
        <v>18</v>
      </c>
      <c r="F21" s="67">
        <v>18</v>
      </c>
      <c r="G21" s="67">
        <v>0</v>
      </c>
      <c r="H21" s="68">
        <v>9</v>
      </c>
      <c r="I21" s="69">
        <f>D21</f>
        <v>45</v>
      </c>
    </row>
    <row r="22" spans="2:15" ht="26.4" x14ac:dyDescent="0.25">
      <c r="B22" s="9" t="s">
        <v>53</v>
      </c>
      <c r="C22" s="11" t="s">
        <v>61</v>
      </c>
      <c r="D22" s="12">
        <f t="shared" ref="D22:D42" si="0">E22+F22+G22+H22</f>
        <v>45</v>
      </c>
      <c r="E22" s="12">
        <v>18</v>
      </c>
      <c r="F22" s="12">
        <v>18</v>
      </c>
      <c r="G22" s="12">
        <v>0</v>
      </c>
      <c r="H22" s="53">
        <v>9</v>
      </c>
      <c r="I22" s="629">
        <f>SUM(D22:D26)</f>
        <v>567</v>
      </c>
    </row>
    <row r="23" spans="2:15" ht="26.4" x14ac:dyDescent="0.25">
      <c r="B23" s="13" t="s">
        <v>44</v>
      </c>
      <c r="C23" s="15" t="s">
        <v>63</v>
      </c>
      <c r="D23" s="16">
        <f t="shared" si="0"/>
        <v>45</v>
      </c>
      <c r="E23" s="16">
        <v>18</v>
      </c>
      <c r="F23" s="16">
        <v>18</v>
      </c>
      <c r="G23" s="16">
        <v>0</v>
      </c>
      <c r="H23" s="55">
        <v>9</v>
      </c>
      <c r="I23" s="630"/>
    </row>
    <row r="24" spans="2:15" ht="52.8" x14ac:dyDescent="0.25">
      <c r="B24" s="13" t="s">
        <v>47</v>
      </c>
      <c r="C24" s="15" t="s">
        <v>60</v>
      </c>
      <c r="D24" s="16">
        <f t="shared" si="0"/>
        <v>171</v>
      </c>
      <c r="E24" s="16">
        <v>27</v>
      </c>
      <c r="F24" s="16">
        <v>27</v>
      </c>
      <c r="G24" s="16">
        <v>72</v>
      </c>
      <c r="H24" s="55">
        <v>45</v>
      </c>
      <c r="I24" s="630"/>
    </row>
    <row r="25" spans="2:15" ht="39.6" x14ac:dyDescent="0.25">
      <c r="B25" s="13" t="s">
        <v>48</v>
      </c>
      <c r="C25" s="15" t="s">
        <v>66</v>
      </c>
      <c r="D25" s="16">
        <f t="shared" si="0"/>
        <v>153</v>
      </c>
      <c r="E25" s="16">
        <v>27</v>
      </c>
      <c r="F25" s="16">
        <v>27</v>
      </c>
      <c r="G25" s="16">
        <v>72</v>
      </c>
      <c r="H25" s="55">
        <v>27</v>
      </c>
      <c r="I25" s="630"/>
    </row>
    <row r="26" spans="2:15" ht="40.200000000000003" thickBot="1" x14ac:dyDescent="0.3">
      <c r="B26" s="18" t="s">
        <v>49</v>
      </c>
      <c r="C26" s="20" t="s">
        <v>67</v>
      </c>
      <c r="D26" s="21">
        <f t="shared" si="0"/>
        <v>153</v>
      </c>
      <c r="E26" s="21">
        <v>27</v>
      </c>
      <c r="F26" s="21">
        <v>27</v>
      </c>
      <c r="G26" s="21">
        <v>72</v>
      </c>
      <c r="H26" s="56">
        <v>27</v>
      </c>
      <c r="I26" s="631"/>
    </row>
    <row r="27" spans="2:15" ht="26.4" x14ac:dyDescent="0.25">
      <c r="B27" s="70" t="s">
        <v>83</v>
      </c>
      <c r="C27" s="24" t="s">
        <v>72</v>
      </c>
      <c r="D27" s="46">
        <f t="shared" si="0"/>
        <v>45</v>
      </c>
      <c r="E27" s="46">
        <v>18</v>
      </c>
      <c r="F27" s="46">
        <v>18</v>
      </c>
      <c r="G27" s="46">
        <v>0</v>
      </c>
      <c r="H27" s="47">
        <v>9</v>
      </c>
      <c r="I27" s="629">
        <f>SUM(D27:D30)</f>
        <v>306</v>
      </c>
    </row>
    <row r="28" spans="2:15" ht="26.4" x14ac:dyDescent="0.25">
      <c r="B28" s="71" t="s">
        <v>20</v>
      </c>
      <c r="C28" s="31" t="s">
        <v>71</v>
      </c>
      <c r="D28" s="48">
        <f t="shared" si="0"/>
        <v>27</v>
      </c>
      <c r="E28" s="48">
        <v>9</v>
      </c>
      <c r="F28" s="48">
        <v>9</v>
      </c>
      <c r="G28" s="48">
        <v>0</v>
      </c>
      <c r="H28" s="49">
        <v>9</v>
      </c>
      <c r="I28" s="630"/>
    </row>
    <row r="29" spans="2:15" ht="26.4" x14ac:dyDescent="0.25">
      <c r="B29" s="71" t="s">
        <v>23</v>
      </c>
      <c r="C29" s="31" t="s">
        <v>70</v>
      </c>
      <c r="D29" s="48">
        <f t="shared" si="0"/>
        <v>27</v>
      </c>
      <c r="E29" s="48">
        <v>9</v>
      </c>
      <c r="F29" s="48">
        <v>9</v>
      </c>
      <c r="G29" s="48">
        <v>0</v>
      </c>
      <c r="H29" s="49">
        <v>9</v>
      </c>
      <c r="I29" s="630"/>
    </row>
    <row r="30" spans="2:15" ht="40.5" customHeight="1" thickBot="1" x14ac:dyDescent="0.3">
      <c r="B30" s="72" t="s">
        <v>27</v>
      </c>
      <c r="C30" s="37" t="s">
        <v>69</v>
      </c>
      <c r="D30" s="51">
        <f t="shared" si="0"/>
        <v>207</v>
      </c>
      <c r="E30" s="51">
        <v>54</v>
      </c>
      <c r="F30" s="51">
        <v>54</v>
      </c>
      <c r="G30" s="51">
        <v>72</v>
      </c>
      <c r="H30" s="52">
        <v>27</v>
      </c>
      <c r="I30" s="631"/>
    </row>
    <row r="31" spans="2:15" ht="27" thickBot="1" x14ac:dyDescent="0.3">
      <c r="B31" s="42" t="s">
        <v>85</v>
      </c>
      <c r="C31" s="43" t="s">
        <v>74</v>
      </c>
      <c r="D31" s="44">
        <f t="shared" si="0"/>
        <v>63</v>
      </c>
      <c r="E31" s="44">
        <v>27</v>
      </c>
      <c r="F31" s="44">
        <v>27</v>
      </c>
      <c r="G31" s="44">
        <v>0</v>
      </c>
      <c r="H31" s="73">
        <v>9</v>
      </c>
      <c r="I31" s="69">
        <f>D31</f>
        <v>63</v>
      </c>
    </row>
    <row r="32" spans="2:15" ht="26.4" x14ac:dyDescent="0.25">
      <c r="B32" s="22" t="s">
        <v>31</v>
      </c>
      <c r="C32" s="24" t="s">
        <v>76</v>
      </c>
      <c r="D32" s="46">
        <f t="shared" si="0"/>
        <v>27</v>
      </c>
      <c r="E32" s="46">
        <v>9</v>
      </c>
      <c r="F32" s="46">
        <v>9</v>
      </c>
      <c r="G32" s="46">
        <v>0</v>
      </c>
      <c r="H32" s="47">
        <v>9</v>
      </c>
      <c r="I32" s="629">
        <f>SUM(D32:D36)</f>
        <v>135</v>
      </c>
    </row>
    <row r="33" spans="2:15" ht="12.75" customHeight="1" x14ac:dyDescent="0.25">
      <c r="B33" s="29" t="s">
        <v>87</v>
      </c>
      <c r="C33" s="31" t="s">
        <v>96</v>
      </c>
      <c r="D33" s="48">
        <f t="shared" si="0"/>
        <v>27</v>
      </c>
      <c r="E33" s="48">
        <v>9</v>
      </c>
      <c r="F33" s="48">
        <v>9</v>
      </c>
      <c r="G33" s="48">
        <v>0</v>
      </c>
      <c r="H33" s="49">
        <v>9</v>
      </c>
      <c r="I33" s="630"/>
    </row>
    <row r="34" spans="2:15" ht="12.75" customHeight="1" x14ac:dyDescent="0.25">
      <c r="B34" s="29" t="s">
        <v>91</v>
      </c>
      <c r="C34" s="31" t="s">
        <v>97</v>
      </c>
      <c r="D34" s="48">
        <f t="shared" si="0"/>
        <v>27</v>
      </c>
      <c r="E34" s="48">
        <v>9</v>
      </c>
      <c r="F34" s="48">
        <v>9</v>
      </c>
      <c r="G34" s="48">
        <v>0</v>
      </c>
      <c r="H34" s="49">
        <v>9</v>
      </c>
      <c r="I34" s="630"/>
    </row>
    <row r="35" spans="2:15" ht="26.4" x14ac:dyDescent="0.25">
      <c r="B35" s="29" t="s">
        <v>37</v>
      </c>
      <c r="C35" s="31" t="s">
        <v>98</v>
      </c>
      <c r="D35" s="48">
        <f t="shared" si="0"/>
        <v>27</v>
      </c>
      <c r="E35" s="48">
        <v>9</v>
      </c>
      <c r="F35" s="48">
        <v>9</v>
      </c>
      <c r="G35" s="48">
        <v>0</v>
      </c>
      <c r="H35" s="49">
        <v>9</v>
      </c>
      <c r="I35" s="630"/>
    </row>
    <row r="36" spans="2:15" ht="13.8" thickBot="1" x14ac:dyDescent="0.3">
      <c r="B36" s="292" t="s">
        <v>92</v>
      </c>
      <c r="C36" s="286" t="s">
        <v>99</v>
      </c>
      <c r="D36" s="293">
        <f t="shared" si="0"/>
        <v>27</v>
      </c>
      <c r="E36" s="293">
        <v>9</v>
      </c>
      <c r="F36" s="293">
        <v>9</v>
      </c>
      <c r="G36" s="293">
        <v>0</v>
      </c>
      <c r="H36" s="294">
        <v>9</v>
      </c>
      <c r="I36" s="631"/>
    </row>
    <row r="37" spans="2:15" ht="26.4" x14ac:dyDescent="0.25">
      <c r="B37" s="9" t="s">
        <v>100</v>
      </c>
      <c r="C37" s="11" t="s">
        <v>78</v>
      </c>
      <c r="D37" s="12">
        <f t="shared" si="0"/>
        <v>22.5</v>
      </c>
      <c r="E37" s="12">
        <v>9</v>
      </c>
      <c r="F37" s="12">
        <v>9</v>
      </c>
      <c r="G37" s="12">
        <v>0</v>
      </c>
      <c r="H37" s="282">
        <v>4.5</v>
      </c>
      <c r="I37" s="629">
        <f>SUM(D37:D42)</f>
        <v>157.5</v>
      </c>
    </row>
    <row r="38" spans="2:15" ht="26.4" x14ac:dyDescent="0.25">
      <c r="B38" s="13" t="s">
        <v>101</v>
      </c>
      <c r="C38" s="15" t="s">
        <v>79</v>
      </c>
      <c r="D38" s="16">
        <f t="shared" si="0"/>
        <v>27</v>
      </c>
      <c r="E38" s="16">
        <v>9</v>
      </c>
      <c r="F38" s="16">
        <v>9</v>
      </c>
      <c r="G38" s="16">
        <v>0</v>
      </c>
      <c r="H38" s="283">
        <v>9</v>
      </c>
      <c r="I38" s="630"/>
    </row>
    <row r="39" spans="2:15" ht="26.4" x14ac:dyDescent="0.25">
      <c r="B39" s="13" t="s">
        <v>104</v>
      </c>
      <c r="C39" s="15" t="s">
        <v>80</v>
      </c>
      <c r="D39" s="16">
        <f t="shared" si="0"/>
        <v>27</v>
      </c>
      <c r="E39" s="16">
        <v>9</v>
      </c>
      <c r="F39" s="16">
        <v>9</v>
      </c>
      <c r="G39" s="16">
        <v>0</v>
      </c>
      <c r="H39" s="283">
        <v>9</v>
      </c>
      <c r="I39" s="630"/>
    </row>
    <row r="40" spans="2:15" ht="26.4" x14ac:dyDescent="0.25">
      <c r="B40" s="13" t="s">
        <v>108</v>
      </c>
      <c r="C40" s="15" t="s">
        <v>81</v>
      </c>
      <c r="D40" s="16">
        <f t="shared" si="0"/>
        <v>27</v>
      </c>
      <c r="E40" s="16">
        <v>9</v>
      </c>
      <c r="F40" s="16">
        <v>9</v>
      </c>
      <c r="G40" s="16">
        <v>0</v>
      </c>
      <c r="H40" s="283">
        <v>9</v>
      </c>
      <c r="I40" s="630"/>
    </row>
    <row r="41" spans="2:15" ht="39.6" x14ac:dyDescent="0.25">
      <c r="B41" s="13" t="s">
        <v>112</v>
      </c>
      <c r="C41" s="15" t="s">
        <v>120</v>
      </c>
      <c r="D41" s="16">
        <f t="shared" si="0"/>
        <v>27</v>
      </c>
      <c r="E41" s="16">
        <v>9</v>
      </c>
      <c r="F41" s="16">
        <v>9</v>
      </c>
      <c r="G41" s="16">
        <v>0</v>
      </c>
      <c r="H41" s="283">
        <v>9</v>
      </c>
      <c r="I41" s="630"/>
    </row>
    <row r="42" spans="2:15" ht="40.200000000000003" thickBot="1" x14ac:dyDescent="0.3">
      <c r="B42" s="18" t="s">
        <v>116</v>
      </c>
      <c r="C42" s="20" t="s">
        <v>121</v>
      </c>
      <c r="D42" s="21">
        <f t="shared" si="0"/>
        <v>27</v>
      </c>
      <c r="E42" s="21">
        <v>9</v>
      </c>
      <c r="F42" s="21">
        <v>9</v>
      </c>
      <c r="G42" s="21">
        <v>0</v>
      </c>
      <c r="H42" s="295">
        <v>9</v>
      </c>
      <c r="I42" s="631"/>
    </row>
    <row r="43" spans="2:15" ht="15.6" x14ac:dyDescent="0.25">
      <c r="C43" s="74" t="s">
        <v>158</v>
      </c>
      <c r="D43" s="74">
        <f>SUM(D21:D42)</f>
        <v>1273.5</v>
      </c>
      <c r="E43" s="74">
        <f t="shared" ref="E43:H43" si="1">SUM(E21:E42)</f>
        <v>351</v>
      </c>
      <c r="F43" s="74">
        <f t="shared" si="1"/>
        <v>351</v>
      </c>
      <c r="G43" s="74">
        <f t="shared" si="1"/>
        <v>288</v>
      </c>
      <c r="H43" s="74">
        <f t="shared" si="1"/>
        <v>283.5</v>
      </c>
      <c r="I43" s="75"/>
    </row>
    <row r="44" spans="2:15" ht="13.8" thickBot="1" x14ac:dyDescent="0.3">
      <c r="J44" s="75"/>
    </row>
    <row r="45" spans="2:15" ht="23.4" thickBot="1" x14ac:dyDescent="0.45">
      <c r="B45" s="551" t="s">
        <v>156</v>
      </c>
      <c r="C45" s="552"/>
      <c r="D45" s="552"/>
      <c r="E45" s="552"/>
      <c r="F45" s="552"/>
      <c r="G45" s="552"/>
      <c r="H45" s="552"/>
      <c r="I45" s="552"/>
      <c r="J45" s="552"/>
      <c r="K45" s="552"/>
      <c r="L45" s="552"/>
      <c r="M45" s="552"/>
      <c r="N45" s="552"/>
      <c r="O45" s="553"/>
    </row>
    <row r="46" spans="2:15" ht="13.8" thickBot="1" x14ac:dyDescent="0.3"/>
    <row r="47" spans="2:15" ht="13.8" thickBot="1" x14ac:dyDescent="0.3">
      <c r="B47" s="76" t="s">
        <v>157</v>
      </c>
      <c r="C47" s="77" t="s">
        <v>155</v>
      </c>
    </row>
    <row r="48" spans="2:15" x14ac:dyDescent="0.25">
      <c r="B48" s="78" t="s">
        <v>135</v>
      </c>
      <c r="C48" s="79">
        <f>E43/D43</f>
        <v>0.2756183745583039</v>
      </c>
    </row>
    <row r="49" spans="2:3" x14ac:dyDescent="0.25">
      <c r="B49" s="80" t="s">
        <v>136</v>
      </c>
      <c r="C49" s="81">
        <f>F43/D43</f>
        <v>0.2756183745583039</v>
      </c>
    </row>
    <row r="50" spans="2:3" x14ac:dyDescent="0.25">
      <c r="B50" s="80" t="s">
        <v>137</v>
      </c>
      <c r="C50" s="81">
        <f>G43/D43</f>
        <v>0.22614840989399293</v>
      </c>
    </row>
    <row r="51" spans="2:3" x14ac:dyDescent="0.25">
      <c r="B51" s="80" t="s">
        <v>149</v>
      </c>
      <c r="C51" s="81">
        <f>H43/D43</f>
        <v>0.22261484098939929</v>
      </c>
    </row>
    <row r="52" spans="2:3" ht="13.8" thickBot="1" x14ac:dyDescent="0.3">
      <c r="B52" s="82"/>
      <c r="C52" s="83"/>
    </row>
    <row r="54" spans="2:3" x14ac:dyDescent="0.25">
      <c r="B54" s="632"/>
      <c r="C54" s="632"/>
    </row>
    <row r="55" spans="2:3" x14ac:dyDescent="0.25">
      <c r="B55" s="632"/>
      <c r="C55" s="632"/>
    </row>
    <row r="56" spans="2:3" x14ac:dyDescent="0.25">
      <c r="B56" s="632"/>
      <c r="C56" s="632"/>
    </row>
    <row r="57" spans="2:3" x14ac:dyDescent="0.25">
      <c r="B57" s="632"/>
      <c r="C57" s="632"/>
    </row>
    <row r="65" spans="2:15" ht="13.8" thickBot="1" x14ac:dyDescent="0.3"/>
    <row r="66" spans="2:15" ht="23.4" thickBot="1" x14ac:dyDescent="0.45">
      <c r="B66" s="551" t="s">
        <v>159</v>
      </c>
      <c r="C66" s="552"/>
      <c r="D66" s="552"/>
      <c r="E66" s="552"/>
      <c r="F66" s="552"/>
      <c r="G66" s="552"/>
      <c r="H66" s="552"/>
      <c r="I66" s="552"/>
      <c r="J66" s="552"/>
      <c r="K66" s="552"/>
      <c r="L66" s="552"/>
      <c r="M66" s="552"/>
      <c r="N66" s="552"/>
      <c r="O66" s="553"/>
    </row>
    <row r="67" spans="2:15" ht="13.8" thickBot="1" x14ac:dyDescent="0.3"/>
    <row r="68" spans="2:15" ht="13.8" thickBot="1" x14ac:dyDescent="0.3">
      <c r="B68" s="84" t="s">
        <v>160</v>
      </c>
      <c r="C68" s="85" t="s">
        <v>161</v>
      </c>
      <c r="D68" s="86" t="s">
        <v>155</v>
      </c>
    </row>
    <row r="69" spans="2:15" x14ac:dyDescent="0.25">
      <c r="B69" s="87" t="s">
        <v>128</v>
      </c>
      <c r="C69" s="88" t="s">
        <v>124</v>
      </c>
      <c r="D69" s="79">
        <f>I21/J20</f>
        <v>3.5335689045936397E-2</v>
      </c>
    </row>
    <row r="70" spans="2:15" ht="48.75" customHeight="1" x14ac:dyDescent="0.25">
      <c r="B70" s="89" t="s">
        <v>129</v>
      </c>
      <c r="C70" s="90" t="s">
        <v>125</v>
      </c>
      <c r="D70" s="81">
        <f>I22/J20</f>
        <v>0.44522968197879859</v>
      </c>
    </row>
    <row r="71" spans="2:15" ht="56.25" customHeight="1" x14ac:dyDescent="0.25">
      <c r="B71" s="89" t="s">
        <v>130</v>
      </c>
      <c r="C71" s="90" t="s">
        <v>126</v>
      </c>
      <c r="D71" s="81">
        <f>I27/J20</f>
        <v>0.24028268551236748</v>
      </c>
    </row>
    <row r="72" spans="2:15" x14ac:dyDescent="0.25">
      <c r="B72" s="89" t="s">
        <v>131</v>
      </c>
      <c r="C72" s="90" t="s">
        <v>127</v>
      </c>
      <c r="D72" s="81">
        <f>I31/J20</f>
        <v>4.9469964664310952E-2</v>
      </c>
    </row>
    <row r="73" spans="2:15" x14ac:dyDescent="0.25">
      <c r="B73" s="89" t="s">
        <v>132</v>
      </c>
      <c r="C73" s="90" t="s">
        <v>75</v>
      </c>
      <c r="D73" s="81">
        <f>I32/J20</f>
        <v>0.10600706713780919</v>
      </c>
    </row>
    <row r="74" spans="2:15" ht="27" thickBot="1" x14ac:dyDescent="0.3">
      <c r="B74" s="91" t="s">
        <v>133</v>
      </c>
      <c r="C74" s="92" t="s">
        <v>77</v>
      </c>
      <c r="D74" s="93">
        <f>I37/J20</f>
        <v>0.12367491166077739</v>
      </c>
    </row>
    <row r="80" spans="2:15" ht="13.8" thickBot="1" x14ac:dyDescent="0.3"/>
    <row r="81" spans="2:15" ht="24" customHeight="1" x14ac:dyDescent="0.25">
      <c r="B81" s="573" t="s">
        <v>174</v>
      </c>
      <c r="C81" s="574"/>
      <c r="D81" s="574"/>
      <c r="E81" s="574"/>
      <c r="F81" s="574"/>
      <c r="G81" s="574"/>
      <c r="H81" s="574"/>
      <c r="I81" s="574"/>
      <c r="J81" s="574"/>
      <c r="K81" s="574"/>
      <c r="L81" s="574"/>
      <c r="M81" s="574"/>
      <c r="N81" s="574"/>
      <c r="O81" s="574"/>
    </row>
    <row r="82" spans="2:15" ht="23.25" customHeight="1" x14ac:dyDescent="0.25">
      <c r="B82" s="575"/>
      <c r="C82" s="575"/>
      <c r="D82" s="575"/>
      <c r="E82" s="575"/>
      <c r="F82" s="575"/>
      <c r="G82" s="575"/>
      <c r="H82" s="575"/>
      <c r="I82" s="575"/>
      <c r="J82" s="575"/>
      <c r="K82" s="575"/>
      <c r="L82" s="575"/>
      <c r="M82" s="575"/>
      <c r="N82" s="575"/>
      <c r="O82" s="575"/>
    </row>
    <row r="85" spans="2:15" ht="12.75" customHeight="1" x14ac:dyDescent="0.25">
      <c r="B85" s="592" t="s">
        <v>288</v>
      </c>
      <c r="C85" s="592"/>
      <c r="D85" s="592"/>
      <c r="E85" s="592"/>
    </row>
    <row r="86" spans="2:15" x14ac:dyDescent="0.25">
      <c r="B86" s="592"/>
      <c r="C86" s="592"/>
      <c r="D86" s="592"/>
      <c r="E86" s="592"/>
    </row>
    <row r="87" spans="2:15" ht="12.75" customHeight="1" x14ac:dyDescent="0.25">
      <c r="B87" s="592" t="s">
        <v>289</v>
      </c>
      <c r="C87" s="592"/>
      <c r="D87" s="592"/>
      <c r="E87" s="592"/>
    </row>
    <row r="88" spans="2:15" x14ac:dyDescent="0.25">
      <c r="B88" s="592"/>
      <c r="C88" s="592"/>
      <c r="D88" s="592"/>
      <c r="E88" s="592"/>
    </row>
    <row r="89" spans="2:15" x14ac:dyDescent="0.25">
      <c r="B89" s="592"/>
      <c r="C89" s="592"/>
      <c r="D89" s="592"/>
      <c r="E89" s="592"/>
    </row>
    <row r="90" spans="2:15" ht="13.8" thickBot="1" x14ac:dyDescent="0.3"/>
    <row r="91" spans="2:15" ht="13.8" thickBot="1" x14ac:dyDescent="0.3">
      <c r="B91" s="84" t="s">
        <v>168</v>
      </c>
      <c r="C91" s="586" t="s">
        <v>164</v>
      </c>
      <c r="D91" s="587"/>
      <c r="E91" s="587"/>
      <c r="F91" s="588"/>
    </row>
    <row r="92" spans="2:15" x14ac:dyDescent="0.25">
      <c r="B92" s="78" t="s">
        <v>135</v>
      </c>
      <c r="C92" s="583" t="s">
        <v>165</v>
      </c>
      <c r="D92" s="584"/>
      <c r="E92" s="584"/>
      <c r="F92" s="585"/>
    </row>
    <row r="93" spans="2:15" x14ac:dyDescent="0.25">
      <c r="B93" s="80" t="s">
        <v>136</v>
      </c>
      <c r="C93" s="582" t="s">
        <v>165</v>
      </c>
      <c r="D93" s="580"/>
      <c r="E93" s="580"/>
      <c r="F93" s="581"/>
    </row>
    <row r="94" spans="2:15" x14ac:dyDescent="0.25">
      <c r="B94" s="80" t="s">
        <v>137</v>
      </c>
      <c r="C94" s="579" t="s">
        <v>166</v>
      </c>
      <c r="D94" s="580"/>
      <c r="E94" s="580"/>
      <c r="F94" s="581"/>
    </row>
    <row r="95" spans="2:15" ht="13.8" thickBot="1" x14ac:dyDescent="0.3">
      <c r="B95" s="100" t="s">
        <v>149</v>
      </c>
      <c r="C95" s="576" t="s">
        <v>167</v>
      </c>
      <c r="D95" s="577"/>
      <c r="E95" s="577"/>
      <c r="F95" s="578"/>
    </row>
    <row r="96" spans="2:15" ht="13.8" thickBot="1" x14ac:dyDescent="0.3"/>
    <row r="97" spans="2:8" ht="16.2" thickBot="1" x14ac:dyDescent="0.35">
      <c r="B97" s="589" t="s">
        <v>169</v>
      </c>
      <c r="C97" s="590"/>
      <c r="D97" s="590"/>
      <c r="E97" s="591"/>
      <c r="G97" s="595" t="s">
        <v>177</v>
      </c>
      <c r="H97" s="588"/>
    </row>
    <row r="98" spans="2:8" ht="13.8" thickBot="1" x14ac:dyDescent="0.3">
      <c r="B98" s="76" t="s">
        <v>172</v>
      </c>
      <c r="C98" s="95" t="s">
        <v>158</v>
      </c>
      <c r="D98" s="95" t="s">
        <v>163</v>
      </c>
      <c r="E98" s="77" t="s">
        <v>173</v>
      </c>
      <c r="G98" s="84" t="s">
        <v>368</v>
      </c>
      <c r="H98" s="86" t="s">
        <v>239</v>
      </c>
    </row>
    <row r="99" spans="2:8" x14ac:dyDescent="0.25">
      <c r="B99" s="78" t="s">
        <v>135</v>
      </c>
      <c r="C99" s="88">
        <f>E43</f>
        <v>351</v>
      </c>
      <c r="D99" s="96">
        <v>299</v>
      </c>
      <c r="E99" s="97">
        <f>D99*C99</f>
        <v>104949</v>
      </c>
      <c r="G99" s="179" t="s">
        <v>369</v>
      </c>
      <c r="H99" s="219">
        <v>20</v>
      </c>
    </row>
    <row r="100" spans="2:8" x14ac:dyDescent="0.25">
      <c r="B100" s="80" t="s">
        <v>136</v>
      </c>
      <c r="C100" s="90">
        <f>F43</f>
        <v>351</v>
      </c>
      <c r="D100" s="98">
        <v>299</v>
      </c>
      <c r="E100" s="99">
        <f t="shared" ref="E100:E102" si="2">D100*C100</f>
        <v>104949</v>
      </c>
      <c r="G100" s="139" t="s">
        <v>371</v>
      </c>
      <c r="H100" s="111">
        <v>20</v>
      </c>
    </row>
    <row r="101" spans="2:8" ht="13.8" thickBot="1" x14ac:dyDescent="0.3">
      <c r="B101" s="80" t="s">
        <v>137</v>
      </c>
      <c r="C101" s="90">
        <f>G43</f>
        <v>288</v>
      </c>
      <c r="D101" s="98">
        <v>353</v>
      </c>
      <c r="E101" s="99">
        <f t="shared" si="2"/>
        <v>101664</v>
      </c>
      <c r="G101" s="82" t="s">
        <v>370</v>
      </c>
      <c r="H101" s="115">
        <v>80</v>
      </c>
    </row>
    <row r="102" spans="2:8" ht="15.6" x14ac:dyDescent="0.25">
      <c r="B102" s="80" t="s">
        <v>149</v>
      </c>
      <c r="C102" s="90">
        <f>H43</f>
        <v>283.5</v>
      </c>
      <c r="D102" s="98">
        <v>384</v>
      </c>
      <c r="E102" s="99">
        <f t="shared" si="2"/>
        <v>108864</v>
      </c>
      <c r="G102" s="74" t="s">
        <v>393</v>
      </c>
      <c r="H102" s="220">
        <f>SUM(H99:H101)</f>
        <v>120</v>
      </c>
    </row>
    <row r="103" spans="2:8" ht="13.8" thickBot="1" x14ac:dyDescent="0.3">
      <c r="B103" s="100"/>
      <c r="C103" s="92"/>
      <c r="D103" s="101"/>
      <c r="E103" s="102"/>
    </row>
    <row r="104" spans="2:8" ht="15.6" x14ac:dyDescent="0.25">
      <c r="D104" s="74" t="s">
        <v>155</v>
      </c>
      <c r="E104" s="103">
        <f>SUM(E99:E103)</f>
        <v>420426</v>
      </c>
    </row>
    <row r="106" spans="2:8" ht="13.8" thickBot="1" x14ac:dyDescent="0.3"/>
    <row r="107" spans="2:8" ht="16.2" thickBot="1" x14ac:dyDescent="0.35">
      <c r="B107" s="589" t="s">
        <v>170</v>
      </c>
      <c r="C107" s="590"/>
      <c r="D107" s="590"/>
      <c r="E107" s="591"/>
      <c r="G107" s="595" t="s">
        <v>178</v>
      </c>
      <c r="H107" s="588"/>
    </row>
    <row r="108" spans="2:8" ht="13.8" thickBot="1" x14ac:dyDescent="0.3">
      <c r="B108" s="76" t="s">
        <v>172</v>
      </c>
      <c r="C108" s="95" t="s">
        <v>158</v>
      </c>
      <c r="D108" s="95" t="s">
        <v>163</v>
      </c>
      <c r="E108" s="77" t="s">
        <v>173</v>
      </c>
      <c r="G108" s="84" t="s">
        <v>368</v>
      </c>
      <c r="H108" s="86" t="s">
        <v>239</v>
      </c>
    </row>
    <row r="109" spans="2:8" x14ac:dyDescent="0.25">
      <c r="B109" s="78" t="s">
        <v>135</v>
      </c>
      <c r="C109" s="88">
        <f>C99</f>
        <v>351</v>
      </c>
      <c r="D109" s="96">
        <v>426</v>
      </c>
      <c r="E109" s="97">
        <f>D109*C109</f>
        <v>149526</v>
      </c>
      <c r="G109" s="179" t="s">
        <v>369</v>
      </c>
      <c r="H109" s="219">
        <v>50</v>
      </c>
    </row>
    <row r="110" spans="2:8" x14ac:dyDescent="0.25">
      <c r="B110" s="80" t="s">
        <v>136</v>
      </c>
      <c r="C110" s="90">
        <f>C100</f>
        <v>351</v>
      </c>
      <c r="D110" s="98">
        <v>426</v>
      </c>
      <c r="E110" s="99">
        <f t="shared" ref="E110:E112" si="3">D110*C110</f>
        <v>149526</v>
      </c>
      <c r="G110" s="139" t="s">
        <v>371</v>
      </c>
      <c r="H110" s="111">
        <v>50</v>
      </c>
    </row>
    <row r="111" spans="2:8" ht="13.8" thickBot="1" x14ac:dyDescent="0.3">
      <c r="B111" s="80" t="s">
        <v>137</v>
      </c>
      <c r="C111" s="90">
        <f>C101</f>
        <v>288</v>
      </c>
      <c r="D111" s="98">
        <v>520</v>
      </c>
      <c r="E111" s="99">
        <f t="shared" si="3"/>
        <v>149760</v>
      </c>
      <c r="G111" s="82" t="s">
        <v>370</v>
      </c>
      <c r="H111" s="115">
        <v>50</v>
      </c>
    </row>
    <row r="112" spans="2:8" ht="15.6" x14ac:dyDescent="0.25">
      <c r="B112" s="80" t="s">
        <v>149</v>
      </c>
      <c r="C112" s="90">
        <f>C102</f>
        <v>283.5</v>
      </c>
      <c r="D112" s="98">
        <v>520</v>
      </c>
      <c r="E112" s="99">
        <f t="shared" si="3"/>
        <v>147420</v>
      </c>
      <c r="G112" s="74" t="s">
        <v>393</v>
      </c>
      <c r="H112" s="220">
        <f>SUM(H109:H111)</f>
        <v>150</v>
      </c>
    </row>
    <row r="113" spans="2:15" ht="13.8" thickBot="1" x14ac:dyDescent="0.3">
      <c r="B113" s="100"/>
      <c r="C113" s="92"/>
      <c r="D113" s="101"/>
      <c r="E113" s="102"/>
    </row>
    <row r="114" spans="2:15" ht="15.6" x14ac:dyDescent="0.25">
      <c r="D114" s="74" t="s">
        <v>155</v>
      </c>
      <c r="E114" s="103">
        <f>SUM(E109:E113)</f>
        <v>596232</v>
      </c>
    </row>
    <row r="116" spans="2:15" ht="13.8" thickBot="1" x14ac:dyDescent="0.3"/>
    <row r="117" spans="2:15" ht="16.2" thickBot="1" x14ac:dyDescent="0.35">
      <c r="B117" s="589" t="s">
        <v>171</v>
      </c>
      <c r="C117" s="590"/>
      <c r="D117" s="590"/>
      <c r="E117" s="591"/>
      <c r="G117" s="595" t="s">
        <v>179</v>
      </c>
      <c r="H117" s="588"/>
    </row>
    <row r="118" spans="2:15" ht="13.8" thickBot="1" x14ac:dyDescent="0.3">
      <c r="B118" s="76" t="s">
        <v>172</v>
      </c>
      <c r="C118" s="95" t="s">
        <v>158</v>
      </c>
      <c r="D118" s="95" t="s">
        <v>163</v>
      </c>
      <c r="E118" s="77" t="s">
        <v>173</v>
      </c>
      <c r="G118" s="84" t="s">
        <v>368</v>
      </c>
      <c r="H118" s="86" t="s">
        <v>239</v>
      </c>
    </row>
    <row r="119" spans="2:15" x14ac:dyDescent="0.25">
      <c r="B119" s="78" t="s">
        <v>135</v>
      </c>
      <c r="C119" s="88">
        <f>C109</f>
        <v>351</v>
      </c>
      <c r="D119" s="96">
        <v>569</v>
      </c>
      <c r="E119" s="97">
        <f>D119*C119</f>
        <v>199719</v>
      </c>
      <c r="G119" s="179" t="s">
        <v>369</v>
      </c>
      <c r="H119" s="219">
        <v>80</v>
      </c>
    </row>
    <row r="120" spans="2:15" x14ac:dyDescent="0.25">
      <c r="B120" s="80" t="s">
        <v>136</v>
      </c>
      <c r="C120" s="90">
        <f>C110</f>
        <v>351</v>
      </c>
      <c r="D120" s="98">
        <v>569</v>
      </c>
      <c r="E120" s="99">
        <f t="shared" ref="E120:E122" si="4">D120*C120</f>
        <v>199719</v>
      </c>
      <c r="G120" s="139" t="s">
        <v>371</v>
      </c>
      <c r="H120" s="111">
        <v>80</v>
      </c>
      <c r="I120" s="104"/>
    </row>
    <row r="121" spans="2:15" ht="13.8" thickBot="1" x14ac:dyDescent="0.3">
      <c r="B121" s="80" t="s">
        <v>137</v>
      </c>
      <c r="C121" s="90">
        <f>C111</f>
        <v>288</v>
      </c>
      <c r="D121" s="98">
        <v>665</v>
      </c>
      <c r="E121" s="99">
        <f t="shared" si="4"/>
        <v>191520</v>
      </c>
      <c r="G121" s="82" t="s">
        <v>370</v>
      </c>
      <c r="H121" s="115">
        <v>20</v>
      </c>
    </row>
    <row r="122" spans="2:15" ht="15.6" x14ac:dyDescent="0.25">
      <c r="B122" s="80" t="s">
        <v>149</v>
      </c>
      <c r="C122" s="90">
        <f>C112</f>
        <v>283.5</v>
      </c>
      <c r="D122" s="98">
        <v>689</v>
      </c>
      <c r="E122" s="99">
        <f t="shared" si="4"/>
        <v>195331.5</v>
      </c>
      <c r="G122" s="74" t="s">
        <v>393</v>
      </c>
      <c r="H122" s="220">
        <f>SUM(H119:H121)</f>
        <v>180</v>
      </c>
    </row>
    <row r="123" spans="2:15" ht="13.8" thickBot="1" x14ac:dyDescent="0.3">
      <c r="B123" s="100"/>
      <c r="C123" s="92"/>
      <c r="D123" s="101"/>
      <c r="E123" s="102"/>
    </row>
    <row r="124" spans="2:15" ht="15.6" x14ac:dyDescent="0.25">
      <c r="D124" s="74" t="s">
        <v>155</v>
      </c>
      <c r="E124" s="103">
        <f>SUM(E119:E123)</f>
        <v>786289.5</v>
      </c>
    </row>
    <row r="126" spans="2:15" ht="13.8" thickBot="1" x14ac:dyDescent="0.3"/>
    <row r="127" spans="2:15" ht="23.4" thickBot="1" x14ac:dyDescent="0.45">
      <c r="B127" s="551" t="s">
        <v>175</v>
      </c>
      <c r="C127" s="552"/>
      <c r="D127" s="552"/>
      <c r="E127" s="552"/>
      <c r="F127" s="552"/>
      <c r="G127" s="552"/>
      <c r="H127" s="552"/>
      <c r="I127" s="552"/>
      <c r="J127" s="552"/>
      <c r="K127" s="552"/>
      <c r="L127" s="552"/>
      <c r="M127" s="552"/>
      <c r="N127" s="552"/>
      <c r="O127" s="553"/>
    </row>
    <row r="130" spans="2:2" ht="20.399999999999999" x14ac:dyDescent="0.35">
      <c r="B130" s="105" t="s">
        <v>227</v>
      </c>
    </row>
    <row r="131" spans="2:2" x14ac:dyDescent="0.25">
      <c r="B131" s="62" t="s">
        <v>228</v>
      </c>
    </row>
    <row r="132" spans="2:2" x14ac:dyDescent="0.25">
      <c r="B132" s="1" t="s">
        <v>229</v>
      </c>
    </row>
    <row r="133" spans="2:2" x14ac:dyDescent="0.25">
      <c r="B133" s="106" t="s">
        <v>230</v>
      </c>
    </row>
    <row r="134" spans="2:2" x14ac:dyDescent="0.25">
      <c r="B134" s="106" t="s">
        <v>231</v>
      </c>
    </row>
    <row r="135" spans="2:2" x14ac:dyDescent="0.25">
      <c r="B135" s="106" t="s">
        <v>232</v>
      </c>
    </row>
    <row r="137" spans="2:2" x14ac:dyDescent="0.25">
      <c r="B137" s="57" t="s">
        <v>233</v>
      </c>
    </row>
    <row r="138" spans="2:2" x14ac:dyDescent="0.25">
      <c r="B138" s="58" t="s">
        <v>254</v>
      </c>
    </row>
    <row r="139" spans="2:2" x14ac:dyDescent="0.25">
      <c r="B139" s="106" t="s">
        <v>234</v>
      </c>
    </row>
    <row r="141" spans="2:2" ht="20.399999999999999" x14ac:dyDescent="0.35">
      <c r="B141" s="105" t="s">
        <v>236</v>
      </c>
    </row>
    <row r="142" spans="2:2" x14ac:dyDescent="0.25">
      <c r="B142" s="58" t="s">
        <v>212</v>
      </c>
    </row>
    <row r="143" spans="2:2" x14ac:dyDescent="0.25">
      <c r="B143" s="58" t="s">
        <v>235</v>
      </c>
    </row>
    <row r="144" spans="2:2" x14ac:dyDescent="0.25">
      <c r="B144" s="58" t="s">
        <v>255</v>
      </c>
    </row>
    <row r="145" spans="1:8" x14ac:dyDescent="0.25">
      <c r="B145" s="58" t="s">
        <v>256</v>
      </c>
    </row>
    <row r="146" spans="1:8" x14ac:dyDescent="0.25">
      <c r="B146" s="58" t="s">
        <v>257</v>
      </c>
    </row>
    <row r="148" spans="1:8" ht="18.600000000000001" thickBot="1" x14ac:dyDescent="0.4">
      <c r="B148" s="107" t="s">
        <v>242</v>
      </c>
    </row>
    <row r="149" spans="1:8" ht="13.8" thickBot="1" x14ac:dyDescent="0.3">
      <c r="B149" s="84" t="s">
        <v>238</v>
      </c>
      <c r="C149" s="85" t="s">
        <v>239</v>
      </c>
      <c r="D149" s="86" t="s">
        <v>240</v>
      </c>
      <c r="F149" s="108" t="s">
        <v>245</v>
      </c>
    </row>
    <row r="150" spans="1:8" x14ac:dyDescent="0.25">
      <c r="A150" s="58" t="s">
        <v>244</v>
      </c>
      <c r="B150" s="78" t="s">
        <v>191</v>
      </c>
      <c r="C150" s="88" t="s">
        <v>192</v>
      </c>
      <c r="D150" s="109" t="s">
        <v>195</v>
      </c>
      <c r="F150" s="60" t="s">
        <v>246</v>
      </c>
      <c r="G150" s="60">
        <v>1000000</v>
      </c>
      <c r="H150" s="60" t="s">
        <v>195</v>
      </c>
    </row>
    <row r="151" spans="1:8" x14ac:dyDescent="0.25">
      <c r="B151" s="80" t="s">
        <v>190</v>
      </c>
      <c r="C151" s="110">
        <f>3*(512*512)/1024/1024</f>
        <v>0.75</v>
      </c>
      <c r="D151" s="111" t="s">
        <v>193</v>
      </c>
      <c r="F151" s="60" t="s">
        <v>250</v>
      </c>
      <c r="G151" s="60">
        <f>G150*3</f>
        <v>3000000</v>
      </c>
      <c r="H151" s="60" t="s">
        <v>251</v>
      </c>
    </row>
    <row r="152" spans="1:8" x14ac:dyDescent="0.25">
      <c r="A152" s="58" t="s">
        <v>244</v>
      </c>
      <c r="B152" s="80" t="s">
        <v>194</v>
      </c>
      <c r="C152" s="112">
        <v>30000000</v>
      </c>
      <c r="D152" s="111" t="s">
        <v>241</v>
      </c>
      <c r="F152" s="60" t="s">
        <v>249</v>
      </c>
      <c r="G152" s="113">
        <f>G151/1024</f>
        <v>2929.6875</v>
      </c>
      <c r="H152" s="60" t="s">
        <v>252</v>
      </c>
    </row>
    <row r="153" spans="1:8" ht="26.4" x14ac:dyDescent="0.25">
      <c r="B153" s="80" t="s">
        <v>196</v>
      </c>
      <c r="C153" s="110">
        <f>C152*C151/1024</f>
        <v>21972.65625</v>
      </c>
      <c r="D153" s="111" t="s">
        <v>197</v>
      </c>
      <c r="F153" s="60" t="s">
        <v>247</v>
      </c>
      <c r="G153" s="113">
        <f>G152/1024</f>
        <v>2.86102294921875</v>
      </c>
      <c r="H153" s="60" t="s">
        <v>193</v>
      </c>
    </row>
    <row r="154" spans="1:8" ht="27" thickBot="1" x14ac:dyDescent="0.3">
      <c r="B154" s="100" t="s">
        <v>198</v>
      </c>
      <c r="C154" s="114">
        <v>0.25</v>
      </c>
      <c r="D154" s="115"/>
    </row>
    <row r="155" spans="1:8" x14ac:dyDescent="0.25">
      <c r="B155" s="116" t="s">
        <v>199</v>
      </c>
      <c r="C155" s="117">
        <f>(1+C154)*C153</f>
        <v>27465.8203125</v>
      </c>
      <c r="D155" s="116" t="s">
        <v>197</v>
      </c>
    </row>
    <row r="157" spans="1:8" x14ac:dyDescent="0.25">
      <c r="B157" s="58" t="s">
        <v>248</v>
      </c>
    </row>
    <row r="158" spans="1:8" ht="13.8" thickBot="1" x14ac:dyDescent="0.3"/>
    <row r="159" spans="1:8" ht="13.8" thickBot="1" x14ac:dyDescent="0.3">
      <c r="B159" s="84" t="s">
        <v>238</v>
      </c>
      <c r="C159" s="85" t="s">
        <v>239</v>
      </c>
      <c r="D159" s="86" t="s">
        <v>240</v>
      </c>
    </row>
    <row r="160" spans="1:8" x14ac:dyDescent="0.25">
      <c r="B160" s="179" t="s">
        <v>184</v>
      </c>
      <c r="C160" s="218">
        <v>30000</v>
      </c>
      <c r="D160" s="219" t="s">
        <v>197</v>
      </c>
    </row>
    <row r="161" spans="1:11" ht="13.8" thickBot="1" x14ac:dyDescent="0.3">
      <c r="B161" s="82" t="s">
        <v>185</v>
      </c>
      <c r="C161" s="92" t="s">
        <v>186</v>
      </c>
      <c r="D161" s="115"/>
    </row>
    <row r="162" spans="1:11" x14ac:dyDescent="0.25">
      <c r="B162" s="537" t="s">
        <v>187</v>
      </c>
      <c r="C162" s="118">
        <v>576</v>
      </c>
      <c r="D162" s="119" t="s">
        <v>183</v>
      </c>
    </row>
    <row r="163" spans="1:11" x14ac:dyDescent="0.25">
      <c r="B163" s="120"/>
      <c r="C163" s="120"/>
    </row>
    <row r="164" spans="1:11" x14ac:dyDescent="0.25">
      <c r="B164" s="58" t="s">
        <v>188</v>
      </c>
    </row>
    <row r="165" spans="1:11" x14ac:dyDescent="0.25">
      <c r="B165" s="58" t="s">
        <v>200</v>
      </c>
    </row>
    <row r="166" spans="1:11" ht="13.8" thickBot="1" x14ac:dyDescent="0.3"/>
    <row r="167" spans="1:11" ht="13.8" thickBot="1" x14ac:dyDescent="0.3">
      <c r="B167" s="76" t="s">
        <v>238</v>
      </c>
      <c r="C167" s="95" t="s">
        <v>239</v>
      </c>
    </row>
    <row r="168" spans="1:11" ht="26.4" x14ac:dyDescent="0.25">
      <c r="B168" s="78" t="s">
        <v>365</v>
      </c>
      <c r="C168" s="109">
        <f>SUM(G21:G42)</f>
        <v>288</v>
      </c>
    </row>
    <row r="169" spans="1:11" ht="39.6" x14ac:dyDescent="0.25">
      <c r="A169" s="60" t="s">
        <v>243</v>
      </c>
      <c r="B169" s="80" t="s">
        <v>366</v>
      </c>
      <c r="C169" s="216">
        <v>0.2</v>
      </c>
    </row>
    <row r="170" spans="1:11" ht="40.200000000000003" thickBot="1" x14ac:dyDescent="0.3">
      <c r="B170" s="100" t="s">
        <v>367</v>
      </c>
      <c r="C170" s="217">
        <f>C168*C169</f>
        <v>57.6</v>
      </c>
    </row>
    <row r="171" spans="1:11" x14ac:dyDescent="0.25">
      <c r="B171" s="536" t="s">
        <v>189</v>
      </c>
      <c r="C171" s="118">
        <f>C170*C162/29</f>
        <v>1144.0551724137931</v>
      </c>
      <c r="K171" s="121"/>
    </row>
    <row r="172" spans="1:11" x14ac:dyDescent="0.25">
      <c r="B172" s="57"/>
      <c r="C172" s="122"/>
    </row>
    <row r="173" spans="1:11" x14ac:dyDescent="0.25">
      <c r="B173" s="57"/>
      <c r="C173" s="122"/>
    </row>
    <row r="174" spans="1:11" x14ac:dyDescent="0.25">
      <c r="B174" s="57"/>
      <c r="C174" s="122"/>
    </row>
    <row r="175" spans="1:11" ht="20.399999999999999" x14ac:dyDescent="0.35">
      <c r="B175" s="105" t="s">
        <v>237</v>
      </c>
      <c r="C175" s="122"/>
    </row>
    <row r="176" spans="1:11" ht="20.399999999999999" x14ac:dyDescent="0.35">
      <c r="B176" s="105"/>
      <c r="C176" s="122"/>
    </row>
    <row r="177" spans="1:4" ht="18" x14ac:dyDescent="0.35">
      <c r="A177" s="58" t="s">
        <v>244</v>
      </c>
      <c r="B177" s="123" t="s">
        <v>263</v>
      </c>
      <c r="C177" s="122"/>
    </row>
    <row r="178" spans="1:4" x14ac:dyDescent="0.25">
      <c r="B178" s="57" t="s">
        <v>201</v>
      </c>
      <c r="C178" s="120"/>
    </row>
    <row r="179" spans="1:4" x14ac:dyDescent="0.25">
      <c r="B179" s="57" t="s">
        <v>202</v>
      </c>
      <c r="C179" s="120"/>
    </row>
    <row r="180" spans="1:4" x14ac:dyDescent="0.25">
      <c r="B180" s="57" t="s">
        <v>207</v>
      </c>
      <c r="C180" s="120"/>
    </row>
    <row r="181" spans="1:4" x14ac:dyDescent="0.25">
      <c r="B181" s="124" t="s">
        <v>203</v>
      </c>
      <c r="C181" s="122"/>
    </row>
    <row r="182" spans="1:4" x14ac:dyDescent="0.25">
      <c r="B182" s="124" t="s">
        <v>213</v>
      </c>
      <c r="C182" s="122"/>
    </row>
    <row r="183" spans="1:4" ht="13.8" thickBot="1" x14ac:dyDescent="0.3">
      <c r="B183" s="57"/>
      <c r="C183" s="122"/>
    </row>
    <row r="184" spans="1:4" ht="13.8" thickBot="1" x14ac:dyDescent="0.3">
      <c r="B184" s="125" t="s">
        <v>258</v>
      </c>
      <c r="C184" s="126" t="s">
        <v>259</v>
      </c>
      <c r="D184" s="127" t="s">
        <v>260</v>
      </c>
    </row>
    <row r="185" spans="1:4" x14ac:dyDescent="0.25">
      <c r="B185" s="128" t="s">
        <v>261</v>
      </c>
      <c r="C185" s="129">
        <v>6</v>
      </c>
      <c r="D185" s="130">
        <v>12</v>
      </c>
    </row>
    <row r="186" spans="1:4" x14ac:dyDescent="0.25">
      <c r="B186" s="131" t="s">
        <v>262</v>
      </c>
      <c r="C186" s="132" t="s">
        <v>264</v>
      </c>
      <c r="D186" s="133" t="s">
        <v>265</v>
      </c>
    </row>
    <row r="187" spans="1:4" x14ac:dyDescent="0.25">
      <c r="B187" s="131" t="s">
        <v>266</v>
      </c>
      <c r="C187" s="132">
        <v>1</v>
      </c>
      <c r="D187" s="133">
        <v>2</v>
      </c>
    </row>
    <row r="188" spans="1:4" ht="13.8" thickBot="1" x14ac:dyDescent="0.3">
      <c r="B188" s="134" t="s">
        <v>267</v>
      </c>
      <c r="C188" s="135">
        <v>12</v>
      </c>
      <c r="D188" s="136">
        <v>24</v>
      </c>
    </row>
    <row r="189" spans="1:4" x14ac:dyDescent="0.25">
      <c r="B189" s="57"/>
      <c r="C189" s="122"/>
    </row>
    <row r="190" spans="1:4" x14ac:dyDescent="0.25">
      <c r="B190" s="57"/>
      <c r="C190" s="122"/>
    </row>
    <row r="191" spans="1:4" x14ac:dyDescent="0.25">
      <c r="B191" s="57"/>
      <c r="C191" s="122"/>
    </row>
    <row r="192" spans="1:4" x14ac:dyDescent="0.25">
      <c r="B192" s="57"/>
      <c r="C192" s="122"/>
    </row>
    <row r="193" spans="1:3" ht="18" x14ac:dyDescent="0.35">
      <c r="B193" s="123" t="s">
        <v>278</v>
      </c>
      <c r="C193" s="122"/>
    </row>
    <row r="194" spans="1:3" x14ac:dyDescent="0.25">
      <c r="B194" s="58" t="s">
        <v>268</v>
      </c>
      <c r="C194" s="122"/>
    </row>
    <row r="195" spans="1:3" x14ac:dyDescent="0.25">
      <c r="A195" s="58" t="s">
        <v>244</v>
      </c>
      <c r="B195" s="58" t="s">
        <v>269</v>
      </c>
      <c r="C195" s="122"/>
    </row>
    <row r="196" spans="1:3" x14ac:dyDescent="0.25">
      <c r="B196" s="106" t="s">
        <v>270</v>
      </c>
      <c r="C196" s="122"/>
    </row>
    <row r="197" spans="1:3" x14ac:dyDescent="0.25">
      <c r="B197" s="106" t="s">
        <v>271</v>
      </c>
      <c r="C197" s="122"/>
    </row>
    <row r="198" spans="1:3" x14ac:dyDescent="0.25">
      <c r="B198" s="106" t="s">
        <v>272</v>
      </c>
      <c r="C198" s="122"/>
    </row>
    <row r="199" spans="1:3" x14ac:dyDescent="0.25">
      <c r="C199" s="122"/>
    </row>
    <row r="200" spans="1:3" x14ac:dyDescent="0.25">
      <c r="B200" s="58" t="s">
        <v>273</v>
      </c>
      <c r="C200" s="122"/>
    </row>
    <row r="201" spans="1:3" ht="13.8" thickBot="1" x14ac:dyDescent="0.3">
      <c r="C201" s="122"/>
    </row>
    <row r="202" spans="1:3" ht="13.8" thickBot="1" x14ac:dyDescent="0.3">
      <c r="B202" s="605" t="s">
        <v>259</v>
      </c>
      <c r="C202" s="634"/>
    </row>
    <row r="203" spans="1:3" x14ac:dyDescent="0.25">
      <c r="B203" s="137" t="s">
        <v>277</v>
      </c>
      <c r="C203" s="138" t="s">
        <v>239</v>
      </c>
    </row>
    <row r="204" spans="1:3" x14ac:dyDescent="0.25">
      <c r="B204" s="139" t="s">
        <v>274</v>
      </c>
      <c r="C204" s="140">
        <f>C160</f>
        <v>30000</v>
      </c>
    </row>
    <row r="205" spans="1:3" x14ac:dyDescent="0.25">
      <c r="B205" s="139" t="s">
        <v>275</v>
      </c>
      <c r="C205" s="111">
        <v>340</v>
      </c>
    </row>
    <row r="206" spans="1:3" ht="13.8" thickBot="1" x14ac:dyDescent="0.3">
      <c r="B206" s="141" t="s">
        <v>276</v>
      </c>
      <c r="C206" s="142">
        <f>ROUNDUP(C204/C205,0)</f>
        <v>89</v>
      </c>
    </row>
    <row r="207" spans="1:3" ht="13.8" thickBot="1" x14ac:dyDescent="0.3">
      <c r="B207" s="60"/>
      <c r="C207" s="143"/>
    </row>
    <row r="208" spans="1:3" ht="13.8" thickBot="1" x14ac:dyDescent="0.3">
      <c r="B208" s="605" t="s">
        <v>260</v>
      </c>
      <c r="C208" s="634"/>
    </row>
    <row r="209" spans="1:5" x14ac:dyDescent="0.25">
      <c r="B209" s="137" t="s">
        <v>277</v>
      </c>
      <c r="C209" s="138" t="s">
        <v>239</v>
      </c>
    </row>
    <row r="210" spans="1:5" x14ac:dyDescent="0.25">
      <c r="B210" s="139" t="s">
        <v>274</v>
      </c>
      <c r="C210" s="140">
        <f>C160</f>
        <v>30000</v>
      </c>
    </row>
    <row r="211" spans="1:5" x14ac:dyDescent="0.25">
      <c r="B211" s="139" t="s">
        <v>275</v>
      </c>
      <c r="C211" s="111">
        <v>680</v>
      </c>
    </row>
    <row r="212" spans="1:5" ht="13.8" thickBot="1" x14ac:dyDescent="0.3">
      <c r="B212" s="141" t="s">
        <v>276</v>
      </c>
      <c r="C212" s="142">
        <f>ROUNDUP(C210/C211,0)</f>
        <v>45</v>
      </c>
    </row>
    <row r="213" spans="1:5" ht="18" x14ac:dyDescent="0.35">
      <c r="B213" s="123"/>
      <c r="C213" s="122"/>
    </row>
    <row r="214" spans="1:5" ht="18" x14ac:dyDescent="0.35">
      <c r="B214" s="123" t="s">
        <v>279</v>
      </c>
      <c r="C214" s="122"/>
    </row>
    <row r="215" spans="1:5" x14ac:dyDescent="0.25">
      <c r="B215" s="58" t="s">
        <v>280</v>
      </c>
      <c r="C215" s="106"/>
    </row>
    <row r="216" spans="1:5" x14ac:dyDescent="0.25">
      <c r="B216" s="58" t="s">
        <v>281</v>
      </c>
      <c r="C216" s="106"/>
    </row>
    <row r="217" spans="1:5" x14ac:dyDescent="0.25">
      <c r="B217" s="58" t="s">
        <v>282</v>
      </c>
      <c r="C217" s="106"/>
    </row>
    <row r="218" spans="1:5" ht="13.8" thickBot="1" x14ac:dyDescent="0.3">
      <c r="C218" s="106"/>
    </row>
    <row r="219" spans="1:5" x14ac:dyDescent="0.25">
      <c r="B219" s="137" t="s">
        <v>277</v>
      </c>
      <c r="C219" s="161" t="s">
        <v>239</v>
      </c>
      <c r="D219" s="138" t="s">
        <v>240</v>
      </c>
    </row>
    <row r="220" spans="1:5" ht="40.200000000000003" thickBot="1" x14ac:dyDescent="0.3">
      <c r="A220" s="60" t="s">
        <v>244</v>
      </c>
      <c r="B220" s="100" t="s">
        <v>293</v>
      </c>
      <c r="C220" s="162">
        <v>0.2</v>
      </c>
      <c r="D220" s="115"/>
    </row>
    <row r="221" spans="1:5" ht="39.6" x14ac:dyDescent="0.25">
      <c r="A221" s="60" t="s">
        <v>244</v>
      </c>
      <c r="B221" s="144" t="s">
        <v>283</v>
      </c>
      <c r="C221" s="145">
        <f>ROUNDUP(C220*32*8,0)</f>
        <v>52</v>
      </c>
      <c r="D221" s="116" t="s">
        <v>204</v>
      </c>
      <c r="E221" s="58" t="s">
        <v>294</v>
      </c>
    </row>
    <row r="222" spans="1:5" x14ac:dyDescent="0.25">
      <c r="C222" s="106"/>
    </row>
    <row r="223" spans="1:5" x14ac:dyDescent="0.25">
      <c r="B223" s="57"/>
      <c r="C223" s="57"/>
    </row>
    <row r="224" spans="1:5" x14ac:dyDescent="0.25">
      <c r="B224" s="57"/>
      <c r="C224" s="57"/>
    </row>
    <row r="225" spans="2:11" s="146" customFormat="1" ht="36.75" customHeight="1" x14ac:dyDescent="0.25">
      <c r="B225" s="147"/>
      <c r="C225" s="148" t="s">
        <v>206</v>
      </c>
      <c r="D225" s="149" t="s">
        <v>210</v>
      </c>
      <c r="E225" s="149" t="s">
        <v>208</v>
      </c>
      <c r="F225" s="149" t="s">
        <v>211</v>
      </c>
      <c r="G225" s="596" t="s">
        <v>364</v>
      </c>
      <c r="H225" s="596"/>
      <c r="I225" s="596"/>
      <c r="J225" s="596"/>
      <c r="K225" s="596"/>
    </row>
    <row r="226" spans="2:11" x14ac:dyDescent="0.25">
      <c r="B226" s="57" t="s">
        <v>205</v>
      </c>
      <c r="C226" s="57">
        <v>89</v>
      </c>
      <c r="D226" s="58">
        <f>C221</f>
        <v>52</v>
      </c>
      <c r="E226" s="58">
        <v>3.85</v>
      </c>
      <c r="F226" s="58">
        <v>127.24</v>
      </c>
      <c r="G226" s="150">
        <f>C226*D226*E226+F226*C226</f>
        <v>29142.159999999996</v>
      </c>
    </row>
    <row r="227" spans="2:11" x14ac:dyDescent="0.25">
      <c r="B227" s="57" t="s">
        <v>209</v>
      </c>
      <c r="C227" s="57">
        <v>45</v>
      </c>
      <c r="D227" s="58">
        <f>C221</f>
        <v>52</v>
      </c>
      <c r="E227" s="58">
        <v>7.71</v>
      </c>
      <c r="F227" s="58">
        <v>127.24</v>
      </c>
      <c r="G227" s="150">
        <f>C227*D227*E227+F227*C227</f>
        <v>23767.200000000001</v>
      </c>
    </row>
    <row r="228" spans="2:11" x14ac:dyDescent="0.25">
      <c r="B228" s="57"/>
      <c r="C228" s="57"/>
      <c r="G228" s="151"/>
    </row>
    <row r="229" spans="2:11" x14ac:dyDescent="0.25">
      <c r="B229" s="57"/>
      <c r="C229" s="57"/>
      <c r="G229" s="151"/>
    </row>
    <row r="230" spans="2:11" ht="18" x14ac:dyDescent="0.35">
      <c r="B230" s="123" t="s">
        <v>284</v>
      </c>
      <c r="C230" s="57"/>
      <c r="G230" s="151"/>
    </row>
    <row r="231" spans="2:11" ht="13.8" thickBot="1" x14ac:dyDescent="0.3">
      <c r="B231" s="57"/>
      <c r="C231" s="57"/>
      <c r="G231" s="151"/>
    </row>
    <row r="232" spans="2:11" ht="13.8" thickBot="1" x14ac:dyDescent="0.3">
      <c r="B232" s="593" t="s">
        <v>259</v>
      </c>
      <c r="C232" s="594"/>
      <c r="G232" s="151"/>
    </row>
    <row r="233" spans="2:11" x14ac:dyDescent="0.25">
      <c r="B233" s="137" t="s">
        <v>285</v>
      </c>
      <c r="C233" s="138" t="s">
        <v>239</v>
      </c>
      <c r="G233" s="151"/>
    </row>
    <row r="234" spans="2:11" x14ac:dyDescent="0.25">
      <c r="B234" s="139" t="s">
        <v>286</v>
      </c>
      <c r="C234" s="152">
        <f>C171</f>
        <v>1144.0551724137931</v>
      </c>
      <c r="G234" s="151"/>
    </row>
    <row r="235" spans="2:11" x14ac:dyDescent="0.25">
      <c r="B235" s="139" t="s">
        <v>287</v>
      </c>
      <c r="C235" s="153">
        <f>G226</f>
        <v>29142.159999999996</v>
      </c>
      <c r="G235" s="151"/>
    </row>
    <row r="236" spans="2:11" ht="13.8" thickBot="1" x14ac:dyDescent="0.3">
      <c r="B236" s="141" t="s">
        <v>155</v>
      </c>
      <c r="C236" s="154">
        <f>C234+C235</f>
        <v>30286.215172413788</v>
      </c>
      <c r="G236" s="151"/>
    </row>
    <row r="237" spans="2:11" ht="13.8" thickBot="1" x14ac:dyDescent="0.3">
      <c r="B237" s="57"/>
      <c r="C237" s="57"/>
      <c r="G237" s="151"/>
    </row>
    <row r="238" spans="2:11" ht="13.8" thickBot="1" x14ac:dyDescent="0.3">
      <c r="B238" s="593" t="s">
        <v>260</v>
      </c>
      <c r="C238" s="594"/>
      <c r="G238" s="151"/>
    </row>
    <row r="239" spans="2:11" x14ac:dyDescent="0.25">
      <c r="B239" s="137" t="s">
        <v>285</v>
      </c>
      <c r="C239" s="138" t="s">
        <v>239</v>
      </c>
      <c r="G239" s="151"/>
    </row>
    <row r="240" spans="2:11" x14ac:dyDescent="0.25">
      <c r="B240" s="139" t="s">
        <v>286</v>
      </c>
      <c r="C240" s="152">
        <f>C171</f>
        <v>1144.0551724137931</v>
      </c>
      <c r="G240" s="151"/>
    </row>
    <row r="241" spans="1:15" x14ac:dyDescent="0.25">
      <c r="B241" s="139" t="s">
        <v>287</v>
      </c>
      <c r="C241" s="153">
        <f>G227</f>
        <v>23767.200000000001</v>
      </c>
      <c r="G241" s="151"/>
    </row>
    <row r="242" spans="1:15" ht="13.8" thickBot="1" x14ac:dyDescent="0.3">
      <c r="B242" s="141" t="s">
        <v>155</v>
      </c>
      <c r="C242" s="154">
        <f>C240+C241</f>
        <v>24911.255172413796</v>
      </c>
      <c r="G242" s="151"/>
    </row>
    <row r="243" spans="1:15" x14ac:dyDescent="0.25">
      <c r="B243" s="57"/>
      <c r="C243" s="57"/>
      <c r="G243" s="151"/>
    </row>
    <row r="244" spans="1:15" x14ac:dyDescent="0.25">
      <c r="B244" s="57"/>
      <c r="C244" s="57"/>
      <c r="G244" s="151"/>
    </row>
    <row r="245" spans="1:15" x14ac:dyDescent="0.25">
      <c r="B245" s="57"/>
      <c r="C245" s="57"/>
      <c r="G245" s="151"/>
    </row>
    <row r="246" spans="1:15" x14ac:dyDescent="0.25">
      <c r="B246" s="57"/>
      <c r="C246" s="57"/>
      <c r="G246" s="151"/>
    </row>
    <row r="247" spans="1:15" ht="13.8" thickBot="1" x14ac:dyDescent="0.3"/>
    <row r="248" spans="1:15" ht="23.4" thickBot="1" x14ac:dyDescent="0.45">
      <c r="B248" s="551" t="s">
        <v>180</v>
      </c>
      <c r="C248" s="552"/>
      <c r="D248" s="552"/>
      <c r="E248" s="552"/>
      <c r="F248" s="552"/>
      <c r="G248" s="552"/>
      <c r="H248" s="552"/>
      <c r="I248" s="552"/>
      <c r="J248" s="552"/>
      <c r="K248" s="552"/>
      <c r="L248" s="552"/>
      <c r="M248" s="552"/>
      <c r="N248" s="552"/>
      <c r="O248" s="553"/>
    </row>
    <row r="249" spans="1:15" x14ac:dyDescent="0.25">
      <c r="O249" s="155"/>
    </row>
    <row r="250" spans="1:15" ht="12.75" customHeight="1" x14ac:dyDescent="0.25">
      <c r="A250" s="58" t="s">
        <v>244</v>
      </c>
      <c r="B250" s="158" t="s">
        <v>290</v>
      </c>
      <c r="C250" s="148"/>
      <c r="D250" s="148"/>
      <c r="E250" s="148"/>
    </row>
    <row r="251" spans="1:15" ht="13.8" thickBot="1" x14ac:dyDescent="0.3"/>
    <row r="252" spans="1:15" ht="16.2" thickBot="1" x14ac:dyDescent="0.35">
      <c r="B252" s="635" t="s">
        <v>176</v>
      </c>
      <c r="C252" s="636"/>
    </row>
    <row r="253" spans="1:15" x14ac:dyDescent="0.25">
      <c r="B253" s="270" t="s">
        <v>177</v>
      </c>
      <c r="C253" s="271">
        <f>0.15*E104</f>
        <v>63063.899999999994</v>
      </c>
      <c r="D253" s="58" t="s">
        <v>292</v>
      </c>
    </row>
    <row r="254" spans="1:15" x14ac:dyDescent="0.25">
      <c r="B254" s="157" t="s">
        <v>178</v>
      </c>
      <c r="C254" s="272">
        <f>0.15*E114</f>
        <v>89434.8</v>
      </c>
      <c r="D254" s="58" t="s">
        <v>292</v>
      </c>
    </row>
    <row r="255" spans="1:15" ht="13.8" thickBot="1" x14ac:dyDescent="0.3">
      <c r="B255" s="273" t="s">
        <v>179</v>
      </c>
      <c r="C255" s="274">
        <f>0.15*E124</f>
        <v>117943.42499999999</v>
      </c>
      <c r="D255" s="58" t="s">
        <v>292</v>
      </c>
    </row>
    <row r="256" spans="1:15" x14ac:dyDescent="0.25">
      <c r="B256" s="61"/>
      <c r="C256" s="156"/>
    </row>
    <row r="257" spans="2:15" x14ac:dyDescent="0.25">
      <c r="B257" s="61"/>
      <c r="C257" s="156"/>
    </row>
    <row r="258" spans="2:15" ht="13.8" thickBot="1" x14ac:dyDescent="0.3"/>
    <row r="259" spans="2:15" ht="23.4" thickBot="1" x14ac:dyDescent="0.45">
      <c r="B259" s="551" t="s">
        <v>181</v>
      </c>
      <c r="C259" s="552"/>
      <c r="D259" s="552"/>
      <c r="E259" s="552"/>
      <c r="F259" s="552"/>
      <c r="G259" s="552"/>
      <c r="H259" s="552"/>
      <c r="I259" s="552"/>
      <c r="J259" s="552"/>
      <c r="K259" s="552"/>
      <c r="L259" s="552"/>
      <c r="M259" s="552"/>
      <c r="N259" s="552"/>
      <c r="O259" s="553"/>
    </row>
    <row r="260" spans="2:15" x14ac:dyDescent="0.25">
      <c r="O260" s="155"/>
    </row>
    <row r="261" spans="2:15" x14ac:dyDescent="0.25">
      <c r="B261" s="592" t="s">
        <v>291</v>
      </c>
      <c r="C261" s="592"/>
      <c r="D261" s="592"/>
      <c r="E261" s="592"/>
    </row>
    <row r="262" spans="2:15" x14ac:dyDescent="0.25">
      <c r="B262" s="592"/>
      <c r="C262" s="592"/>
      <c r="D262" s="592"/>
      <c r="E262" s="592"/>
    </row>
    <row r="263" spans="2:15" x14ac:dyDescent="0.25">
      <c r="B263" s="94"/>
      <c r="C263" s="94"/>
      <c r="D263" s="94"/>
      <c r="E263" s="94"/>
    </row>
    <row r="264" spans="2:15" s="105" customFormat="1" ht="20.399999999999999" x14ac:dyDescent="0.35">
      <c r="B264" s="105" t="s">
        <v>253</v>
      </c>
    </row>
    <row r="265" spans="2:15" x14ac:dyDescent="0.25">
      <c r="B265" s="94"/>
      <c r="C265" s="94"/>
      <c r="D265" s="94"/>
      <c r="E265" s="94"/>
    </row>
    <row r="266" spans="2:15" ht="18" x14ac:dyDescent="0.35">
      <c r="B266" s="107" t="s">
        <v>378</v>
      </c>
      <c r="C266" s="122"/>
    </row>
    <row r="268" spans="2:15" ht="13.8" thickBot="1" x14ac:dyDescent="0.3"/>
    <row r="269" spans="2:15" ht="40.200000000000003" thickBot="1" x14ac:dyDescent="0.3">
      <c r="B269" s="182" t="s">
        <v>295</v>
      </c>
      <c r="C269" s="186" t="s">
        <v>377</v>
      </c>
      <c r="D269" s="186" t="s">
        <v>373</v>
      </c>
      <c r="E269" s="186" t="s">
        <v>372</v>
      </c>
      <c r="F269" s="230" t="s">
        <v>374</v>
      </c>
    </row>
    <row r="270" spans="2:15" x14ac:dyDescent="0.25">
      <c r="B270" s="179">
        <v>2025</v>
      </c>
      <c r="C270" s="226">
        <v>75000</v>
      </c>
      <c r="D270" s="227">
        <v>1</v>
      </c>
      <c r="E270" s="228">
        <f>D270*1900*1600*3/1024/1024</f>
        <v>8.697509765625</v>
      </c>
      <c r="F270" s="229">
        <f>(D270*E270*C270)/1024</f>
        <v>637.0246410369873</v>
      </c>
      <c r="G270" s="120"/>
    </row>
    <row r="271" spans="2:15" x14ac:dyDescent="0.25">
      <c r="B271" s="139">
        <v>2026</v>
      </c>
      <c r="C271" s="90">
        <v>225000</v>
      </c>
      <c r="D271" s="212">
        <v>1</v>
      </c>
      <c r="E271" s="221">
        <f>D271*1900*1600*3/1024/1024</f>
        <v>8.697509765625</v>
      </c>
      <c r="F271" s="224">
        <f t="shared" ref="F271:F280" si="5">(D271*E271*C271)/1024</f>
        <v>1911.0739231109619</v>
      </c>
      <c r="G271" s="120"/>
    </row>
    <row r="272" spans="2:15" x14ac:dyDescent="0.25">
      <c r="B272" s="139">
        <v>2027</v>
      </c>
      <c r="C272" s="90">
        <v>450000</v>
      </c>
      <c r="D272" s="212">
        <v>1</v>
      </c>
      <c r="E272" s="221">
        <f>D272*1900*1600*3/1024/1024</f>
        <v>8.697509765625</v>
      </c>
      <c r="F272" s="224">
        <f t="shared" si="5"/>
        <v>3822.1478462219238</v>
      </c>
      <c r="G272" s="120"/>
    </row>
    <row r="273" spans="2:7" x14ac:dyDescent="0.25">
      <c r="B273" s="139">
        <v>2028</v>
      </c>
      <c r="C273" s="90">
        <v>750000</v>
      </c>
      <c r="D273" s="212">
        <v>1</v>
      </c>
      <c r="E273" s="221">
        <f t="shared" ref="E273:E280" si="6">D273*1900*1600*3/1024/1024</f>
        <v>8.697509765625</v>
      </c>
      <c r="F273" s="224">
        <f t="shared" si="5"/>
        <v>6370.246410369873</v>
      </c>
      <c r="G273" s="120"/>
    </row>
    <row r="274" spans="2:7" x14ac:dyDescent="0.25">
      <c r="B274" s="139">
        <v>2029</v>
      </c>
      <c r="C274" s="90">
        <v>937500</v>
      </c>
      <c r="D274" s="212">
        <v>1</v>
      </c>
      <c r="E274" s="221">
        <f t="shared" si="6"/>
        <v>8.697509765625</v>
      </c>
      <c r="F274" s="224">
        <f t="shared" si="5"/>
        <v>7962.8080129623413</v>
      </c>
      <c r="G274" s="120"/>
    </row>
    <row r="275" spans="2:7" x14ac:dyDescent="0.25">
      <c r="B275" s="139">
        <v>2030</v>
      </c>
      <c r="C275" s="90">
        <v>1162500</v>
      </c>
      <c r="D275" s="212">
        <v>1</v>
      </c>
      <c r="E275" s="221">
        <f t="shared" si="6"/>
        <v>8.697509765625</v>
      </c>
      <c r="F275" s="224">
        <f t="shared" si="5"/>
        <v>9873.8819360733032</v>
      </c>
      <c r="G275" s="120"/>
    </row>
    <row r="276" spans="2:7" x14ac:dyDescent="0.25">
      <c r="B276" s="139">
        <v>2031</v>
      </c>
      <c r="C276" s="90">
        <v>1387500</v>
      </c>
      <c r="D276" s="212">
        <v>1</v>
      </c>
      <c r="E276" s="221">
        <f t="shared" si="6"/>
        <v>8.697509765625</v>
      </c>
      <c r="F276" s="224">
        <f t="shared" si="5"/>
        <v>11784.955859184265</v>
      </c>
      <c r="G276" s="120"/>
    </row>
    <row r="277" spans="2:7" x14ac:dyDescent="0.25">
      <c r="B277" s="139">
        <v>2032</v>
      </c>
      <c r="C277" s="90">
        <v>1612500</v>
      </c>
      <c r="D277" s="212">
        <v>1</v>
      </c>
      <c r="E277" s="221">
        <f t="shared" si="6"/>
        <v>8.697509765625</v>
      </c>
      <c r="F277" s="224">
        <f t="shared" si="5"/>
        <v>13696.029782295227</v>
      </c>
      <c r="G277" s="120"/>
    </row>
    <row r="278" spans="2:7" x14ac:dyDescent="0.25">
      <c r="B278" s="139">
        <v>2033</v>
      </c>
      <c r="C278" s="90">
        <v>1837500</v>
      </c>
      <c r="D278" s="212">
        <v>1</v>
      </c>
      <c r="E278" s="221">
        <f t="shared" si="6"/>
        <v>8.697509765625</v>
      </c>
      <c r="F278" s="224">
        <f t="shared" si="5"/>
        <v>15607.103705406189</v>
      </c>
      <c r="G278" s="120"/>
    </row>
    <row r="279" spans="2:7" x14ac:dyDescent="0.25">
      <c r="B279" s="139">
        <v>2034</v>
      </c>
      <c r="C279" s="90">
        <v>2062500</v>
      </c>
      <c r="D279" s="212">
        <v>1</v>
      </c>
      <c r="E279" s="221">
        <f t="shared" si="6"/>
        <v>8.697509765625</v>
      </c>
      <c r="F279" s="224">
        <f t="shared" si="5"/>
        <v>17518.177628517151</v>
      </c>
      <c r="G279" s="120"/>
    </row>
    <row r="280" spans="2:7" ht="13.8" thickBot="1" x14ac:dyDescent="0.3">
      <c r="B280" s="82">
        <v>2035</v>
      </c>
      <c r="C280" s="92">
        <v>2287500</v>
      </c>
      <c r="D280" s="222">
        <v>1</v>
      </c>
      <c r="E280" s="223">
        <f t="shared" si="6"/>
        <v>8.697509765625</v>
      </c>
      <c r="F280" s="225">
        <f t="shared" si="5"/>
        <v>19429.251551628113</v>
      </c>
      <c r="G280" s="120"/>
    </row>
    <row r="281" spans="2:7" x14ac:dyDescent="0.25">
      <c r="B281" s="94"/>
      <c r="C281" s="94"/>
      <c r="D281" s="94"/>
      <c r="E281" s="94"/>
    </row>
    <row r="282" spans="2:7" ht="13.8" thickBot="1" x14ac:dyDescent="0.3">
      <c r="B282" s="94"/>
      <c r="C282" s="94"/>
      <c r="D282" s="94"/>
      <c r="E282" s="94"/>
    </row>
    <row r="283" spans="2:7" ht="53.4" thickBot="1" x14ac:dyDescent="0.3">
      <c r="B283" s="182" t="s">
        <v>295</v>
      </c>
      <c r="C283" s="230" t="s">
        <v>376</v>
      </c>
      <c r="D283" s="94"/>
      <c r="E283" s="94"/>
    </row>
    <row r="284" spans="2:7" x14ac:dyDescent="0.25">
      <c r="B284" s="179">
        <v>2025</v>
      </c>
      <c r="C284" s="248">
        <f>F270*12*$C$162/$C$160</f>
        <v>146.77047729492188</v>
      </c>
      <c r="D284" s="94"/>
      <c r="E284" s="94"/>
    </row>
    <row r="285" spans="2:7" x14ac:dyDescent="0.25">
      <c r="B285" s="139">
        <v>2026</v>
      </c>
      <c r="C285" s="248">
        <f t="shared" ref="C285:C293" si="7">F271*12*$C$162/$C$160</f>
        <v>440.31143188476563</v>
      </c>
      <c r="D285" s="94"/>
      <c r="E285" s="94"/>
    </row>
    <row r="286" spans="2:7" x14ac:dyDescent="0.25">
      <c r="B286" s="139">
        <v>2027</v>
      </c>
      <c r="C286" s="248">
        <f t="shared" si="7"/>
        <v>880.62286376953125</v>
      </c>
      <c r="D286" s="94"/>
      <c r="E286" s="94"/>
    </row>
    <row r="287" spans="2:7" x14ac:dyDescent="0.25">
      <c r="B287" s="139">
        <v>2028</v>
      </c>
      <c r="C287" s="248">
        <f t="shared" si="7"/>
        <v>1467.7047729492188</v>
      </c>
      <c r="D287" s="94"/>
      <c r="E287" s="94"/>
    </row>
    <row r="288" spans="2:7" x14ac:dyDescent="0.25">
      <c r="B288" s="139">
        <v>2029</v>
      </c>
      <c r="C288" s="248">
        <f t="shared" si="7"/>
        <v>1834.6309661865234</v>
      </c>
      <c r="D288" s="94"/>
      <c r="E288" s="94"/>
    </row>
    <row r="289" spans="2:7" x14ac:dyDescent="0.25">
      <c r="B289" s="139">
        <v>2030</v>
      </c>
      <c r="C289" s="248">
        <f t="shared" si="7"/>
        <v>2274.9423980712891</v>
      </c>
      <c r="D289" s="94"/>
      <c r="E289" s="94"/>
    </row>
    <row r="290" spans="2:7" x14ac:dyDescent="0.25">
      <c r="B290" s="139">
        <v>2031</v>
      </c>
      <c r="C290" s="248">
        <f t="shared" si="7"/>
        <v>2715.2538299560547</v>
      </c>
      <c r="D290" s="94"/>
      <c r="E290" s="94"/>
    </row>
    <row r="291" spans="2:7" x14ac:dyDescent="0.25">
      <c r="B291" s="139">
        <v>2032</v>
      </c>
      <c r="C291" s="248">
        <f t="shared" si="7"/>
        <v>3155.5652618408203</v>
      </c>
      <c r="D291" s="94"/>
      <c r="E291" s="94"/>
    </row>
    <row r="292" spans="2:7" x14ac:dyDescent="0.25">
      <c r="B292" s="139">
        <v>2033</v>
      </c>
      <c r="C292" s="248">
        <f t="shared" si="7"/>
        <v>3595.8766937255859</v>
      </c>
      <c r="D292" s="94"/>
      <c r="E292" s="94"/>
    </row>
    <row r="293" spans="2:7" x14ac:dyDescent="0.25">
      <c r="B293" s="139">
        <v>2034</v>
      </c>
      <c r="C293" s="248">
        <f t="shared" si="7"/>
        <v>4036.1881256103516</v>
      </c>
      <c r="D293" s="94"/>
      <c r="E293" s="94"/>
    </row>
    <row r="294" spans="2:7" ht="13.8" thickBot="1" x14ac:dyDescent="0.3">
      <c r="B294" s="82">
        <v>2035</v>
      </c>
      <c r="C294" s="248">
        <f>F280*12*$C$162/$C$160</f>
        <v>4476.4995574951172</v>
      </c>
      <c r="D294" s="94"/>
      <c r="E294" s="94"/>
    </row>
    <row r="295" spans="2:7" x14ac:dyDescent="0.25">
      <c r="B295" s="94"/>
      <c r="C295" s="94"/>
      <c r="D295" s="94"/>
      <c r="E295" s="94"/>
    </row>
    <row r="296" spans="2:7" x14ac:dyDescent="0.25">
      <c r="B296" s="94"/>
      <c r="C296" s="94"/>
      <c r="D296" s="94"/>
      <c r="E296" s="94"/>
    </row>
    <row r="297" spans="2:7" ht="18" x14ac:dyDescent="0.35">
      <c r="B297" s="107" t="s">
        <v>387</v>
      </c>
      <c r="C297" s="94"/>
      <c r="D297" s="94"/>
      <c r="E297" s="94"/>
    </row>
    <row r="298" spans="2:7" ht="18.600000000000001" thickBot="1" x14ac:dyDescent="0.4">
      <c r="B298" s="107"/>
      <c r="C298" s="94"/>
      <c r="D298" s="94"/>
      <c r="E298" s="94"/>
    </row>
    <row r="299" spans="2:7" ht="40.200000000000003" thickBot="1" x14ac:dyDescent="0.3">
      <c r="B299" s="182" t="s">
        <v>295</v>
      </c>
      <c r="C299" s="234" t="s">
        <v>374</v>
      </c>
      <c r="D299" s="186" t="s">
        <v>379</v>
      </c>
      <c r="E299" s="186" t="s">
        <v>380</v>
      </c>
      <c r="F299" s="238" t="s">
        <v>381</v>
      </c>
      <c r="G299" s="230" t="s">
        <v>382</v>
      </c>
    </row>
    <row r="300" spans="2:7" x14ac:dyDescent="0.25">
      <c r="B300" s="179">
        <v>2025</v>
      </c>
      <c r="C300" s="228">
        <f>F270</f>
        <v>637.0246410369873</v>
      </c>
      <c r="D300" s="227">
        <f>$C$205</f>
        <v>340</v>
      </c>
      <c r="E300" s="227">
        <f>$C$211</f>
        <v>680</v>
      </c>
      <c r="F300" s="239">
        <f>ROUNDUP(C300/D300,0)</f>
        <v>2</v>
      </c>
      <c r="G300" s="240">
        <f>ROUNDUP(C300/E300,0)</f>
        <v>1</v>
      </c>
    </row>
    <row r="301" spans="2:7" x14ac:dyDescent="0.25">
      <c r="B301" s="139">
        <v>2026</v>
      </c>
      <c r="C301" s="221">
        <f t="shared" ref="C301:C310" si="8">F271</f>
        <v>1911.0739231109619</v>
      </c>
      <c r="D301" s="212">
        <f t="shared" ref="D301:D310" si="9">$C$205</f>
        <v>340</v>
      </c>
      <c r="E301" s="212">
        <f>$C$211</f>
        <v>680</v>
      </c>
      <c r="F301" s="241">
        <f t="shared" ref="F301:F310" si="10">ROUNDUP(C301/D301,0)</f>
        <v>6</v>
      </c>
      <c r="G301" s="242">
        <f t="shared" ref="G301:G310" si="11">ROUNDUP(C301/E301,0)</f>
        <v>3</v>
      </c>
    </row>
    <row r="302" spans="2:7" x14ac:dyDescent="0.25">
      <c r="B302" s="139">
        <v>2027</v>
      </c>
      <c r="C302" s="221">
        <f t="shared" si="8"/>
        <v>3822.1478462219238</v>
      </c>
      <c r="D302" s="212">
        <f t="shared" si="9"/>
        <v>340</v>
      </c>
      <c r="E302" s="212">
        <f t="shared" ref="E302:E310" si="12">$C$211</f>
        <v>680</v>
      </c>
      <c r="F302" s="241">
        <f t="shared" si="10"/>
        <v>12</v>
      </c>
      <c r="G302" s="242">
        <f t="shared" si="11"/>
        <v>6</v>
      </c>
    </row>
    <row r="303" spans="2:7" x14ac:dyDescent="0.25">
      <c r="B303" s="139">
        <v>2028</v>
      </c>
      <c r="C303" s="221">
        <f t="shared" si="8"/>
        <v>6370.246410369873</v>
      </c>
      <c r="D303" s="212">
        <f t="shared" si="9"/>
        <v>340</v>
      </c>
      <c r="E303" s="212">
        <f t="shared" si="12"/>
        <v>680</v>
      </c>
      <c r="F303" s="241">
        <f t="shared" si="10"/>
        <v>19</v>
      </c>
      <c r="G303" s="242">
        <f t="shared" si="11"/>
        <v>10</v>
      </c>
    </row>
    <row r="304" spans="2:7" x14ac:dyDescent="0.25">
      <c r="B304" s="139">
        <v>2029</v>
      </c>
      <c r="C304" s="221">
        <f t="shared" si="8"/>
        <v>7962.8080129623413</v>
      </c>
      <c r="D304" s="212">
        <f t="shared" si="9"/>
        <v>340</v>
      </c>
      <c r="E304" s="212">
        <f t="shared" si="12"/>
        <v>680</v>
      </c>
      <c r="F304" s="241">
        <f t="shared" si="10"/>
        <v>24</v>
      </c>
      <c r="G304" s="242">
        <f t="shared" si="11"/>
        <v>12</v>
      </c>
    </row>
    <row r="305" spans="2:8" x14ac:dyDescent="0.25">
      <c r="B305" s="139">
        <v>2030</v>
      </c>
      <c r="C305" s="221">
        <f t="shared" si="8"/>
        <v>9873.8819360733032</v>
      </c>
      <c r="D305" s="212">
        <f t="shared" si="9"/>
        <v>340</v>
      </c>
      <c r="E305" s="212">
        <f t="shared" si="12"/>
        <v>680</v>
      </c>
      <c r="F305" s="241">
        <f t="shared" si="10"/>
        <v>30</v>
      </c>
      <c r="G305" s="242">
        <f t="shared" si="11"/>
        <v>15</v>
      </c>
    </row>
    <row r="306" spans="2:8" x14ac:dyDescent="0.25">
      <c r="B306" s="139">
        <v>2031</v>
      </c>
      <c r="C306" s="221">
        <f t="shared" si="8"/>
        <v>11784.955859184265</v>
      </c>
      <c r="D306" s="212">
        <f t="shared" si="9"/>
        <v>340</v>
      </c>
      <c r="E306" s="212">
        <f t="shared" si="12"/>
        <v>680</v>
      </c>
      <c r="F306" s="241">
        <f t="shared" si="10"/>
        <v>35</v>
      </c>
      <c r="G306" s="242">
        <f t="shared" si="11"/>
        <v>18</v>
      </c>
    </row>
    <row r="307" spans="2:8" x14ac:dyDescent="0.25">
      <c r="B307" s="139">
        <v>2032</v>
      </c>
      <c r="C307" s="221">
        <f t="shared" si="8"/>
        <v>13696.029782295227</v>
      </c>
      <c r="D307" s="212">
        <f t="shared" si="9"/>
        <v>340</v>
      </c>
      <c r="E307" s="212">
        <f t="shared" si="12"/>
        <v>680</v>
      </c>
      <c r="F307" s="241">
        <f t="shared" si="10"/>
        <v>41</v>
      </c>
      <c r="G307" s="242">
        <f t="shared" si="11"/>
        <v>21</v>
      </c>
    </row>
    <row r="308" spans="2:8" x14ac:dyDescent="0.25">
      <c r="B308" s="139">
        <v>2033</v>
      </c>
      <c r="C308" s="221">
        <f t="shared" si="8"/>
        <v>15607.103705406189</v>
      </c>
      <c r="D308" s="212">
        <f t="shared" si="9"/>
        <v>340</v>
      </c>
      <c r="E308" s="212">
        <f t="shared" si="12"/>
        <v>680</v>
      </c>
      <c r="F308" s="241">
        <f t="shared" si="10"/>
        <v>46</v>
      </c>
      <c r="G308" s="242">
        <f t="shared" si="11"/>
        <v>23</v>
      </c>
    </row>
    <row r="309" spans="2:8" x14ac:dyDescent="0.25">
      <c r="B309" s="139">
        <v>2034</v>
      </c>
      <c r="C309" s="221">
        <f t="shared" si="8"/>
        <v>17518.177628517151</v>
      </c>
      <c r="D309" s="212">
        <f t="shared" si="9"/>
        <v>340</v>
      </c>
      <c r="E309" s="212">
        <f t="shared" si="12"/>
        <v>680</v>
      </c>
      <c r="F309" s="241">
        <f t="shared" si="10"/>
        <v>52</v>
      </c>
      <c r="G309" s="242">
        <f t="shared" si="11"/>
        <v>26</v>
      </c>
    </row>
    <row r="310" spans="2:8" ht="13.8" thickBot="1" x14ac:dyDescent="0.3">
      <c r="B310" s="82">
        <v>2035</v>
      </c>
      <c r="C310" s="223">
        <f t="shared" si="8"/>
        <v>19429.251551628113</v>
      </c>
      <c r="D310" s="222">
        <f t="shared" si="9"/>
        <v>340</v>
      </c>
      <c r="E310" s="222">
        <f t="shared" si="12"/>
        <v>680</v>
      </c>
      <c r="F310" s="243">
        <f t="shared" si="10"/>
        <v>58</v>
      </c>
      <c r="G310" s="244">
        <f t="shared" si="11"/>
        <v>29</v>
      </c>
    </row>
    <row r="311" spans="2:8" x14ac:dyDescent="0.25">
      <c r="B311" s="94"/>
      <c r="C311" s="94"/>
      <c r="D311" s="94"/>
      <c r="E311" s="94"/>
    </row>
    <row r="312" spans="2:8" ht="13.8" thickBot="1" x14ac:dyDescent="0.3">
      <c r="B312" s="94"/>
      <c r="C312" s="94"/>
      <c r="D312" s="94"/>
      <c r="E312" s="94"/>
    </row>
    <row r="313" spans="2:8" ht="53.4" thickBot="1" x14ac:dyDescent="0.3">
      <c r="B313" s="182" t="s">
        <v>295</v>
      </c>
      <c r="C313" s="234" t="s">
        <v>381</v>
      </c>
      <c r="D313" s="234" t="s">
        <v>382</v>
      </c>
      <c r="E313" s="235" t="s">
        <v>383</v>
      </c>
      <c r="F313" s="235" t="s">
        <v>384</v>
      </c>
      <c r="G313" s="236" t="s">
        <v>385</v>
      </c>
      <c r="H313" s="237" t="s">
        <v>386</v>
      </c>
    </row>
    <row r="314" spans="2:8" x14ac:dyDescent="0.25">
      <c r="B314" s="179">
        <v>2025</v>
      </c>
      <c r="C314" s="245">
        <v>2</v>
      </c>
      <c r="D314" s="245">
        <v>1</v>
      </c>
      <c r="E314" s="233">
        <f>$E$226</f>
        <v>3.85</v>
      </c>
      <c r="F314" s="191">
        <f>$E$227</f>
        <v>7.71</v>
      </c>
      <c r="G314" s="264">
        <f>C314*E314*24*30*12</f>
        <v>66528</v>
      </c>
      <c r="H314" s="265">
        <f>D314*F314*24*30*12</f>
        <v>66614.399999999994</v>
      </c>
    </row>
    <row r="315" spans="2:8" x14ac:dyDescent="0.25">
      <c r="B315" s="139">
        <v>2026</v>
      </c>
      <c r="C315" s="246">
        <v>6</v>
      </c>
      <c r="D315" s="246">
        <v>3</v>
      </c>
      <c r="E315" s="231">
        <f t="shared" ref="E315:E324" si="13">$E$226</f>
        <v>3.85</v>
      </c>
      <c r="F315" s="159">
        <f t="shared" ref="F315:F324" si="14">$E$227</f>
        <v>7.71</v>
      </c>
      <c r="G315" s="266">
        <f t="shared" ref="G315:G324" si="15">C315*E315*24*30*12</f>
        <v>199584.00000000006</v>
      </c>
      <c r="H315" s="267">
        <f t="shared" ref="H315:H324" si="16">D315*F315*24*30*12</f>
        <v>199843.19999999998</v>
      </c>
    </row>
    <row r="316" spans="2:8" x14ac:dyDescent="0.25">
      <c r="B316" s="139">
        <v>2027</v>
      </c>
      <c r="C316" s="246">
        <v>12</v>
      </c>
      <c r="D316" s="246">
        <v>6</v>
      </c>
      <c r="E316" s="231">
        <f t="shared" si="13"/>
        <v>3.85</v>
      </c>
      <c r="F316" s="159">
        <f t="shared" si="14"/>
        <v>7.71</v>
      </c>
      <c r="G316" s="266">
        <f t="shared" si="15"/>
        <v>399168.00000000012</v>
      </c>
      <c r="H316" s="267">
        <f t="shared" si="16"/>
        <v>399686.39999999997</v>
      </c>
    </row>
    <row r="317" spans="2:8" x14ac:dyDescent="0.25">
      <c r="B317" s="139">
        <v>2028</v>
      </c>
      <c r="C317" s="246">
        <v>19</v>
      </c>
      <c r="D317" s="246">
        <v>10</v>
      </c>
      <c r="E317" s="231">
        <f t="shared" si="13"/>
        <v>3.85</v>
      </c>
      <c r="F317" s="159">
        <f t="shared" si="14"/>
        <v>7.71</v>
      </c>
      <c r="G317" s="266">
        <f t="shared" si="15"/>
        <v>632016.00000000012</v>
      </c>
      <c r="H317" s="267">
        <f t="shared" si="16"/>
        <v>666143.99999999988</v>
      </c>
    </row>
    <row r="318" spans="2:8" x14ac:dyDescent="0.25">
      <c r="B318" s="139">
        <v>2029</v>
      </c>
      <c r="C318" s="246">
        <v>24</v>
      </c>
      <c r="D318" s="246">
        <v>12</v>
      </c>
      <c r="E318" s="231">
        <f t="shared" si="13"/>
        <v>3.85</v>
      </c>
      <c r="F318" s="159">
        <f t="shared" si="14"/>
        <v>7.71</v>
      </c>
      <c r="G318" s="266">
        <f t="shared" si="15"/>
        <v>798336.00000000023</v>
      </c>
      <c r="H318" s="267">
        <f t="shared" si="16"/>
        <v>799372.79999999993</v>
      </c>
    </row>
    <row r="319" spans="2:8" x14ac:dyDescent="0.25">
      <c r="B319" s="139">
        <v>2030</v>
      </c>
      <c r="C319" s="246">
        <v>30</v>
      </c>
      <c r="D319" s="246">
        <v>15</v>
      </c>
      <c r="E319" s="231">
        <f t="shared" si="13"/>
        <v>3.85</v>
      </c>
      <c r="F319" s="159">
        <f t="shared" si="14"/>
        <v>7.71</v>
      </c>
      <c r="G319" s="266">
        <f t="shared" si="15"/>
        <v>997920</v>
      </c>
      <c r="H319" s="267">
        <f t="shared" si="16"/>
        <v>999216.00000000023</v>
      </c>
    </row>
    <row r="320" spans="2:8" x14ac:dyDescent="0.25">
      <c r="B320" s="139">
        <v>2031</v>
      </c>
      <c r="C320" s="246">
        <v>35</v>
      </c>
      <c r="D320" s="246">
        <v>18</v>
      </c>
      <c r="E320" s="231">
        <f t="shared" si="13"/>
        <v>3.85</v>
      </c>
      <c r="F320" s="159">
        <f t="shared" si="14"/>
        <v>7.71</v>
      </c>
      <c r="G320" s="266">
        <f t="shared" si="15"/>
        <v>1164240</v>
      </c>
      <c r="H320" s="267">
        <f t="shared" si="16"/>
        <v>1199059.2000000002</v>
      </c>
    </row>
    <row r="321" spans="2:8" x14ac:dyDescent="0.25">
      <c r="B321" s="139">
        <v>2032</v>
      </c>
      <c r="C321" s="246">
        <v>41</v>
      </c>
      <c r="D321" s="246">
        <v>21</v>
      </c>
      <c r="E321" s="231">
        <f t="shared" si="13"/>
        <v>3.85</v>
      </c>
      <c r="F321" s="159">
        <f t="shared" si="14"/>
        <v>7.71</v>
      </c>
      <c r="G321" s="266">
        <f t="shared" si="15"/>
        <v>1363823.9999999998</v>
      </c>
      <c r="H321" s="267">
        <f t="shared" si="16"/>
        <v>1398902.4000000001</v>
      </c>
    </row>
    <row r="322" spans="2:8" x14ac:dyDescent="0.25">
      <c r="B322" s="139">
        <v>2033</v>
      </c>
      <c r="C322" s="246">
        <v>46</v>
      </c>
      <c r="D322" s="246">
        <v>23</v>
      </c>
      <c r="E322" s="231">
        <f t="shared" si="13"/>
        <v>3.85</v>
      </c>
      <c r="F322" s="159">
        <f t="shared" si="14"/>
        <v>7.71</v>
      </c>
      <c r="G322" s="266">
        <f t="shared" si="15"/>
        <v>1530143.9999999998</v>
      </c>
      <c r="H322" s="267">
        <f t="shared" si="16"/>
        <v>1532131.2000000002</v>
      </c>
    </row>
    <row r="323" spans="2:8" x14ac:dyDescent="0.25">
      <c r="B323" s="139">
        <v>2034</v>
      </c>
      <c r="C323" s="246">
        <v>52</v>
      </c>
      <c r="D323" s="246">
        <v>26</v>
      </c>
      <c r="E323" s="231">
        <f t="shared" si="13"/>
        <v>3.85</v>
      </c>
      <c r="F323" s="159">
        <f t="shared" si="14"/>
        <v>7.71</v>
      </c>
      <c r="G323" s="266">
        <f t="shared" si="15"/>
        <v>1729728</v>
      </c>
      <c r="H323" s="267">
        <f t="shared" si="16"/>
        <v>1731974.4000000001</v>
      </c>
    </row>
    <row r="324" spans="2:8" ht="13.8" thickBot="1" x14ac:dyDescent="0.3">
      <c r="B324" s="82">
        <v>2035</v>
      </c>
      <c r="C324" s="247">
        <v>58</v>
      </c>
      <c r="D324" s="247">
        <v>29</v>
      </c>
      <c r="E324" s="232">
        <f t="shared" si="13"/>
        <v>3.85</v>
      </c>
      <c r="F324" s="165">
        <f t="shared" si="14"/>
        <v>7.71</v>
      </c>
      <c r="G324" s="268">
        <f t="shared" si="15"/>
        <v>1929312.0000000005</v>
      </c>
      <c r="H324" s="269">
        <f t="shared" si="16"/>
        <v>1931817.5999999999</v>
      </c>
    </row>
    <row r="325" spans="2:8" x14ac:dyDescent="0.25">
      <c r="B325" s="94"/>
      <c r="C325" s="94"/>
      <c r="D325" s="94"/>
      <c r="E325" s="94"/>
    </row>
    <row r="326" spans="2:8" x14ac:dyDescent="0.25">
      <c r="B326" s="94"/>
      <c r="C326" s="94"/>
      <c r="D326" s="94"/>
      <c r="E326" s="94"/>
    </row>
    <row r="327" spans="2:8" ht="18" x14ac:dyDescent="0.35">
      <c r="B327" s="107" t="s">
        <v>388</v>
      </c>
      <c r="C327" s="94"/>
      <c r="D327" s="94"/>
      <c r="E327" s="94"/>
    </row>
    <row r="328" spans="2:8" ht="13.8" thickBot="1" x14ac:dyDescent="0.3">
      <c r="B328" s="94"/>
      <c r="C328" s="94"/>
      <c r="D328" s="94"/>
      <c r="E328" s="94"/>
    </row>
    <row r="329" spans="2:8" ht="79.8" thickBot="1" x14ac:dyDescent="0.3">
      <c r="B329" s="249" t="s">
        <v>295</v>
      </c>
      <c r="C329" s="234" t="s">
        <v>376</v>
      </c>
      <c r="D329" s="234" t="s">
        <v>385</v>
      </c>
      <c r="E329" s="234" t="s">
        <v>386</v>
      </c>
      <c r="F329" s="238" t="s">
        <v>389</v>
      </c>
      <c r="G329" s="230" t="s">
        <v>390</v>
      </c>
    </row>
    <row r="330" spans="2:8" x14ac:dyDescent="0.25">
      <c r="B330" s="250">
        <v>2025</v>
      </c>
      <c r="C330" s="253">
        <f>C284</f>
        <v>146.77047729492188</v>
      </c>
      <c r="D330" s="254">
        <f>G314</f>
        <v>66528</v>
      </c>
      <c r="E330" s="254">
        <f>H314</f>
        <v>66614.399999999994</v>
      </c>
      <c r="F330" s="259">
        <f>C330+D330</f>
        <v>66674.770477294922</v>
      </c>
      <c r="G330" s="260">
        <f>C330+E330</f>
        <v>66761.170477294916</v>
      </c>
    </row>
    <row r="331" spans="2:8" x14ac:dyDescent="0.25">
      <c r="B331" s="251">
        <v>2026</v>
      </c>
      <c r="C331" s="255">
        <f t="shared" ref="C331:C340" si="17">C285</f>
        <v>440.31143188476563</v>
      </c>
      <c r="D331" s="256">
        <f t="shared" ref="D331:E331" si="18">G315</f>
        <v>199584.00000000006</v>
      </c>
      <c r="E331" s="256">
        <f t="shared" si="18"/>
        <v>199843.19999999998</v>
      </c>
      <c r="F331" s="261">
        <f t="shared" ref="F331:F340" si="19">C331+D331</f>
        <v>200024.31143188482</v>
      </c>
      <c r="G331" s="262">
        <f t="shared" ref="G331:G340" si="20">C331+E331</f>
        <v>200283.51143188475</v>
      </c>
    </row>
    <row r="332" spans="2:8" x14ac:dyDescent="0.25">
      <c r="B332" s="251">
        <v>2027</v>
      </c>
      <c r="C332" s="255">
        <f t="shared" si="17"/>
        <v>880.62286376953125</v>
      </c>
      <c r="D332" s="256">
        <f t="shared" ref="D332:E332" si="21">G316</f>
        <v>399168.00000000012</v>
      </c>
      <c r="E332" s="256">
        <f t="shared" si="21"/>
        <v>399686.39999999997</v>
      </c>
      <c r="F332" s="261">
        <f t="shared" si="19"/>
        <v>400048.62286376965</v>
      </c>
      <c r="G332" s="262">
        <f t="shared" si="20"/>
        <v>400567.0228637695</v>
      </c>
    </row>
    <row r="333" spans="2:8" x14ac:dyDescent="0.25">
      <c r="B333" s="251">
        <v>2028</v>
      </c>
      <c r="C333" s="255">
        <f t="shared" si="17"/>
        <v>1467.7047729492188</v>
      </c>
      <c r="D333" s="256">
        <f t="shared" ref="D333:E333" si="22">G317</f>
        <v>632016.00000000012</v>
      </c>
      <c r="E333" s="256">
        <f t="shared" si="22"/>
        <v>666143.99999999988</v>
      </c>
      <c r="F333" s="261">
        <f t="shared" si="19"/>
        <v>633483.70477294934</v>
      </c>
      <c r="G333" s="262">
        <f t="shared" si="20"/>
        <v>667611.7047729491</v>
      </c>
    </row>
    <row r="334" spans="2:8" x14ac:dyDescent="0.25">
      <c r="B334" s="251">
        <v>2029</v>
      </c>
      <c r="C334" s="255">
        <f t="shared" si="17"/>
        <v>1834.6309661865234</v>
      </c>
      <c r="D334" s="256">
        <f t="shared" ref="D334:E334" si="23">G318</f>
        <v>798336.00000000023</v>
      </c>
      <c r="E334" s="256">
        <f t="shared" si="23"/>
        <v>799372.79999999993</v>
      </c>
      <c r="F334" s="261">
        <f t="shared" si="19"/>
        <v>800170.63096618676</v>
      </c>
      <c r="G334" s="262">
        <f t="shared" si="20"/>
        <v>801207.43096618645</v>
      </c>
    </row>
    <row r="335" spans="2:8" x14ac:dyDescent="0.25">
      <c r="B335" s="251">
        <v>2030</v>
      </c>
      <c r="C335" s="255">
        <f t="shared" si="17"/>
        <v>2274.9423980712891</v>
      </c>
      <c r="D335" s="256">
        <f t="shared" ref="D335:E335" si="24">G319</f>
        <v>997920</v>
      </c>
      <c r="E335" s="256">
        <f t="shared" si="24"/>
        <v>999216.00000000023</v>
      </c>
      <c r="F335" s="261">
        <f t="shared" si="19"/>
        <v>1000194.9423980713</v>
      </c>
      <c r="G335" s="262">
        <f t="shared" si="20"/>
        <v>1001490.9423980715</v>
      </c>
    </row>
    <row r="336" spans="2:8" x14ac:dyDescent="0.25">
      <c r="B336" s="251">
        <v>2031</v>
      </c>
      <c r="C336" s="255">
        <f t="shared" si="17"/>
        <v>2715.2538299560547</v>
      </c>
      <c r="D336" s="256">
        <f t="shared" ref="D336:E336" si="25">G320</f>
        <v>1164240</v>
      </c>
      <c r="E336" s="256">
        <f t="shared" si="25"/>
        <v>1199059.2000000002</v>
      </c>
      <c r="F336" s="261">
        <f t="shared" si="19"/>
        <v>1166955.2538299561</v>
      </c>
      <c r="G336" s="262">
        <f t="shared" si="20"/>
        <v>1201774.4538299562</v>
      </c>
    </row>
    <row r="337" spans="2:15" x14ac:dyDescent="0.25">
      <c r="B337" s="251">
        <v>2032</v>
      </c>
      <c r="C337" s="255">
        <f t="shared" si="17"/>
        <v>3155.5652618408203</v>
      </c>
      <c r="D337" s="256">
        <f t="shared" ref="D337:E337" si="26">G321</f>
        <v>1363823.9999999998</v>
      </c>
      <c r="E337" s="256">
        <f t="shared" si="26"/>
        <v>1398902.4000000001</v>
      </c>
      <c r="F337" s="261">
        <f t="shared" si="19"/>
        <v>1366979.5652618406</v>
      </c>
      <c r="G337" s="262">
        <f t="shared" si="20"/>
        <v>1402057.965261841</v>
      </c>
    </row>
    <row r="338" spans="2:15" x14ac:dyDescent="0.25">
      <c r="B338" s="251">
        <v>2033</v>
      </c>
      <c r="C338" s="255">
        <f t="shared" si="17"/>
        <v>3595.8766937255859</v>
      </c>
      <c r="D338" s="256">
        <f t="shared" ref="D338:E338" si="27">G322</f>
        <v>1530143.9999999998</v>
      </c>
      <c r="E338" s="256">
        <f t="shared" si="27"/>
        <v>1532131.2000000002</v>
      </c>
      <c r="F338" s="261">
        <f t="shared" si="19"/>
        <v>1533739.8766937254</v>
      </c>
      <c r="G338" s="262">
        <f t="shared" si="20"/>
        <v>1535727.0766937258</v>
      </c>
    </row>
    <row r="339" spans="2:15" x14ac:dyDescent="0.25">
      <c r="B339" s="251">
        <v>2034</v>
      </c>
      <c r="C339" s="255">
        <f t="shared" si="17"/>
        <v>4036.1881256103516</v>
      </c>
      <c r="D339" s="256">
        <f t="shared" ref="D339:E339" si="28">G323</f>
        <v>1729728</v>
      </c>
      <c r="E339" s="256">
        <f t="shared" si="28"/>
        <v>1731974.4000000001</v>
      </c>
      <c r="F339" s="261">
        <f t="shared" si="19"/>
        <v>1733764.1881256104</v>
      </c>
      <c r="G339" s="262">
        <f t="shared" si="20"/>
        <v>1736010.5881256105</v>
      </c>
    </row>
    <row r="340" spans="2:15" ht="13.8" thickBot="1" x14ac:dyDescent="0.3">
      <c r="B340" s="252">
        <v>2035</v>
      </c>
      <c r="C340" s="257">
        <f t="shared" si="17"/>
        <v>4476.4995574951172</v>
      </c>
      <c r="D340" s="258">
        <f t="shared" ref="D340:E340" si="29">G324</f>
        <v>1929312.0000000005</v>
      </c>
      <c r="E340" s="258">
        <f t="shared" si="29"/>
        <v>1931817.5999999999</v>
      </c>
      <c r="F340" s="263">
        <f t="shared" si="19"/>
        <v>1933788.4995574956</v>
      </c>
      <c r="G340" s="154">
        <f t="shared" si="20"/>
        <v>1936294.099557495</v>
      </c>
    </row>
    <row r="341" spans="2:15" x14ac:dyDescent="0.25">
      <c r="B341" s="94"/>
      <c r="C341" s="94"/>
      <c r="D341" s="94"/>
      <c r="E341" s="94"/>
    </row>
    <row r="342" spans="2:15" x14ac:dyDescent="0.25">
      <c r="B342" s="94"/>
      <c r="C342" s="94"/>
      <c r="D342" s="94"/>
      <c r="E342" s="94"/>
    </row>
    <row r="343" spans="2:15" x14ac:dyDescent="0.25">
      <c r="B343" s="94"/>
      <c r="C343" s="94"/>
      <c r="D343" s="94"/>
      <c r="E343" s="94"/>
    </row>
    <row r="344" spans="2:15" x14ac:dyDescent="0.25">
      <c r="B344" s="94"/>
      <c r="C344" s="94"/>
      <c r="D344" s="94"/>
      <c r="E344" s="94"/>
    </row>
    <row r="345" spans="2:15" x14ac:dyDescent="0.25">
      <c r="B345" s="94"/>
      <c r="C345" s="94"/>
      <c r="D345" s="94"/>
      <c r="E345" s="94"/>
    </row>
    <row r="346" spans="2:15" x14ac:dyDescent="0.25">
      <c r="B346" s="94"/>
      <c r="C346" s="94"/>
      <c r="D346" s="94"/>
      <c r="E346" s="94"/>
    </row>
    <row r="347" spans="2:15" x14ac:dyDescent="0.25">
      <c r="B347" s="94"/>
      <c r="C347" s="94"/>
      <c r="D347" s="94"/>
      <c r="E347" s="94"/>
    </row>
    <row r="348" spans="2:15" x14ac:dyDescent="0.25">
      <c r="B348" s="94"/>
      <c r="C348" s="94"/>
      <c r="D348" s="94"/>
      <c r="E348" s="94"/>
    </row>
    <row r="349" spans="2:15" x14ac:dyDescent="0.25">
      <c r="B349" s="94"/>
      <c r="C349" s="94"/>
      <c r="D349" s="94"/>
      <c r="E349" s="94"/>
    </row>
    <row r="350" spans="2:15" x14ac:dyDescent="0.25">
      <c r="B350" s="94"/>
      <c r="C350" s="94"/>
      <c r="D350" s="94"/>
      <c r="E350" s="94"/>
    </row>
    <row r="351" spans="2:15" ht="13.8" thickBot="1" x14ac:dyDescent="0.3"/>
    <row r="352" spans="2:15" ht="23.4" thickBot="1" x14ac:dyDescent="0.45">
      <c r="B352" s="551" t="s">
        <v>182</v>
      </c>
      <c r="C352" s="552"/>
      <c r="D352" s="552"/>
      <c r="E352" s="552"/>
      <c r="F352" s="552"/>
      <c r="G352" s="552"/>
      <c r="H352" s="552"/>
      <c r="I352" s="552"/>
      <c r="J352" s="552"/>
      <c r="K352" s="552"/>
      <c r="L352" s="552"/>
      <c r="M352" s="552"/>
      <c r="N352" s="552"/>
      <c r="O352" s="553"/>
    </row>
    <row r="353" spans="1:10" ht="13.8" thickBot="1" x14ac:dyDescent="0.3"/>
    <row r="354" spans="1:10" ht="13.8" thickBot="1" x14ac:dyDescent="0.3">
      <c r="B354" s="84" t="s">
        <v>277</v>
      </c>
      <c r="C354" s="86" t="s">
        <v>239</v>
      </c>
    </row>
    <row r="355" spans="1:10" x14ac:dyDescent="0.25">
      <c r="A355" s="58" t="s">
        <v>243</v>
      </c>
      <c r="B355" s="179" t="s">
        <v>298</v>
      </c>
      <c r="C355" s="190">
        <v>0.01</v>
      </c>
    </row>
    <row r="356" spans="1:10" x14ac:dyDescent="0.25">
      <c r="A356" s="58" t="s">
        <v>243</v>
      </c>
      <c r="B356" s="139" t="s">
        <v>299</v>
      </c>
      <c r="C356" s="111">
        <v>2</v>
      </c>
    </row>
    <row r="357" spans="1:10" ht="13.8" thickBot="1" x14ac:dyDescent="0.3">
      <c r="A357" s="58" t="s">
        <v>243</v>
      </c>
      <c r="B357" s="82" t="s">
        <v>301</v>
      </c>
      <c r="C357" s="102">
        <v>60</v>
      </c>
    </row>
    <row r="359" spans="1:10" x14ac:dyDescent="0.25">
      <c r="B359" s="633" t="s">
        <v>300</v>
      </c>
      <c r="C359" s="633"/>
      <c r="D359" s="633"/>
      <c r="E359" s="633"/>
      <c r="F359" s="633"/>
      <c r="G359" s="633"/>
      <c r="H359" s="633"/>
      <c r="I359" s="633"/>
      <c r="J359" s="633"/>
    </row>
    <row r="360" spans="1:10" x14ac:dyDescent="0.25">
      <c r="B360" s="633"/>
      <c r="C360" s="633"/>
      <c r="D360" s="633"/>
      <c r="E360" s="633"/>
      <c r="F360" s="633"/>
      <c r="G360" s="633"/>
      <c r="H360" s="633"/>
      <c r="I360" s="633"/>
      <c r="J360" s="633"/>
    </row>
    <row r="361" spans="1:10" ht="13.8" thickBot="1" x14ac:dyDescent="0.3"/>
    <row r="362" spans="1:10" ht="40.200000000000003" thickBot="1" x14ac:dyDescent="0.3">
      <c r="B362" s="173" t="s">
        <v>295</v>
      </c>
      <c r="C362" s="174" t="s">
        <v>375</v>
      </c>
      <c r="D362" s="174" t="s">
        <v>338</v>
      </c>
      <c r="E362" s="174" t="s">
        <v>296</v>
      </c>
      <c r="F362" s="386" t="s">
        <v>297</v>
      </c>
    </row>
    <row r="363" spans="1:10" x14ac:dyDescent="0.25">
      <c r="B363" s="168">
        <v>2025</v>
      </c>
      <c r="C363" s="88">
        <f>C270/12</f>
        <v>6250</v>
      </c>
      <c r="D363" s="88">
        <f>ROUNDUP(C363*$C$355,0)</f>
        <v>63</v>
      </c>
      <c r="E363" s="169">
        <f t="shared" ref="E363:E373" si="30">D363*$C$357*$C$356</f>
        <v>7560</v>
      </c>
      <c r="F363" s="387">
        <f>E363*12</f>
        <v>90720</v>
      </c>
    </row>
    <row r="364" spans="1:10" x14ac:dyDescent="0.25">
      <c r="B364" s="139">
        <v>2026</v>
      </c>
      <c r="C364" s="90">
        <f t="shared" ref="C364:C373" si="31">C271/12</f>
        <v>18750</v>
      </c>
      <c r="D364" s="90">
        <f t="shared" ref="D364:D373" si="32">ROUNDUP(C364*$C$355,0)</f>
        <v>188</v>
      </c>
      <c r="E364" s="170">
        <f t="shared" si="30"/>
        <v>22560</v>
      </c>
      <c r="F364" s="388">
        <f t="shared" ref="F364:F372" si="33">E364*12</f>
        <v>270720</v>
      </c>
    </row>
    <row r="365" spans="1:10" x14ac:dyDescent="0.25">
      <c r="B365" s="139">
        <v>2027</v>
      </c>
      <c r="C365" s="90">
        <f t="shared" si="31"/>
        <v>37500</v>
      </c>
      <c r="D365" s="90">
        <f t="shared" si="32"/>
        <v>375</v>
      </c>
      <c r="E365" s="170">
        <f t="shared" si="30"/>
        <v>45000</v>
      </c>
      <c r="F365" s="388">
        <f t="shared" si="33"/>
        <v>540000</v>
      </c>
    </row>
    <row r="366" spans="1:10" x14ac:dyDescent="0.25">
      <c r="B366" s="139">
        <v>2028</v>
      </c>
      <c r="C366" s="90">
        <f t="shared" si="31"/>
        <v>62500</v>
      </c>
      <c r="D366" s="90">
        <f t="shared" si="32"/>
        <v>625</v>
      </c>
      <c r="E366" s="170">
        <f t="shared" si="30"/>
        <v>75000</v>
      </c>
      <c r="F366" s="388">
        <f t="shared" si="33"/>
        <v>900000</v>
      </c>
    </row>
    <row r="367" spans="1:10" x14ac:dyDescent="0.25">
      <c r="B367" s="139">
        <v>2029</v>
      </c>
      <c r="C367" s="90">
        <f t="shared" si="31"/>
        <v>78125</v>
      </c>
      <c r="D367" s="90">
        <f t="shared" si="32"/>
        <v>782</v>
      </c>
      <c r="E367" s="170">
        <f t="shared" si="30"/>
        <v>93840</v>
      </c>
      <c r="F367" s="388">
        <f t="shared" si="33"/>
        <v>1126080</v>
      </c>
    </row>
    <row r="368" spans="1:10" x14ac:dyDescent="0.25">
      <c r="B368" s="139">
        <v>2030</v>
      </c>
      <c r="C368" s="90">
        <f t="shared" si="31"/>
        <v>96875</v>
      </c>
      <c r="D368" s="90">
        <f t="shared" si="32"/>
        <v>969</v>
      </c>
      <c r="E368" s="170">
        <f t="shared" si="30"/>
        <v>116280</v>
      </c>
      <c r="F368" s="388">
        <f t="shared" si="33"/>
        <v>1395360</v>
      </c>
    </row>
    <row r="369" spans="2:15" x14ac:dyDescent="0.25">
      <c r="B369" s="139">
        <v>2031</v>
      </c>
      <c r="C369" s="90">
        <f t="shared" si="31"/>
        <v>115625</v>
      </c>
      <c r="D369" s="90">
        <f t="shared" si="32"/>
        <v>1157</v>
      </c>
      <c r="E369" s="170">
        <f t="shared" si="30"/>
        <v>138840</v>
      </c>
      <c r="F369" s="388">
        <f t="shared" si="33"/>
        <v>1666080</v>
      </c>
    </row>
    <row r="370" spans="2:15" x14ac:dyDescent="0.25">
      <c r="B370" s="139">
        <v>2032</v>
      </c>
      <c r="C370" s="90">
        <f t="shared" si="31"/>
        <v>134375</v>
      </c>
      <c r="D370" s="90">
        <f t="shared" si="32"/>
        <v>1344</v>
      </c>
      <c r="E370" s="170">
        <f t="shared" si="30"/>
        <v>161280</v>
      </c>
      <c r="F370" s="388">
        <f t="shared" si="33"/>
        <v>1935360</v>
      </c>
    </row>
    <row r="371" spans="2:15" x14ac:dyDescent="0.25">
      <c r="B371" s="139">
        <v>2033</v>
      </c>
      <c r="C371" s="90">
        <f t="shared" si="31"/>
        <v>153125</v>
      </c>
      <c r="D371" s="90">
        <f t="shared" si="32"/>
        <v>1532</v>
      </c>
      <c r="E371" s="170">
        <f t="shared" si="30"/>
        <v>183840</v>
      </c>
      <c r="F371" s="388">
        <f t="shared" si="33"/>
        <v>2206080</v>
      </c>
    </row>
    <row r="372" spans="2:15" x14ac:dyDescent="0.25">
      <c r="B372" s="139">
        <v>2034</v>
      </c>
      <c r="C372" s="90">
        <f t="shared" si="31"/>
        <v>171875</v>
      </c>
      <c r="D372" s="90">
        <f t="shared" si="32"/>
        <v>1719</v>
      </c>
      <c r="E372" s="170">
        <f t="shared" si="30"/>
        <v>206280</v>
      </c>
      <c r="F372" s="388">
        <f t="shared" si="33"/>
        <v>2475360</v>
      </c>
    </row>
    <row r="373" spans="2:15" ht="13.8" thickBot="1" x14ac:dyDescent="0.3">
      <c r="B373" s="82">
        <v>2035</v>
      </c>
      <c r="C373" s="92">
        <f t="shared" si="31"/>
        <v>190625</v>
      </c>
      <c r="D373" s="92">
        <f t="shared" si="32"/>
        <v>1907</v>
      </c>
      <c r="E373" s="171">
        <f t="shared" si="30"/>
        <v>228840</v>
      </c>
      <c r="F373" s="389">
        <f>E373*12</f>
        <v>2746080</v>
      </c>
    </row>
    <row r="375" spans="2:15" ht="13.8" thickBot="1" x14ac:dyDescent="0.3"/>
    <row r="376" spans="2:15" ht="23.4" thickBot="1" x14ac:dyDescent="0.45">
      <c r="B376" s="551" t="s">
        <v>302</v>
      </c>
      <c r="C376" s="552"/>
      <c r="D376" s="552"/>
      <c r="E376" s="552"/>
      <c r="F376" s="552"/>
      <c r="G376" s="552"/>
      <c r="H376" s="552"/>
      <c r="I376" s="552"/>
      <c r="J376" s="552"/>
      <c r="K376" s="552"/>
      <c r="L376" s="552"/>
      <c r="M376" s="552"/>
      <c r="N376" s="552"/>
      <c r="O376" s="553"/>
    </row>
    <row r="378" spans="2:15" ht="20.399999999999999" x14ac:dyDescent="0.35">
      <c r="B378" s="105" t="s">
        <v>307</v>
      </c>
    </row>
    <row r="379" spans="2:15" x14ac:dyDescent="0.25">
      <c r="B379" s="58" t="s">
        <v>303</v>
      </c>
    </row>
    <row r="380" spans="2:15" x14ac:dyDescent="0.25">
      <c r="B380" s="58" t="s">
        <v>304</v>
      </c>
    </row>
    <row r="381" spans="2:15" x14ac:dyDescent="0.25">
      <c r="B381" s="58" t="s">
        <v>305</v>
      </c>
    </row>
    <row r="382" spans="2:15" x14ac:dyDescent="0.25">
      <c r="B382" s="58" t="s">
        <v>306</v>
      </c>
    </row>
    <row r="384" spans="2:15" ht="20.399999999999999" x14ac:dyDescent="0.35">
      <c r="B384" s="105" t="s">
        <v>309</v>
      </c>
    </row>
    <row r="385" spans="2:12" x14ac:dyDescent="0.25">
      <c r="B385" s="58" t="s">
        <v>308</v>
      </c>
    </row>
    <row r="387" spans="2:12" ht="20.399999999999999" x14ac:dyDescent="0.35">
      <c r="B387" s="105" t="s">
        <v>324</v>
      </c>
    </row>
    <row r="389" spans="2:12" ht="20.399999999999999" x14ac:dyDescent="0.35">
      <c r="B389" s="105" t="s">
        <v>331</v>
      </c>
    </row>
    <row r="390" spans="2:12" x14ac:dyDescent="0.25">
      <c r="J390" s="158"/>
      <c r="K390" s="158"/>
      <c r="L390" s="158"/>
    </row>
    <row r="391" spans="2:12" x14ac:dyDescent="0.25">
      <c r="J391" s="158"/>
      <c r="K391" s="158"/>
      <c r="L391" s="158"/>
    </row>
    <row r="392" spans="2:12" x14ac:dyDescent="0.25">
      <c r="J392" s="158"/>
      <c r="K392" s="158"/>
      <c r="L392" s="158"/>
    </row>
    <row r="393" spans="2:12" x14ac:dyDescent="0.25">
      <c r="B393" s="158"/>
      <c r="C393" s="158"/>
      <c r="D393" s="158"/>
      <c r="J393" s="158"/>
      <c r="K393" s="158"/>
      <c r="L393" s="158"/>
    </row>
    <row r="395" spans="2:12" ht="21" thickBot="1" x14ac:dyDescent="0.4">
      <c r="B395" s="105" t="s">
        <v>332</v>
      </c>
    </row>
    <row r="396" spans="2:12" ht="13.8" thickBot="1" x14ac:dyDescent="0.3">
      <c r="B396" s="593" t="s">
        <v>333</v>
      </c>
      <c r="C396" s="637"/>
      <c r="D396" s="637"/>
      <c r="E396" s="637"/>
      <c r="F396" s="183" t="s">
        <v>334</v>
      </c>
      <c r="G396" s="546" t="s">
        <v>164</v>
      </c>
      <c r="H396" s="546"/>
      <c r="I396" s="184" t="s">
        <v>357</v>
      </c>
    </row>
    <row r="397" spans="2:12" x14ac:dyDescent="0.25">
      <c r="B397" s="638" t="s">
        <v>330</v>
      </c>
      <c r="C397" s="639"/>
      <c r="D397" s="639"/>
      <c r="E397" s="639"/>
      <c r="F397" s="191" t="s">
        <v>326</v>
      </c>
      <c r="G397" s="646" t="s">
        <v>335</v>
      </c>
      <c r="H397" s="646"/>
      <c r="I397" s="192" t="s">
        <v>358</v>
      </c>
    </row>
    <row r="398" spans="2:12" x14ac:dyDescent="0.25">
      <c r="B398" s="640" t="s">
        <v>304</v>
      </c>
      <c r="C398" s="641"/>
      <c r="D398" s="641"/>
      <c r="E398" s="641"/>
      <c r="F398" s="159" t="s">
        <v>329</v>
      </c>
      <c r="G398" s="647" t="s">
        <v>337</v>
      </c>
      <c r="H398" s="647"/>
      <c r="I398" s="189" t="s">
        <v>358</v>
      </c>
    </row>
    <row r="399" spans="2:12" x14ac:dyDescent="0.25">
      <c r="B399" s="642" t="s">
        <v>305</v>
      </c>
      <c r="C399" s="643"/>
      <c r="D399" s="643"/>
      <c r="E399" s="643"/>
      <c r="F399" s="159" t="s">
        <v>328</v>
      </c>
      <c r="G399" s="647" t="s">
        <v>335</v>
      </c>
      <c r="H399" s="647"/>
      <c r="I399" s="189" t="s">
        <v>359</v>
      </c>
    </row>
    <row r="400" spans="2:12" ht="13.8" thickBot="1" x14ac:dyDescent="0.3">
      <c r="B400" s="644" t="s">
        <v>306</v>
      </c>
      <c r="C400" s="645"/>
      <c r="D400" s="645"/>
      <c r="E400" s="645"/>
      <c r="F400" s="165" t="s">
        <v>327</v>
      </c>
      <c r="G400" s="648" t="s">
        <v>336</v>
      </c>
      <c r="H400" s="648"/>
      <c r="I400" s="160" t="s">
        <v>359</v>
      </c>
    </row>
    <row r="402" spans="2:19" ht="13.8" thickBot="1" x14ac:dyDescent="0.3"/>
    <row r="403" spans="2:19" ht="13.8" thickBot="1" x14ac:dyDescent="0.3">
      <c r="D403" s="595" t="s">
        <v>330</v>
      </c>
      <c r="E403" s="587"/>
      <c r="F403" s="588"/>
      <c r="G403" s="595" t="s">
        <v>339</v>
      </c>
      <c r="H403" s="588"/>
      <c r="I403" s="595" t="s">
        <v>305</v>
      </c>
      <c r="J403" s="587"/>
      <c r="K403" s="588"/>
      <c r="L403" s="595" t="s">
        <v>340</v>
      </c>
      <c r="M403" s="588"/>
    </row>
    <row r="404" spans="2:19" ht="79.8" thickBot="1" x14ac:dyDescent="0.3">
      <c r="B404" s="182" t="s">
        <v>295</v>
      </c>
      <c r="C404" s="195" t="s">
        <v>394</v>
      </c>
      <c r="D404" s="182" t="s">
        <v>310</v>
      </c>
      <c r="E404" s="186" t="s">
        <v>311</v>
      </c>
      <c r="F404" s="187" t="s">
        <v>312</v>
      </c>
      <c r="G404" s="182" t="s">
        <v>313</v>
      </c>
      <c r="H404" s="187" t="s">
        <v>314</v>
      </c>
      <c r="I404" s="182" t="s">
        <v>315</v>
      </c>
      <c r="J404" s="186" t="s">
        <v>316</v>
      </c>
      <c r="K404" s="187" t="s">
        <v>317</v>
      </c>
      <c r="L404" s="182" t="s">
        <v>391</v>
      </c>
      <c r="M404" s="187" t="s">
        <v>392</v>
      </c>
      <c r="N404" s="146"/>
      <c r="O404" s="146"/>
      <c r="P404" s="146"/>
      <c r="Q404" s="146"/>
      <c r="R404" s="146"/>
      <c r="S404" s="146"/>
    </row>
    <row r="405" spans="2:19" x14ac:dyDescent="0.25">
      <c r="B405" s="179">
        <v>2025</v>
      </c>
      <c r="C405" s="196">
        <f>F363</f>
        <v>90720</v>
      </c>
      <c r="D405" s="199">
        <f>E104</f>
        <v>420426</v>
      </c>
      <c r="E405" s="185">
        <f>E114</f>
        <v>596232</v>
      </c>
      <c r="F405" s="188">
        <f>E124</f>
        <v>786289.5</v>
      </c>
      <c r="G405" s="204">
        <f>C236</f>
        <v>30286.215172413788</v>
      </c>
      <c r="H405" s="205">
        <f>C242</f>
        <v>24911.255172413796</v>
      </c>
      <c r="I405" s="199">
        <f>$C$253</f>
        <v>63063.899999999994</v>
      </c>
      <c r="J405" s="185">
        <f>$C$254</f>
        <v>89434.8</v>
      </c>
      <c r="K405" s="188">
        <f>$C$255</f>
        <v>117943.42499999999</v>
      </c>
      <c r="L405" s="204">
        <f>F330</f>
        <v>66674.770477294922</v>
      </c>
      <c r="M405" s="205">
        <f>G330</f>
        <v>66761.170477294916</v>
      </c>
    </row>
    <row r="406" spans="2:19" x14ac:dyDescent="0.25">
      <c r="B406" s="139">
        <v>2026</v>
      </c>
      <c r="C406" s="197">
        <f t="shared" ref="C406:C415" si="34">F364</f>
        <v>270720</v>
      </c>
      <c r="D406" s="200"/>
      <c r="E406" s="193"/>
      <c r="F406" s="201"/>
      <c r="G406" s="200"/>
      <c r="H406" s="201"/>
      <c r="I406" s="206">
        <f t="shared" ref="I406:I415" si="35">$C$253</f>
        <v>63063.899999999994</v>
      </c>
      <c r="J406" s="170">
        <f t="shared" ref="J406:J415" si="36">$C$254</f>
        <v>89434.8</v>
      </c>
      <c r="K406" s="153">
        <f t="shared" ref="K406:K415" si="37">$C$255</f>
        <v>117943.42499999999</v>
      </c>
      <c r="L406" s="204">
        <f t="shared" ref="L406:M406" si="38">F331</f>
        <v>200024.31143188482</v>
      </c>
      <c r="M406" s="205">
        <f t="shared" si="38"/>
        <v>200283.51143188475</v>
      </c>
    </row>
    <row r="407" spans="2:19" x14ac:dyDescent="0.25">
      <c r="B407" s="139">
        <v>2027</v>
      </c>
      <c r="C407" s="197">
        <f t="shared" si="34"/>
        <v>540000</v>
      </c>
      <c r="D407" s="200"/>
      <c r="E407" s="193"/>
      <c r="F407" s="201"/>
      <c r="G407" s="200"/>
      <c r="H407" s="201"/>
      <c r="I407" s="206">
        <f t="shared" si="35"/>
        <v>63063.899999999994</v>
      </c>
      <c r="J407" s="170">
        <f t="shared" si="36"/>
        <v>89434.8</v>
      </c>
      <c r="K407" s="153">
        <f t="shared" si="37"/>
        <v>117943.42499999999</v>
      </c>
      <c r="L407" s="204">
        <f t="shared" ref="L407:M407" si="39">F332</f>
        <v>400048.62286376965</v>
      </c>
      <c r="M407" s="205">
        <f t="shared" si="39"/>
        <v>400567.0228637695</v>
      </c>
    </row>
    <row r="408" spans="2:19" x14ac:dyDescent="0.25">
      <c r="B408" s="139">
        <v>2028</v>
      </c>
      <c r="C408" s="197">
        <f t="shared" si="34"/>
        <v>900000</v>
      </c>
      <c r="D408" s="200"/>
      <c r="E408" s="193"/>
      <c r="F408" s="201"/>
      <c r="G408" s="200"/>
      <c r="H408" s="201"/>
      <c r="I408" s="206">
        <f t="shared" si="35"/>
        <v>63063.899999999994</v>
      </c>
      <c r="J408" s="170">
        <f t="shared" si="36"/>
        <v>89434.8</v>
      </c>
      <c r="K408" s="153">
        <f t="shared" si="37"/>
        <v>117943.42499999999</v>
      </c>
      <c r="L408" s="204">
        <f t="shared" ref="L408:M408" si="40">F333</f>
        <v>633483.70477294934</v>
      </c>
      <c r="M408" s="205">
        <f t="shared" si="40"/>
        <v>667611.7047729491</v>
      </c>
    </row>
    <row r="409" spans="2:19" x14ac:dyDescent="0.25">
      <c r="B409" s="139">
        <v>2029</v>
      </c>
      <c r="C409" s="197">
        <f t="shared" si="34"/>
        <v>1126080</v>
      </c>
      <c r="D409" s="200"/>
      <c r="E409" s="193"/>
      <c r="F409" s="201"/>
      <c r="G409" s="200"/>
      <c r="H409" s="201"/>
      <c r="I409" s="206">
        <f t="shared" si="35"/>
        <v>63063.899999999994</v>
      </c>
      <c r="J409" s="170">
        <f t="shared" si="36"/>
        <v>89434.8</v>
      </c>
      <c r="K409" s="153">
        <f t="shared" si="37"/>
        <v>117943.42499999999</v>
      </c>
      <c r="L409" s="204">
        <f t="shared" ref="L409:M409" si="41">F334</f>
        <v>800170.63096618676</v>
      </c>
      <c r="M409" s="205">
        <f t="shared" si="41"/>
        <v>801207.43096618645</v>
      </c>
    </row>
    <row r="410" spans="2:19" x14ac:dyDescent="0.25">
      <c r="B410" s="139">
        <v>2030</v>
      </c>
      <c r="C410" s="197">
        <f t="shared" si="34"/>
        <v>1395360</v>
      </c>
      <c r="D410" s="200"/>
      <c r="E410" s="193"/>
      <c r="F410" s="201"/>
      <c r="G410" s="200"/>
      <c r="H410" s="201"/>
      <c r="I410" s="206">
        <f t="shared" si="35"/>
        <v>63063.899999999994</v>
      </c>
      <c r="J410" s="170">
        <f t="shared" si="36"/>
        <v>89434.8</v>
      </c>
      <c r="K410" s="153">
        <f t="shared" si="37"/>
        <v>117943.42499999999</v>
      </c>
      <c r="L410" s="204">
        <f t="shared" ref="L410:M410" si="42">F335</f>
        <v>1000194.9423980713</v>
      </c>
      <c r="M410" s="205">
        <f t="shared" si="42"/>
        <v>1001490.9423980715</v>
      </c>
    </row>
    <row r="411" spans="2:19" x14ac:dyDescent="0.25">
      <c r="B411" s="139">
        <v>2031</v>
      </c>
      <c r="C411" s="197">
        <f t="shared" si="34"/>
        <v>1666080</v>
      </c>
      <c r="D411" s="200"/>
      <c r="E411" s="193"/>
      <c r="F411" s="201"/>
      <c r="G411" s="200"/>
      <c r="H411" s="201"/>
      <c r="I411" s="206">
        <f t="shared" si="35"/>
        <v>63063.899999999994</v>
      </c>
      <c r="J411" s="170">
        <f t="shared" si="36"/>
        <v>89434.8</v>
      </c>
      <c r="K411" s="153">
        <f t="shared" si="37"/>
        <v>117943.42499999999</v>
      </c>
      <c r="L411" s="204">
        <f t="shared" ref="L411:M411" si="43">F336</f>
        <v>1166955.2538299561</v>
      </c>
      <c r="M411" s="205">
        <f t="shared" si="43"/>
        <v>1201774.4538299562</v>
      </c>
    </row>
    <row r="412" spans="2:19" x14ac:dyDescent="0.25">
      <c r="B412" s="139">
        <v>2032</v>
      </c>
      <c r="C412" s="197">
        <f t="shared" si="34"/>
        <v>1935360</v>
      </c>
      <c r="D412" s="200"/>
      <c r="E412" s="193"/>
      <c r="F412" s="201"/>
      <c r="G412" s="200"/>
      <c r="H412" s="201"/>
      <c r="I412" s="206">
        <f t="shared" si="35"/>
        <v>63063.899999999994</v>
      </c>
      <c r="J412" s="170">
        <f t="shared" si="36"/>
        <v>89434.8</v>
      </c>
      <c r="K412" s="153">
        <f t="shared" si="37"/>
        <v>117943.42499999999</v>
      </c>
      <c r="L412" s="204">
        <f t="shared" ref="L412:M412" si="44">F337</f>
        <v>1366979.5652618406</v>
      </c>
      <c r="M412" s="205">
        <f t="shared" si="44"/>
        <v>1402057.965261841</v>
      </c>
    </row>
    <row r="413" spans="2:19" x14ac:dyDescent="0.25">
      <c r="B413" s="139">
        <v>2033</v>
      </c>
      <c r="C413" s="197">
        <f t="shared" si="34"/>
        <v>2206080</v>
      </c>
      <c r="D413" s="200"/>
      <c r="E413" s="193"/>
      <c r="F413" s="201"/>
      <c r="G413" s="200"/>
      <c r="H413" s="201"/>
      <c r="I413" s="206">
        <f t="shared" si="35"/>
        <v>63063.899999999994</v>
      </c>
      <c r="J413" s="170">
        <f t="shared" si="36"/>
        <v>89434.8</v>
      </c>
      <c r="K413" s="153">
        <f t="shared" si="37"/>
        <v>117943.42499999999</v>
      </c>
      <c r="L413" s="204">
        <f t="shared" ref="L413:M413" si="45">F338</f>
        <v>1533739.8766937254</v>
      </c>
      <c r="M413" s="205">
        <f t="shared" si="45"/>
        <v>1535727.0766937258</v>
      </c>
    </row>
    <row r="414" spans="2:19" x14ac:dyDescent="0.25">
      <c r="B414" s="139">
        <v>2034</v>
      </c>
      <c r="C414" s="197">
        <f t="shared" si="34"/>
        <v>2475360</v>
      </c>
      <c r="D414" s="200"/>
      <c r="E414" s="193"/>
      <c r="F414" s="201"/>
      <c r="G414" s="200"/>
      <c r="H414" s="201"/>
      <c r="I414" s="206">
        <f t="shared" si="35"/>
        <v>63063.899999999994</v>
      </c>
      <c r="J414" s="170">
        <f t="shared" si="36"/>
        <v>89434.8</v>
      </c>
      <c r="K414" s="153">
        <f t="shared" si="37"/>
        <v>117943.42499999999</v>
      </c>
      <c r="L414" s="204">
        <f t="shared" ref="L414:M414" si="46">F339</f>
        <v>1733764.1881256104</v>
      </c>
      <c r="M414" s="205">
        <f t="shared" si="46"/>
        <v>1736010.5881256105</v>
      </c>
    </row>
    <row r="415" spans="2:19" ht="13.8" thickBot="1" x14ac:dyDescent="0.3">
      <c r="B415" s="82">
        <v>2035</v>
      </c>
      <c r="C415" s="198">
        <f t="shared" si="34"/>
        <v>2746080</v>
      </c>
      <c r="D415" s="202"/>
      <c r="E415" s="194"/>
      <c r="F415" s="203"/>
      <c r="G415" s="202"/>
      <c r="H415" s="203"/>
      <c r="I415" s="207">
        <f t="shared" si="35"/>
        <v>63063.899999999994</v>
      </c>
      <c r="J415" s="171">
        <f t="shared" si="36"/>
        <v>89434.8</v>
      </c>
      <c r="K415" s="172">
        <f t="shared" si="37"/>
        <v>117943.42499999999</v>
      </c>
      <c r="L415" s="204">
        <f t="shared" ref="L415:M415" si="47">F340</f>
        <v>1933788.4995574956</v>
      </c>
      <c r="M415" s="205">
        <f t="shared" si="47"/>
        <v>1936294.099557495</v>
      </c>
    </row>
    <row r="416" spans="2:19" ht="13.8" thickBot="1" x14ac:dyDescent="0.3"/>
    <row r="417" spans="2:8" ht="13.8" thickBot="1" x14ac:dyDescent="0.3">
      <c r="B417" s="182" t="s">
        <v>295</v>
      </c>
      <c r="C417" s="183" t="s">
        <v>318</v>
      </c>
      <c r="D417" s="183" t="s">
        <v>319</v>
      </c>
      <c r="E417" s="183" t="s">
        <v>320</v>
      </c>
      <c r="F417" s="183" t="s">
        <v>321</v>
      </c>
      <c r="G417" s="183" t="s">
        <v>322</v>
      </c>
      <c r="H417" s="184" t="s">
        <v>323</v>
      </c>
    </row>
    <row r="418" spans="2:8" x14ac:dyDescent="0.25">
      <c r="B418" s="179">
        <v>2025</v>
      </c>
      <c r="C418" s="180">
        <f>$C405/($D$405+$G$405+I405+L405)</f>
        <v>0.15629229318593518</v>
      </c>
      <c r="D418" s="180">
        <f>$C405/($D$405+$H$405+I405+M405)</f>
        <v>0.15772938517404081</v>
      </c>
      <c r="E418" s="180">
        <f>$C405/($E$405+$G$405+J405+L405)</f>
        <v>0.11591717245853672</v>
      </c>
      <c r="F418" s="180">
        <f>$C405/($E$405+$H$405+J405+M405)</f>
        <v>0.1167058048874032</v>
      </c>
      <c r="G418" s="180">
        <f>$C405/($F$405+$G$405+K405+L405)</f>
        <v>9.0611817585994625E-2</v>
      </c>
      <c r="H418" s="181">
        <f>$C405/($F$405+$H$405+K405+M405)</f>
        <v>9.1092993868158334E-2</v>
      </c>
    </row>
    <row r="419" spans="2:8" x14ac:dyDescent="0.25">
      <c r="B419" s="139">
        <v>2026</v>
      </c>
      <c r="C419" s="175">
        <f>SUM(C405:C406)/($D$405+$G$405+SUM(I405:I406)+SUM(L405:L406))</f>
        <v>0.42848043588077911</v>
      </c>
      <c r="D419" s="175">
        <f>SUM(C405:C406)/($D$405+$H$405+SUM(I405:I406)+SUM(M405:M406))</f>
        <v>0.43105045059820107</v>
      </c>
      <c r="E419" s="175">
        <f>SUM(C405:C406)/($E$405+$G$405+SUM(J405:J406)+SUM(L405:L406))</f>
        <v>0.33713685055185577</v>
      </c>
      <c r="F419" s="175">
        <f>SUM(C405:C406)/($E$405+$H$405+SUM(J405:J406)+SUM(M405:M406))</f>
        <v>0.33872587694618589</v>
      </c>
      <c r="G419" s="175">
        <f>SUM(C405:C406)/($F$405+$G$405+SUM(K405:K406)+SUM(L405:L406))</f>
        <v>0.27399219860554663</v>
      </c>
      <c r="H419" s="176">
        <f>SUM(C405:C406)/($F$405+$H$405+SUM(K405:K406)+SUM(M405:M406))</f>
        <v>0.27504080339025905</v>
      </c>
    </row>
    <row r="420" spans="2:8" x14ac:dyDescent="0.25">
      <c r="B420" s="139">
        <v>2027</v>
      </c>
      <c r="C420" s="175">
        <f>SUM(C405:C407)/($D$405+$G$405+SUM(I405:I407)+SUM(L405:L407))</f>
        <v>0.68988549529192267</v>
      </c>
      <c r="D420" s="175">
        <f>SUM(C405:C407)/($D$405+$H$405+SUM(I405:I407)+SUM(M405:M407))</f>
        <v>0.69227544130126761</v>
      </c>
      <c r="E420" s="175">
        <f>SUM(C405:C407)/($E$405+$G$405+SUM(J405:J407)+SUM(L405:L407))</f>
        <v>0.57726506996594285</v>
      </c>
      <c r="F420" s="175">
        <f>SUM(C405:C407)/($E$405+$H$405+SUM(J405:J407)+SUM(M405:M407))</f>
        <v>0.57893746583407812</v>
      </c>
      <c r="G420" s="175">
        <f>SUM(C405:C407)/($F$405+$G$405+SUM(K405:K407)+SUM(L405:L407))</f>
        <v>0.49067206651254552</v>
      </c>
      <c r="H420" s="176">
        <f>SUM(C405:C407)/($F$405+$H$405+SUM(K405:K407)+SUM(M405:M407))</f>
        <v>0.49187983168300115</v>
      </c>
    </row>
    <row r="421" spans="2:8" x14ac:dyDescent="0.25">
      <c r="B421" s="139">
        <v>2028</v>
      </c>
      <c r="C421" s="175">
        <f>SUM(C405:C408)/($D$405+$G$405+SUM(I405:I408)+SUM(L405:L408))</f>
        <v>0.8992814982011168</v>
      </c>
      <c r="D421" s="175">
        <f>SUM(C405:C408)/($D$405+$H$405+SUM(I405:I408)+SUM(M405:M408))</f>
        <v>0.88617945028574718</v>
      </c>
      <c r="E421" s="175">
        <f>SUM(C405:C408)/($E$405+$G$405+SUM(J405:J408)+SUM(L405:L408))</f>
        <v>0.78855277404218671</v>
      </c>
      <c r="F421" s="175">
        <f>SUM(C405:C408)/($E$405+$H$405+SUM(J405:J408)+SUM(M405:M408))</f>
        <v>0.77846049632620529</v>
      </c>
      <c r="G421" s="175">
        <f>SUM(C405:C408)/($F$405+$G$405+SUM(K405:K408)+SUM(L405:L408))</f>
        <v>0.69591800371774426</v>
      </c>
      <c r="H421" s="176">
        <f>SUM(C405:C408)/($F$405+$H$405+SUM(K405:K408)+SUM(M405:M408))</f>
        <v>0.68804578304620001</v>
      </c>
    </row>
    <row r="422" spans="2:8" x14ac:dyDescent="0.25">
      <c r="B422" s="139">
        <v>2029</v>
      </c>
      <c r="C422" s="175">
        <f>SUM(C405:C409)/($D$405+$G$405+SUM(I405:I409)+SUM(L405:L409))</f>
        <v>1.0213108864610454</v>
      </c>
      <c r="D422" s="175">
        <f>SUM(C405:C409)/($D$405+$H$405+SUM(I405:I409)+SUM(M405:M409))</f>
        <v>1.0105044819358702</v>
      </c>
      <c r="E422" s="175">
        <f>SUM(C405:C409)/($E$405+$G$405+SUM(J405:J409)+SUM(L405:L409))</f>
        <v>0.92231665608451652</v>
      </c>
      <c r="F422" s="175">
        <f>SUM(C405:C409)/($E$405+$H$405+SUM(J405:J409)+SUM(M405:M409))</f>
        <v>0.91349457510940946</v>
      </c>
      <c r="G422" s="175">
        <f>SUM(C405:C409)/($F$405+$G$405+SUM(K405:K409)+SUM(L405:L409))</f>
        <v>0.83483738951036257</v>
      </c>
      <c r="H422" s="176">
        <f>SUM(C405:C409)/($F$405+$H$405+SUM(K405:K409)+SUM(M405:M409))</f>
        <v>0.82760288316541974</v>
      </c>
    </row>
    <row r="423" spans="2:8" x14ac:dyDescent="0.25">
      <c r="B423" s="139">
        <v>2030</v>
      </c>
      <c r="C423" s="175">
        <f>SUM(C405:C410)/($D$405+$G$405+SUM(I405:I410)+SUM(L405:L410))</f>
        <v>1.1000555112400594</v>
      </c>
      <c r="D423" s="175">
        <f>SUM(C405:C410)/($D$405+$H$405+SUM(I405:I410)+SUM(M405:M410))</f>
        <v>1.0911837874223371</v>
      </c>
      <c r="E423" s="175">
        <f>SUM(C405:C410)/($E$405+$G$405+SUM(J405:J410)+SUM(L405:L410))</f>
        <v>1.0138742568571588</v>
      </c>
      <c r="F423" s="175">
        <f>SUM(C405:C410)/($E$405+$H$405+SUM(J405:J410)+SUM(M405:M410))</f>
        <v>1.0063333863191006</v>
      </c>
      <c r="G423" s="175">
        <f>SUM(C405:C410)/($F$405+$G$405+SUM(K405:K410)+SUM(L405:L410))</f>
        <v>0.93471045724561874</v>
      </c>
      <c r="H423" s="176">
        <f>SUM(C405:C410)/($F$405+$H$405+SUM(K405:K410)+SUM(M405:M410))</f>
        <v>0.92829747880310776</v>
      </c>
    </row>
    <row r="424" spans="2:8" x14ac:dyDescent="0.25">
      <c r="B424" s="139">
        <v>2031</v>
      </c>
      <c r="C424" s="175">
        <f>SUM(C405:C411)/($D$405+$G$405+SUM(I405:I411)+SUM(L405:L411))</f>
        <v>1.1607160027457153</v>
      </c>
      <c r="D424" s="175">
        <f>SUM(C405:C411)/($D$405+$H$405+SUM(I405:I411)+SUM(M405:M411))</f>
        <v>1.1458876897179717</v>
      </c>
      <c r="E424" s="175">
        <f>SUM(C405:C411)/($E$405+$G$405+SUM(J405:J411)+SUM(L405:L411))</f>
        <v>1.0849341052881025</v>
      </c>
      <c r="F424" s="175">
        <f>SUM(C405:C411)/($E$405+$H$405+SUM(J405:J411)+SUM(M405:M411))</f>
        <v>1.071968018924454</v>
      </c>
      <c r="G424" s="175">
        <f>SUM(C405:C411)/($F$405+$G$405+SUM(K405:K411)+SUM(L405:L411))</f>
        <v>1.013406373430692</v>
      </c>
      <c r="H424" s="176">
        <f>SUM(C405:C411)/($F$405+$H$405+SUM(K405:K411)+SUM(M405:M411))</f>
        <v>1.0020846701366652</v>
      </c>
    </row>
    <row r="425" spans="2:8" x14ac:dyDescent="0.25">
      <c r="B425" s="139">
        <v>2032</v>
      </c>
      <c r="C425" s="175">
        <f>SUM(C405:C412)/($D$405+$G$405+SUM(I405:I412)+SUM(L405:L412))</f>
        <v>1.2025211466652752</v>
      </c>
      <c r="D425" s="175">
        <f>SUM(C405:C412)/($D$405+$H$405+SUM(I405:I412)+SUM(M405:M412))</f>
        <v>1.1842185506194067</v>
      </c>
      <c r="E425" s="175">
        <f>SUM(C405:C412)/($E$405+$G$405+SUM(J405:J412)+SUM(L405:L412))</f>
        <v>1.1358543284210554</v>
      </c>
      <c r="F425" s="175">
        <f>SUM(C405:C412)/($E$405+$H$405+SUM(J405:J412)+SUM(M405:M412))</f>
        <v>1.1195110516727105</v>
      </c>
      <c r="G425" s="175">
        <f>SUM(C405:C412)/($F$405+$G$405+SUM(K405:K412)+SUM(L405:L412))</f>
        <v>1.0716281001288464</v>
      </c>
      <c r="H425" s="176">
        <f>SUM(C405:C412)/($F$405+$H$405+SUM(K405:K412)+SUM(M405:M412))</f>
        <v>1.0570689666249753</v>
      </c>
    </row>
    <row r="426" spans="2:8" x14ac:dyDescent="0.25">
      <c r="B426" s="139">
        <v>2033</v>
      </c>
      <c r="C426" s="175">
        <f>SUM(C405:C413)/($D$405+$G$405+SUM(I405:I413)+SUM(L405:L413))</f>
        <v>1.2374429852136757</v>
      </c>
      <c r="D426" s="175">
        <f>SUM(C405:C413)/($D$405+$H$405+SUM(I405:I413)+SUM(M405:M413))</f>
        <v>1.2219443909894789</v>
      </c>
      <c r="E426" s="175">
        <f>SUM(C405:C413)/($E$405+$G$405+SUM(J405:J413)+SUM(L405:L413))</f>
        <v>1.1779941574056609</v>
      </c>
      <c r="F426" s="175">
        <f>SUM(C405:C413)/($E$405+$H$405+SUM(J405:J413)+SUM(M405:M413))</f>
        <v>1.1639404929077926</v>
      </c>
      <c r="G426" s="175">
        <f>SUM(C405:C413)/($F$405+$G$405+SUM(K405:K413)+SUM(L405:L413))</f>
        <v>1.1198343191359861</v>
      </c>
      <c r="H426" s="176">
        <f>SUM(C405:C413)/($F$405+$H$405+SUM(K405:K413)+SUM(M405:M413))</f>
        <v>1.107126625502151</v>
      </c>
    </row>
    <row r="427" spans="2:8" x14ac:dyDescent="0.25">
      <c r="B427" s="139">
        <v>2034</v>
      </c>
      <c r="C427" s="175">
        <f>SUM(C405:C414)/($D$405+$G$405+SUM(I405:I414)+SUM(L405:L414))</f>
        <v>1.2626736694138683</v>
      </c>
      <c r="D427" s="175">
        <f>SUM(C405:C414)/($D$405+$H$405+SUM(I405:I414)+SUM(M405:M414))</f>
        <v>1.2493978718780145</v>
      </c>
      <c r="E427" s="175">
        <f>SUM(C405:C414)/($E$405+$G$405+SUM(J405:J414)+SUM(L405:L414))</f>
        <v>1.2094289959585574</v>
      </c>
      <c r="F427" s="175">
        <f>SUM(C405:C414)/($E$405+$H$405+SUM(J405:J414)+SUM(M405:M414))</f>
        <v>1.1972438224986963</v>
      </c>
      <c r="G427" s="175">
        <f>SUM(C405:C414)/($F$405+$G$405+SUM(K405:K414)+SUM(L405:L414))</f>
        <v>1.1566991178356869</v>
      </c>
      <c r="H427" s="176">
        <f>SUM(C405:C414)/($F$405+$H$405+SUM(K405:K414)+SUM(M405:M414))</f>
        <v>1.1455484062149963</v>
      </c>
    </row>
    <row r="428" spans="2:8" ht="13.8" thickBot="1" x14ac:dyDescent="0.3">
      <c r="B428" s="82">
        <v>2035</v>
      </c>
      <c r="C428" s="177">
        <f>SUM(C405:C415)/($D$405+$G$405+SUM(I405:I415)+SUM(L405:L415))</f>
        <v>1.2814301436662305</v>
      </c>
      <c r="D428" s="177">
        <f>SUM(C405:C415)/($D$405+$H$405+SUM(I405:I415)+SUM(M405:M415))</f>
        <v>1.2699198289097489</v>
      </c>
      <c r="E428" s="177">
        <f>SUM(C405:C415)/($E$405+$G$405+SUM(J405:J415)+SUM(L405:L415))</f>
        <v>1.2334633895586429</v>
      </c>
      <c r="F428" s="177">
        <f>SUM(C405:C415)/($E$405+$H$405+SUM(J405:J415)+SUM(M405:M415))</f>
        <v>1.2227950727700725</v>
      </c>
      <c r="G428" s="177">
        <f>SUM(C405:C415)/($F$405+$G$405+SUM(K405:K415)+SUM(L405:L415))</f>
        <v>1.1854906152527303</v>
      </c>
      <c r="H428" s="178">
        <f>SUM(C405:C415)/($F$405+$H$405+SUM(K405:K415)+SUM(M405:M415))</f>
        <v>1.1756326852124395</v>
      </c>
    </row>
    <row r="456" spans="2:9" ht="20.399999999999999" x14ac:dyDescent="0.35">
      <c r="B456" s="105" t="s">
        <v>341</v>
      </c>
    </row>
    <row r="458" spans="2:9" ht="18.600000000000001" thickBot="1" x14ac:dyDescent="0.4">
      <c r="B458" s="123" t="s">
        <v>349</v>
      </c>
    </row>
    <row r="459" spans="2:9" ht="27" thickBot="1" x14ac:dyDescent="0.3">
      <c r="B459" s="182" t="s">
        <v>295</v>
      </c>
      <c r="C459" s="186" t="s">
        <v>342</v>
      </c>
      <c r="D459" s="209" t="s">
        <v>343</v>
      </c>
      <c r="E459" s="209" t="s">
        <v>344</v>
      </c>
      <c r="F459" s="209" t="s">
        <v>345</v>
      </c>
      <c r="G459" s="209" t="s">
        <v>346</v>
      </c>
      <c r="H459" s="209" t="s">
        <v>347</v>
      </c>
      <c r="I459" s="210" t="s">
        <v>348</v>
      </c>
    </row>
    <row r="460" spans="2:9" x14ac:dyDescent="0.25">
      <c r="B460" s="179">
        <v>2025</v>
      </c>
      <c r="C460" s="208">
        <f>C405</f>
        <v>90720</v>
      </c>
      <c r="D460" s="208">
        <f>$D$405+$G$405+I405+L405</f>
        <v>580450.88564970868</v>
      </c>
      <c r="E460" s="208">
        <f>$D$405+$H$405+I405+M405</f>
        <v>575162.32564970874</v>
      </c>
      <c r="F460" s="208">
        <f>$E$405+$G$405+J405+L405</f>
        <v>782627.78564970871</v>
      </c>
      <c r="G460" s="208">
        <f>$E$405+$H$405+J405+M405</f>
        <v>777339.22564970877</v>
      </c>
      <c r="H460" s="208">
        <f>$F$405+$G$405+K405+L405</f>
        <v>1001193.9106497087</v>
      </c>
      <c r="I460" s="211">
        <f>$F$405+$H$405+K405+M405</f>
        <v>995905.35064970877</v>
      </c>
    </row>
    <row r="461" spans="2:9" x14ac:dyDescent="0.25">
      <c r="B461" s="139">
        <v>2026</v>
      </c>
      <c r="C461" s="163">
        <f t="shared" ref="C461:C470" si="48">C460+C406</f>
        <v>361440</v>
      </c>
      <c r="D461" s="163">
        <f t="shared" ref="D461:D470" si="49">D460+I406+L406</f>
        <v>843539.09708159347</v>
      </c>
      <c r="E461" s="163">
        <f t="shared" ref="E461:E470" si="50">E460+I406+M406</f>
        <v>838509.73708159348</v>
      </c>
      <c r="F461" s="163">
        <f t="shared" ref="F461:F470" si="51">F460+J406+L406</f>
        <v>1072086.8970815935</v>
      </c>
      <c r="G461" s="163">
        <f t="shared" ref="G461:G470" si="52">G460+J406+M406</f>
        <v>1067057.5370815936</v>
      </c>
      <c r="H461" s="163">
        <f t="shared" ref="H461:H470" si="53">H460+K406+L406</f>
        <v>1319161.6470815935</v>
      </c>
      <c r="I461" s="164">
        <f t="shared" ref="I461:I470" si="54">I460+K406+M406</f>
        <v>1314132.2870815934</v>
      </c>
    </row>
    <row r="462" spans="2:9" x14ac:dyDescent="0.25">
      <c r="B462" s="139">
        <v>2027</v>
      </c>
      <c r="C462" s="163">
        <f t="shared" si="48"/>
        <v>901440</v>
      </c>
      <c r="D462" s="163">
        <f t="shared" si="49"/>
        <v>1306651.6199453631</v>
      </c>
      <c r="E462" s="163">
        <f t="shared" si="50"/>
        <v>1302140.6599453629</v>
      </c>
      <c r="F462" s="163">
        <f t="shared" si="51"/>
        <v>1561570.3199453633</v>
      </c>
      <c r="G462" s="163">
        <f t="shared" si="52"/>
        <v>1557059.3599453631</v>
      </c>
      <c r="H462" s="163">
        <f t="shared" si="53"/>
        <v>1837153.6949453633</v>
      </c>
      <c r="I462" s="164">
        <f t="shared" si="54"/>
        <v>1832642.7349453629</v>
      </c>
    </row>
    <row r="463" spans="2:9" x14ac:dyDescent="0.25">
      <c r="B463" s="139">
        <v>2028</v>
      </c>
      <c r="C463" s="163">
        <f t="shared" si="48"/>
        <v>1801440</v>
      </c>
      <c r="D463" s="163">
        <f t="shared" si="49"/>
        <v>2003199.2247183123</v>
      </c>
      <c r="E463" s="163">
        <f t="shared" si="50"/>
        <v>2032816.2647183118</v>
      </c>
      <c r="F463" s="163">
        <f t="shared" si="51"/>
        <v>2284488.8247183128</v>
      </c>
      <c r="G463" s="163">
        <f t="shared" si="52"/>
        <v>2314105.8647183124</v>
      </c>
      <c r="H463" s="163">
        <f t="shared" si="53"/>
        <v>2588580.8247183128</v>
      </c>
      <c r="I463" s="164">
        <f t="shared" si="54"/>
        <v>2618197.8647183119</v>
      </c>
    </row>
    <row r="464" spans="2:9" x14ac:dyDescent="0.25">
      <c r="B464" s="139">
        <v>2029</v>
      </c>
      <c r="C464" s="163">
        <f t="shared" si="48"/>
        <v>2927520</v>
      </c>
      <c r="D464" s="163">
        <f t="shared" si="49"/>
        <v>2866433.7556844987</v>
      </c>
      <c r="E464" s="163">
        <f t="shared" si="50"/>
        <v>2897087.5956844981</v>
      </c>
      <c r="F464" s="163">
        <f t="shared" si="51"/>
        <v>3174094.2556844996</v>
      </c>
      <c r="G464" s="163">
        <f t="shared" si="52"/>
        <v>3204748.0956844985</v>
      </c>
      <c r="H464" s="163">
        <f t="shared" si="53"/>
        <v>3506694.8806844996</v>
      </c>
      <c r="I464" s="164">
        <f t="shared" si="54"/>
        <v>3537348.7206844981</v>
      </c>
    </row>
    <row r="465" spans="2:24" x14ac:dyDescent="0.25">
      <c r="B465" s="139">
        <v>2030</v>
      </c>
      <c r="C465" s="163">
        <f t="shared" si="48"/>
        <v>4322880</v>
      </c>
      <c r="D465" s="163">
        <f t="shared" si="49"/>
        <v>3929692.5980825699</v>
      </c>
      <c r="E465" s="163">
        <f t="shared" si="50"/>
        <v>3961642.4380825693</v>
      </c>
      <c r="F465" s="163">
        <f t="shared" si="51"/>
        <v>4263723.9980825707</v>
      </c>
      <c r="G465" s="163">
        <f t="shared" si="52"/>
        <v>4295673.8380825697</v>
      </c>
      <c r="H465" s="163">
        <f t="shared" si="53"/>
        <v>4624833.2480825707</v>
      </c>
      <c r="I465" s="164">
        <f t="shared" si="54"/>
        <v>4656783.0880825697</v>
      </c>
    </row>
    <row r="466" spans="2:24" x14ac:dyDescent="0.25">
      <c r="B466" s="139">
        <v>2031</v>
      </c>
      <c r="C466" s="163">
        <f t="shared" si="48"/>
        <v>5988960</v>
      </c>
      <c r="D466" s="163">
        <f t="shared" si="49"/>
        <v>5159711.7519125259</v>
      </c>
      <c r="E466" s="163">
        <f t="shared" si="50"/>
        <v>5226480.7919125259</v>
      </c>
      <c r="F466" s="163">
        <f t="shared" si="51"/>
        <v>5520114.0519125266</v>
      </c>
      <c r="G466" s="163">
        <f t="shared" si="52"/>
        <v>5586883.0919125257</v>
      </c>
      <c r="H466" s="163">
        <f t="shared" si="53"/>
        <v>5909731.9269125266</v>
      </c>
      <c r="I466" s="164">
        <f t="shared" si="54"/>
        <v>5976500.9669125257</v>
      </c>
    </row>
    <row r="467" spans="2:24" x14ac:dyDescent="0.25">
      <c r="B467" s="139">
        <v>2032</v>
      </c>
      <c r="C467" s="163">
        <f t="shared" si="48"/>
        <v>7924320</v>
      </c>
      <c r="D467" s="163">
        <f t="shared" si="49"/>
        <v>6589755.217174367</v>
      </c>
      <c r="E467" s="163">
        <f t="shared" si="50"/>
        <v>6691602.6571743675</v>
      </c>
      <c r="F467" s="163">
        <f t="shared" si="51"/>
        <v>6976528.4171743672</v>
      </c>
      <c r="G467" s="163">
        <f t="shared" si="52"/>
        <v>7078375.8571743667</v>
      </c>
      <c r="H467" s="163">
        <f t="shared" si="53"/>
        <v>7394654.9171743672</v>
      </c>
      <c r="I467" s="164">
        <f t="shared" si="54"/>
        <v>7496502.3571743667</v>
      </c>
    </row>
    <row r="468" spans="2:24" x14ac:dyDescent="0.25">
      <c r="B468" s="139">
        <v>2033</v>
      </c>
      <c r="C468" s="163">
        <f t="shared" si="48"/>
        <v>10130400</v>
      </c>
      <c r="D468" s="163">
        <f t="shared" si="49"/>
        <v>8186558.993868093</v>
      </c>
      <c r="E468" s="163">
        <f t="shared" si="50"/>
        <v>8290393.6338680936</v>
      </c>
      <c r="F468" s="163">
        <f t="shared" si="51"/>
        <v>8599703.0938680917</v>
      </c>
      <c r="G468" s="163">
        <f t="shared" si="52"/>
        <v>8703537.7338680923</v>
      </c>
      <c r="H468" s="163">
        <f t="shared" si="53"/>
        <v>9046338.2188680917</v>
      </c>
      <c r="I468" s="164">
        <f t="shared" si="54"/>
        <v>9150172.8588680923</v>
      </c>
    </row>
    <row r="469" spans="2:24" x14ac:dyDescent="0.25">
      <c r="B469" s="139">
        <v>2034</v>
      </c>
      <c r="C469" s="163">
        <f t="shared" si="48"/>
        <v>12605760</v>
      </c>
      <c r="D469" s="163">
        <f t="shared" si="49"/>
        <v>9983387.0819937028</v>
      </c>
      <c r="E469" s="163">
        <f t="shared" si="50"/>
        <v>10089468.121993704</v>
      </c>
      <c r="F469" s="163">
        <f t="shared" si="51"/>
        <v>10422902.081993703</v>
      </c>
      <c r="G469" s="163">
        <f t="shared" si="52"/>
        <v>10528983.121993704</v>
      </c>
      <c r="H469" s="163">
        <f t="shared" si="53"/>
        <v>10898045.831993703</v>
      </c>
      <c r="I469" s="164">
        <f t="shared" si="54"/>
        <v>11004126.871993704</v>
      </c>
    </row>
    <row r="470" spans="2:24" ht="13.8" thickBot="1" x14ac:dyDescent="0.3">
      <c r="B470" s="82">
        <v>2035</v>
      </c>
      <c r="C470" s="166">
        <f t="shared" si="48"/>
        <v>15351840</v>
      </c>
      <c r="D470" s="166">
        <f t="shared" si="49"/>
        <v>11980239.481551198</v>
      </c>
      <c r="E470" s="166">
        <f t="shared" si="50"/>
        <v>12088826.121551199</v>
      </c>
      <c r="F470" s="163">
        <f t="shared" si="51"/>
        <v>12446125.381551199</v>
      </c>
      <c r="G470" s="163">
        <f t="shared" si="52"/>
        <v>12554712.021551199</v>
      </c>
      <c r="H470" s="163">
        <f t="shared" si="53"/>
        <v>12949777.756551199</v>
      </c>
      <c r="I470" s="164">
        <f t="shared" si="54"/>
        <v>13058364.396551199</v>
      </c>
    </row>
    <row r="472" spans="2:24" ht="18.600000000000001" thickBot="1" x14ac:dyDescent="0.4">
      <c r="B472" s="123" t="s">
        <v>350</v>
      </c>
      <c r="L472" s="649" t="s">
        <v>360</v>
      </c>
      <c r="M472" s="649"/>
      <c r="N472" s="649"/>
      <c r="O472" s="649"/>
      <c r="P472" s="649"/>
      <c r="Q472" s="649"/>
      <c r="S472" s="649" t="s">
        <v>361</v>
      </c>
      <c r="T472" s="649"/>
      <c r="U472" s="649"/>
      <c r="V472" s="649"/>
      <c r="W472" s="649"/>
      <c r="X472" s="649"/>
    </row>
    <row r="473" spans="2:24" ht="13.8" thickBot="1" x14ac:dyDescent="0.3">
      <c r="B473" s="182" t="s">
        <v>295</v>
      </c>
      <c r="C473" s="183" t="s">
        <v>351</v>
      </c>
      <c r="D473" s="183" t="s">
        <v>352</v>
      </c>
      <c r="E473" s="183" t="s">
        <v>353</v>
      </c>
      <c r="F473" s="183" t="s">
        <v>354</v>
      </c>
      <c r="G473" s="183" t="s">
        <v>355</v>
      </c>
      <c r="H473" s="184" t="s">
        <v>356</v>
      </c>
      <c r="K473" s="182" t="s">
        <v>295</v>
      </c>
      <c r="L473" s="183" t="s">
        <v>362</v>
      </c>
      <c r="M473" s="183" t="s">
        <v>352</v>
      </c>
      <c r="N473" s="183" t="s">
        <v>353</v>
      </c>
      <c r="O473" s="183" t="s">
        <v>354</v>
      </c>
      <c r="P473" s="183" t="s">
        <v>355</v>
      </c>
      <c r="Q473" s="184" t="s">
        <v>356</v>
      </c>
      <c r="R473" s="182" t="s">
        <v>295</v>
      </c>
      <c r="S473" s="183" t="s">
        <v>363</v>
      </c>
      <c r="T473" s="183" t="s">
        <v>352</v>
      </c>
      <c r="U473" s="183" t="s">
        <v>353</v>
      </c>
      <c r="V473" s="183" t="s">
        <v>354</v>
      </c>
      <c r="W473" s="183" t="s">
        <v>355</v>
      </c>
      <c r="X473" s="184" t="s">
        <v>356</v>
      </c>
    </row>
    <row r="474" spans="2:24" x14ac:dyDescent="0.25">
      <c r="B474" s="179">
        <v>2025</v>
      </c>
      <c r="C474" s="208">
        <f>$C460-D460</f>
        <v>-489730.88564970868</v>
      </c>
      <c r="D474" s="208">
        <f>$C460-E460</f>
        <v>-484442.32564970874</v>
      </c>
      <c r="E474" s="208">
        <f t="shared" ref="E474:H474" si="55">$C460-F460</f>
        <v>-691907.78564970871</v>
      </c>
      <c r="F474" s="208">
        <f t="shared" si="55"/>
        <v>-686619.22564970877</v>
      </c>
      <c r="G474" s="208">
        <f t="shared" si="55"/>
        <v>-910473.91064970871</v>
      </c>
      <c r="H474" s="211">
        <f t="shared" si="55"/>
        <v>-905185.35064970877</v>
      </c>
      <c r="K474" s="179">
        <v>2025</v>
      </c>
      <c r="L474" s="208">
        <f>IF(C474&lt;0,C474,"")</f>
        <v>-489730.88564970868</v>
      </c>
      <c r="M474" s="208">
        <f t="shared" ref="M474:Q484" si="56">IF(D474&lt;0,D474,"")</f>
        <v>-484442.32564970874</v>
      </c>
      <c r="N474" s="208">
        <f t="shared" si="56"/>
        <v>-691907.78564970871</v>
      </c>
      <c r="O474" s="208">
        <f t="shared" si="56"/>
        <v>-686619.22564970877</v>
      </c>
      <c r="P474" s="208">
        <f t="shared" si="56"/>
        <v>-910473.91064970871</v>
      </c>
      <c r="Q474" s="208">
        <f t="shared" si="56"/>
        <v>-905185.35064970877</v>
      </c>
      <c r="R474" s="179">
        <v>2025</v>
      </c>
      <c r="S474" s="208" t="str">
        <f>IF(C474&gt;0,C474,"")</f>
        <v/>
      </c>
      <c r="T474" s="208" t="str">
        <f t="shared" ref="T474:X474" si="57">IF(D474&gt;0,D474,"")</f>
        <v/>
      </c>
      <c r="U474" s="208" t="str">
        <f t="shared" si="57"/>
        <v/>
      </c>
      <c r="V474" s="208" t="str">
        <f t="shared" si="57"/>
        <v/>
      </c>
      <c r="W474" s="208" t="str">
        <f t="shared" si="57"/>
        <v/>
      </c>
      <c r="X474" s="208" t="str">
        <f t="shared" si="57"/>
        <v/>
      </c>
    </row>
    <row r="475" spans="2:24" x14ac:dyDescent="0.25">
      <c r="B475" s="139">
        <v>2026</v>
      </c>
      <c r="C475" s="163">
        <f t="shared" ref="C475:D484" si="58">$C461-D461</f>
        <v>-482099.09708159347</v>
      </c>
      <c r="D475" s="163">
        <f t="shared" si="58"/>
        <v>-477069.73708159348</v>
      </c>
      <c r="E475" s="163">
        <f t="shared" ref="E475:H475" si="59">$C461-F461</f>
        <v>-710646.89708159352</v>
      </c>
      <c r="F475" s="163">
        <f t="shared" si="59"/>
        <v>-705617.53708159365</v>
      </c>
      <c r="G475" s="163">
        <f t="shared" si="59"/>
        <v>-957721.64708159352</v>
      </c>
      <c r="H475" s="164">
        <f t="shared" si="59"/>
        <v>-952692.28708159341</v>
      </c>
      <c r="K475" s="139">
        <v>2026</v>
      </c>
      <c r="L475" s="208">
        <f t="shared" ref="L475:L484" si="60">IF(C475&lt;0,C475,"")</f>
        <v>-482099.09708159347</v>
      </c>
      <c r="M475" s="208">
        <f t="shared" si="56"/>
        <v>-477069.73708159348</v>
      </c>
      <c r="N475" s="208">
        <f t="shared" si="56"/>
        <v>-710646.89708159352</v>
      </c>
      <c r="O475" s="208">
        <f t="shared" si="56"/>
        <v>-705617.53708159365</v>
      </c>
      <c r="P475" s="208">
        <f t="shared" si="56"/>
        <v>-957721.64708159352</v>
      </c>
      <c r="Q475" s="208">
        <f t="shared" si="56"/>
        <v>-952692.28708159341</v>
      </c>
      <c r="R475" s="139">
        <v>2026</v>
      </c>
      <c r="S475" s="208" t="str">
        <f t="shared" ref="S475:S484" si="61">IF(C475&gt;0,C475,"")</f>
        <v/>
      </c>
      <c r="T475" s="208" t="str">
        <f t="shared" ref="T475:T484" si="62">IF(D475&gt;0,D475,"")</f>
        <v/>
      </c>
      <c r="U475" s="208" t="str">
        <f t="shared" ref="U475:U484" si="63">IF(E475&gt;0,E475,"")</f>
        <v/>
      </c>
      <c r="V475" s="208" t="str">
        <f t="shared" ref="V475:V484" si="64">IF(F475&gt;0,F475,"")</f>
        <v/>
      </c>
      <c r="W475" s="208" t="str">
        <f t="shared" ref="W475:W484" si="65">IF(G475&gt;0,G475,"")</f>
        <v/>
      </c>
      <c r="X475" s="208" t="str">
        <f t="shared" ref="X475:X484" si="66">IF(H475&gt;0,H475,"")</f>
        <v/>
      </c>
    </row>
    <row r="476" spans="2:24" x14ac:dyDescent="0.25">
      <c r="B476" s="139">
        <v>2027</v>
      </c>
      <c r="C476" s="163">
        <f t="shared" si="58"/>
        <v>-405211.61994536314</v>
      </c>
      <c r="D476" s="163">
        <f t="shared" si="58"/>
        <v>-400700.65994536295</v>
      </c>
      <c r="E476" s="163">
        <f t="shared" ref="E476:H476" si="67">$C462-F462</f>
        <v>-660130.31994536333</v>
      </c>
      <c r="F476" s="163">
        <f t="shared" si="67"/>
        <v>-655619.35994536313</v>
      </c>
      <c r="G476" s="163">
        <f t="shared" si="67"/>
        <v>-935713.69494536333</v>
      </c>
      <c r="H476" s="164">
        <f t="shared" si="67"/>
        <v>-931202.7349453629</v>
      </c>
      <c r="K476" s="139">
        <v>2027</v>
      </c>
      <c r="L476" s="208">
        <f t="shared" si="60"/>
        <v>-405211.61994536314</v>
      </c>
      <c r="M476" s="208">
        <f t="shared" si="56"/>
        <v>-400700.65994536295</v>
      </c>
      <c r="N476" s="208">
        <f t="shared" si="56"/>
        <v>-660130.31994536333</v>
      </c>
      <c r="O476" s="208">
        <f t="shared" si="56"/>
        <v>-655619.35994536313</v>
      </c>
      <c r="P476" s="208">
        <f t="shared" si="56"/>
        <v>-935713.69494536333</v>
      </c>
      <c r="Q476" s="208">
        <f t="shared" si="56"/>
        <v>-931202.7349453629</v>
      </c>
      <c r="R476" s="139">
        <v>2027</v>
      </c>
      <c r="S476" s="208" t="str">
        <f t="shared" si="61"/>
        <v/>
      </c>
      <c r="T476" s="208" t="str">
        <f t="shared" si="62"/>
        <v/>
      </c>
      <c r="U476" s="208" t="str">
        <f t="shared" si="63"/>
        <v/>
      </c>
      <c r="V476" s="208" t="str">
        <f t="shared" si="64"/>
        <v/>
      </c>
      <c r="W476" s="208" t="str">
        <f t="shared" si="65"/>
        <v/>
      </c>
      <c r="X476" s="208" t="str">
        <f t="shared" si="66"/>
        <v/>
      </c>
    </row>
    <row r="477" spans="2:24" x14ac:dyDescent="0.25">
      <c r="B477" s="139">
        <v>2028</v>
      </c>
      <c r="C477" s="163">
        <f t="shared" si="58"/>
        <v>-201759.22471831227</v>
      </c>
      <c r="D477" s="163">
        <f t="shared" si="58"/>
        <v>-231376.26471831184</v>
      </c>
      <c r="E477" s="163">
        <f t="shared" ref="E477:H477" si="68">$C463-F463</f>
        <v>-483048.82471831283</v>
      </c>
      <c r="F477" s="163">
        <f t="shared" si="68"/>
        <v>-512665.8647183124</v>
      </c>
      <c r="G477" s="163">
        <f t="shared" si="68"/>
        <v>-787140.82471831283</v>
      </c>
      <c r="H477" s="164">
        <f t="shared" si="68"/>
        <v>-816757.86471831193</v>
      </c>
      <c r="K477" s="139">
        <v>2028</v>
      </c>
      <c r="L477" s="208">
        <f t="shared" si="60"/>
        <v>-201759.22471831227</v>
      </c>
      <c r="M477" s="208">
        <f t="shared" si="56"/>
        <v>-231376.26471831184</v>
      </c>
      <c r="N477" s="208">
        <f t="shared" si="56"/>
        <v>-483048.82471831283</v>
      </c>
      <c r="O477" s="208">
        <f t="shared" si="56"/>
        <v>-512665.8647183124</v>
      </c>
      <c r="P477" s="208">
        <f t="shared" si="56"/>
        <v>-787140.82471831283</v>
      </c>
      <c r="Q477" s="208">
        <f t="shared" si="56"/>
        <v>-816757.86471831193</v>
      </c>
      <c r="R477" s="139">
        <v>2028</v>
      </c>
      <c r="S477" s="208" t="str">
        <f t="shared" si="61"/>
        <v/>
      </c>
      <c r="T477" s="208" t="str">
        <f t="shared" si="62"/>
        <v/>
      </c>
      <c r="U477" s="208" t="str">
        <f t="shared" si="63"/>
        <v/>
      </c>
      <c r="V477" s="208" t="str">
        <f t="shared" si="64"/>
        <v/>
      </c>
      <c r="W477" s="208" t="str">
        <f t="shared" si="65"/>
        <v/>
      </c>
      <c r="X477" s="208" t="str">
        <f t="shared" si="66"/>
        <v/>
      </c>
    </row>
    <row r="478" spans="2:24" x14ac:dyDescent="0.25">
      <c r="B478" s="139">
        <v>2029</v>
      </c>
      <c r="C478" s="163">
        <f t="shared" si="58"/>
        <v>61086.244315501302</v>
      </c>
      <c r="D478" s="163">
        <f t="shared" si="58"/>
        <v>30432.404315501917</v>
      </c>
      <c r="E478" s="163">
        <f t="shared" ref="E478:H478" si="69">$C464-F464</f>
        <v>-246574.25568449963</v>
      </c>
      <c r="F478" s="163">
        <f t="shared" si="69"/>
        <v>-277228.09568449855</v>
      </c>
      <c r="G478" s="163">
        <f t="shared" si="69"/>
        <v>-579174.88068449963</v>
      </c>
      <c r="H478" s="164">
        <f t="shared" si="69"/>
        <v>-609828.72068449808</v>
      </c>
      <c r="K478" s="139">
        <v>2029</v>
      </c>
      <c r="L478" s="208" t="str">
        <f t="shared" si="60"/>
        <v/>
      </c>
      <c r="M478" s="208" t="str">
        <f t="shared" si="56"/>
        <v/>
      </c>
      <c r="N478" s="208">
        <f t="shared" si="56"/>
        <v>-246574.25568449963</v>
      </c>
      <c r="O478" s="208">
        <f t="shared" si="56"/>
        <v>-277228.09568449855</v>
      </c>
      <c r="P478" s="208">
        <f t="shared" si="56"/>
        <v>-579174.88068449963</v>
      </c>
      <c r="Q478" s="208">
        <f t="shared" si="56"/>
        <v>-609828.72068449808</v>
      </c>
      <c r="R478" s="139">
        <v>2029</v>
      </c>
      <c r="S478" s="208">
        <f t="shared" si="61"/>
        <v>61086.244315501302</v>
      </c>
      <c r="T478" s="208">
        <f t="shared" si="62"/>
        <v>30432.404315501917</v>
      </c>
      <c r="U478" s="208" t="str">
        <f t="shared" si="63"/>
        <v/>
      </c>
      <c r="V478" s="208" t="str">
        <f t="shared" si="64"/>
        <v/>
      </c>
      <c r="W478" s="208" t="str">
        <f t="shared" si="65"/>
        <v/>
      </c>
      <c r="X478" s="208" t="str">
        <f t="shared" si="66"/>
        <v/>
      </c>
    </row>
    <row r="479" spans="2:24" x14ac:dyDescent="0.25">
      <c r="B479" s="139">
        <v>2030</v>
      </c>
      <c r="C479" s="163">
        <f t="shared" si="58"/>
        <v>393187.40191743011</v>
      </c>
      <c r="D479" s="163">
        <f t="shared" si="58"/>
        <v>361237.56191743072</v>
      </c>
      <c r="E479" s="163">
        <f t="shared" ref="E479:H479" si="70">$C465-F465</f>
        <v>59156.001917429268</v>
      </c>
      <c r="F479" s="163">
        <f t="shared" si="70"/>
        <v>27206.161917430349</v>
      </c>
      <c r="G479" s="163">
        <f t="shared" si="70"/>
        <v>-301953.24808257073</v>
      </c>
      <c r="H479" s="164">
        <f t="shared" si="70"/>
        <v>-333903.08808256965</v>
      </c>
      <c r="K479" s="139">
        <v>2030</v>
      </c>
      <c r="L479" s="208" t="str">
        <f t="shared" si="60"/>
        <v/>
      </c>
      <c r="M479" s="208" t="str">
        <f t="shared" si="56"/>
        <v/>
      </c>
      <c r="N479" s="208" t="str">
        <f t="shared" si="56"/>
        <v/>
      </c>
      <c r="O479" s="208" t="str">
        <f t="shared" si="56"/>
        <v/>
      </c>
      <c r="P479" s="208">
        <f t="shared" si="56"/>
        <v>-301953.24808257073</v>
      </c>
      <c r="Q479" s="208">
        <f t="shared" si="56"/>
        <v>-333903.08808256965</v>
      </c>
      <c r="R479" s="139">
        <v>2030</v>
      </c>
      <c r="S479" s="208">
        <f t="shared" si="61"/>
        <v>393187.40191743011</v>
      </c>
      <c r="T479" s="208">
        <f t="shared" si="62"/>
        <v>361237.56191743072</v>
      </c>
      <c r="U479" s="208">
        <f t="shared" si="63"/>
        <v>59156.001917429268</v>
      </c>
      <c r="V479" s="208">
        <f t="shared" si="64"/>
        <v>27206.161917430349</v>
      </c>
      <c r="W479" s="208" t="str">
        <f t="shared" si="65"/>
        <v/>
      </c>
      <c r="X479" s="208" t="str">
        <f t="shared" si="66"/>
        <v/>
      </c>
    </row>
    <row r="480" spans="2:24" x14ac:dyDescent="0.25">
      <c r="B480" s="139">
        <v>2031</v>
      </c>
      <c r="C480" s="163">
        <f t="shared" si="58"/>
        <v>829248.24808747414</v>
      </c>
      <c r="D480" s="163">
        <f t="shared" si="58"/>
        <v>762479.20808747411</v>
      </c>
      <c r="E480" s="163">
        <f t="shared" ref="E480:H480" si="71">$C466-F466</f>
        <v>468845.9480874734</v>
      </c>
      <c r="F480" s="163">
        <f t="shared" si="71"/>
        <v>402076.90808747429</v>
      </c>
      <c r="G480" s="163">
        <f t="shared" si="71"/>
        <v>79228.0730874734</v>
      </c>
      <c r="H480" s="164">
        <f t="shared" si="71"/>
        <v>12459.033087474294</v>
      </c>
      <c r="K480" s="139">
        <v>2031</v>
      </c>
      <c r="L480" s="208" t="str">
        <f t="shared" si="60"/>
        <v/>
      </c>
      <c r="M480" s="208" t="str">
        <f t="shared" si="56"/>
        <v/>
      </c>
      <c r="N480" s="208" t="str">
        <f t="shared" si="56"/>
        <v/>
      </c>
      <c r="O480" s="208" t="str">
        <f t="shared" si="56"/>
        <v/>
      </c>
      <c r="P480" s="208" t="str">
        <f t="shared" si="56"/>
        <v/>
      </c>
      <c r="Q480" s="208" t="str">
        <f t="shared" si="56"/>
        <v/>
      </c>
      <c r="R480" s="139">
        <v>2031</v>
      </c>
      <c r="S480" s="208">
        <f t="shared" si="61"/>
        <v>829248.24808747414</v>
      </c>
      <c r="T480" s="208">
        <f t="shared" si="62"/>
        <v>762479.20808747411</v>
      </c>
      <c r="U480" s="208">
        <f t="shared" si="63"/>
        <v>468845.9480874734</v>
      </c>
      <c r="V480" s="208">
        <f t="shared" si="64"/>
        <v>402076.90808747429</v>
      </c>
      <c r="W480" s="208">
        <f t="shared" si="65"/>
        <v>79228.0730874734</v>
      </c>
      <c r="X480" s="208">
        <f t="shared" si="66"/>
        <v>12459.033087474294</v>
      </c>
    </row>
    <row r="481" spans="2:24" x14ac:dyDescent="0.25">
      <c r="B481" s="139">
        <v>2032</v>
      </c>
      <c r="C481" s="163">
        <f t="shared" si="58"/>
        <v>1334564.782825633</v>
      </c>
      <c r="D481" s="163">
        <f t="shared" si="58"/>
        <v>1232717.3428256325</v>
      </c>
      <c r="E481" s="163">
        <f t="shared" ref="E481:H481" si="72">$C467-F467</f>
        <v>947791.58282563277</v>
      </c>
      <c r="F481" s="163">
        <f t="shared" si="72"/>
        <v>845944.14282563329</v>
      </c>
      <c r="G481" s="163">
        <f t="shared" si="72"/>
        <v>529665.08282563277</v>
      </c>
      <c r="H481" s="164">
        <f t="shared" si="72"/>
        <v>427817.64282563329</v>
      </c>
      <c r="K481" s="139">
        <v>2032</v>
      </c>
      <c r="L481" s="208" t="str">
        <f t="shared" si="60"/>
        <v/>
      </c>
      <c r="M481" s="208" t="str">
        <f t="shared" si="56"/>
        <v/>
      </c>
      <c r="N481" s="208" t="str">
        <f t="shared" si="56"/>
        <v/>
      </c>
      <c r="O481" s="208" t="str">
        <f t="shared" si="56"/>
        <v/>
      </c>
      <c r="P481" s="208" t="str">
        <f t="shared" si="56"/>
        <v/>
      </c>
      <c r="Q481" s="208" t="str">
        <f t="shared" si="56"/>
        <v/>
      </c>
      <c r="R481" s="139">
        <v>2032</v>
      </c>
      <c r="S481" s="208">
        <f t="shared" si="61"/>
        <v>1334564.782825633</v>
      </c>
      <c r="T481" s="208">
        <f t="shared" si="62"/>
        <v>1232717.3428256325</v>
      </c>
      <c r="U481" s="208">
        <f t="shared" si="63"/>
        <v>947791.58282563277</v>
      </c>
      <c r="V481" s="208">
        <f t="shared" si="64"/>
        <v>845944.14282563329</v>
      </c>
      <c r="W481" s="208">
        <f t="shared" si="65"/>
        <v>529665.08282563277</v>
      </c>
      <c r="X481" s="208">
        <f t="shared" si="66"/>
        <v>427817.64282563329</v>
      </c>
    </row>
    <row r="482" spans="2:24" x14ac:dyDescent="0.25">
      <c r="B482" s="139">
        <v>2033</v>
      </c>
      <c r="C482" s="163">
        <f t="shared" si="58"/>
        <v>1943841.006131907</v>
      </c>
      <c r="D482" s="163">
        <f t="shared" si="58"/>
        <v>1840006.3661319064</v>
      </c>
      <c r="E482" s="163">
        <f t="shared" ref="E482:H482" si="73">$C468-F468</f>
        <v>1530696.9061319083</v>
      </c>
      <c r="F482" s="163">
        <f t="shared" si="73"/>
        <v>1426862.2661319077</v>
      </c>
      <c r="G482" s="163">
        <f t="shared" si="73"/>
        <v>1084061.7811319083</v>
      </c>
      <c r="H482" s="164">
        <f t="shared" si="73"/>
        <v>980227.1411319077</v>
      </c>
      <c r="K482" s="139">
        <v>2033</v>
      </c>
      <c r="L482" s="208" t="str">
        <f t="shared" si="60"/>
        <v/>
      </c>
      <c r="M482" s="208" t="str">
        <f t="shared" si="56"/>
        <v/>
      </c>
      <c r="N482" s="208" t="str">
        <f t="shared" si="56"/>
        <v/>
      </c>
      <c r="O482" s="208" t="str">
        <f t="shared" si="56"/>
        <v/>
      </c>
      <c r="P482" s="208" t="str">
        <f t="shared" si="56"/>
        <v/>
      </c>
      <c r="Q482" s="208" t="str">
        <f t="shared" si="56"/>
        <v/>
      </c>
      <c r="R482" s="139">
        <v>2033</v>
      </c>
      <c r="S482" s="208">
        <f t="shared" si="61"/>
        <v>1943841.006131907</v>
      </c>
      <c r="T482" s="208">
        <f t="shared" si="62"/>
        <v>1840006.3661319064</v>
      </c>
      <c r="U482" s="208">
        <f t="shared" si="63"/>
        <v>1530696.9061319083</v>
      </c>
      <c r="V482" s="208">
        <f t="shared" si="64"/>
        <v>1426862.2661319077</v>
      </c>
      <c r="W482" s="208">
        <f t="shared" si="65"/>
        <v>1084061.7811319083</v>
      </c>
      <c r="X482" s="208">
        <f t="shared" si="66"/>
        <v>980227.1411319077</v>
      </c>
    </row>
    <row r="483" spans="2:24" x14ac:dyDescent="0.25">
      <c r="B483" s="139">
        <v>2034</v>
      </c>
      <c r="C483" s="163">
        <f t="shared" si="58"/>
        <v>2622372.9180062972</v>
      </c>
      <c r="D483" s="163">
        <f t="shared" si="58"/>
        <v>2516291.8780062962</v>
      </c>
      <c r="E483" s="163">
        <f t="shared" ref="E483:H483" si="74">$C469-F469</f>
        <v>2182857.9180062972</v>
      </c>
      <c r="F483" s="163">
        <f t="shared" si="74"/>
        <v>2076776.8780062962</v>
      </c>
      <c r="G483" s="163">
        <f t="shared" si="74"/>
        <v>1707714.1680062972</v>
      </c>
      <c r="H483" s="164">
        <f t="shared" si="74"/>
        <v>1601633.1280062962</v>
      </c>
      <c r="K483" s="139">
        <v>2034</v>
      </c>
      <c r="L483" s="208" t="str">
        <f t="shared" si="60"/>
        <v/>
      </c>
      <c r="M483" s="208" t="str">
        <f t="shared" si="56"/>
        <v/>
      </c>
      <c r="N483" s="208" t="str">
        <f t="shared" si="56"/>
        <v/>
      </c>
      <c r="O483" s="208" t="str">
        <f t="shared" si="56"/>
        <v/>
      </c>
      <c r="P483" s="208" t="str">
        <f t="shared" si="56"/>
        <v/>
      </c>
      <c r="Q483" s="208" t="str">
        <f t="shared" si="56"/>
        <v/>
      </c>
      <c r="R483" s="139">
        <v>2034</v>
      </c>
      <c r="S483" s="208">
        <f t="shared" si="61"/>
        <v>2622372.9180062972</v>
      </c>
      <c r="T483" s="208">
        <f t="shared" si="62"/>
        <v>2516291.8780062962</v>
      </c>
      <c r="U483" s="208">
        <f t="shared" si="63"/>
        <v>2182857.9180062972</v>
      </c>
      <c r="V483" s="208">
        <f t="shared" si="64"/>
        <v>2076776.8780062962</v>
      </c>
      <c r="W483" s="208">
        <f t="shared" si="65"/>
        <v>1707714.1680062972</v>
      </c>
      <c r="X483" s="208">
        <f t="shared" si="66"/>
        <v>1601633.1280062962</v>
      </c>
    </row>
    <row r="484" spans="2:24" ht="13.8" thickBot="1" x14ac:dyDescent="0.3">
      <c r="B484" s="82">
        <v>2035</v>
      </c>
      <c r="C484" s="166">
        <f t="shared" si="58"/>
        <v>3371600.5184488017</v>
      </c>
      <c r="D484" s="166">
        <f t="shared" si="58"/>
        <v>3263013.8784488011</v>
      </c>
      <c r="E484" s="166">
        <f t="shared" ref="E484:H484" si="75">$C470-F470</f>
        <v>2905714.6184488013</v>
      </c>
      <c r="F484" s="166">
        <f t="shared" si="75"/>
        <v>2797127.9784488007</v>
      </c>
      <c r="G484" s="166">
        <f t="shared" si="75"/>
        <v>2402062.2434488013</v>
      </c>
      <c r="H484" s="167">
        <f t="shared" si="75"/>
        <v>2293475.6034488007</v>
      </c>
      <c r="K484" s="82">
        <v>2035</v>
      </c>
      <c r="L484" s="208" t="str">
        <f t="shared" si="60"/>
        <v/>
      </c>
      <c r="M484" s="208" t="str">
        <f t="shared" si="56"/>
        <v/>
      </c>
      <c r="N484" s="208" t="str">
        <f t="shared" si="56"/>
        <v/>
      </c>
      <c r="O484" s="208" t="str">
        <f t="shared" si="56"/>
        <v/>
      </c>
      <c r="P484" s="208" t="str">
        <f t="shared" si="56"/>
        <v/>
      </c>
      <c r="Q484" s="208" t="str">
        <f t="shared" si="56"/>
        <v/>
      </c>
      <c r="R484" s="82">
        <v>2035</v>
      </c>
      <c r="S484" s="208">
        <f t="shared" si="61"/>
        <v>3371600.5184488017</v>
      </c>
      <c r="T484" s="208">
        <f t="shared" si="62"/>
        <v>3263013.8784488011</v>
      </c>
      <c r="U484" s="208">
        <f t="shared" si="63"/>
        <v>2905714.6184488013</v>
      </c>
      <c r="V484" s="208">
        <f t="shared" si="64"/>
        <v>2797127.9784488007</v>
      </c>
      <c r="W484" s="208">
        <f t="shared" si="65"/>
        <v>2402062.2434488013</v>
      </c>
      <c r="X484" s="208">
        <f t="shared" si="66"/>
        <v>2293475.6034488007</v>
      </c>
    </row>
  </sheetData>
  <mergeCells count="70">
    <mergeCell ref="L472:Q472"/>
    <mergeCell ref="S472:X472"/>
    <mergeCell ref="D403:F403"/>
    <mergeCell ref="G403:H403"/>
    <mergeCell ref="I403:K403"/>
    <mergeCell ref="L403:M403"/>
    <mergeCell ref="G397:H397"/>
    <mergeCell ref="G398:H398"/>
    <mergeCell ref="G399:H399"/>
    <mergeCell ref="G400:H400"/>
    <mergeCell ref="G396:H396"/>
    <mergeCell ref="B396:E396"/>
    <mergeCell ref="B397:E397"/>
    <mergeCell ref="B398:E398"/>
    <mergeCell ref="B399:E399"/>
    <mergeCell ref="B400:E400"/>
    <mergeCell ref="B359:J360"/>
    <mergeCell ref="B376:O376"/>
    <mergeCell ref="B202:C202"/>
    <mergeCell ref="B208:C208"/>
    <mergeCell ref="B232:C232"/>
    <mergeCell ref="B252:C252"/>
    <mergeCell ref="B259:O259"/>
    <mergeCell ref="B261:E262"/>
    <mergeCell ref="B352:O352"/>
    <mergeCell ref="B66:O66"/>
    <mergeCell ref="I22:I26"/>
    <mergeCell ref="I27:I30"/>
    <mergeCell ref="I32:I36"/>
    <mergeCell ref="I37:I42"/>
    <mergeCell ref="B45:O45"/>
    <mergeCell ref="B54:C57"/>
    <mergeCell ref="B107:E107"/>
    <mergeCell ref="B117:E117"/>
    <mergeCell ref="C11:O11"/>
    <mergeCell ref="C12:O12"/>
    <mergeCell ref="B2:O2"/>
    <mergeCell ref="B3:B5"/>
    <mergeCell ref="B6:B8"/>
    <mergeCell ref="B9:B12"/>
    <mergeCell ref="C3:O3"/>
    <mergeCell ref="C4:O4"/>
    <mergeCell ref="C5:O5"/>
    <mergeCell ref="C6:O6"/>
    <mergeCell ref="C7:O7"/>
    <mergeCell ref="C8:O8"/>
    <mergeCell ref="C9:O9"/>
    <mergeCell ref="C10:O10"/>
    <mergeCell ref="B18:O18"/>
    <mergeCell ref="C13:O13"/>
    <mergeCell ref="C14:O14"/>
    <mergeCell ref="C15:O15"/>
    <mergeCell ref="C16:O16"/>
    <mergeCell ref="B13:B16"/>
    <mergeCell ref="B127:O127"/>
    <mergeCell ref="B81:O82"/>
    <mergeCell ref="B248:O248"/>
    <mergeCell ref="C95:F95"/>
    <mergeCell ref="C94:F94"/>
    <mergeCell ref="C93:F93"/>
    <mergeCell ref="C92:F92"/>
    <mergeCell ref="C91:F91"/>
    <mergeCell ref="B97:E97"/>
    <mergeCell ref="B85:E86"/>
    <mergeCell ref="B87:E89"/>
    <mergeCell ref="B238:C238"/>
    <mergeCell ref="G97:H97"/>
    <mergeCell ref="G107:H107"/>
    <mergeCell ref="G117:H117"/>
    <mergeCell ref="G225:K225"/>
  </mergeCells>
  <phoneticPr fontId="20" type="noConversion"/>
  <conditionalFormatting sqref="C418:H428">
    <cfRule type="cellIs" dxfId="3" priority="7" operator="lessThan">
      <formula>1</formula>
    </cfRule>
    <cfRule type="cellIs" dxfId="2" priority="8" operator="greaterThan">
      <formula>1</formula>
    </cfRule>
  </conditionalFormatting>
  <conditionalFormatting sqref="C474:H484">
    <cfRule type="cellIs" dxfId="1" priority="5" operator="lessThan">
      <formula>0</formula>
    </cfRule>
    <cfRule type="cellIs" dxfId="0" priority="6" operator="greaterThan">
      <formula>0</formula>
    </cfRule>
  </conditionalFormatting>
  <hyperlinks>
    <hyperlink ref="C94" r:id="rId1" xr:uid="{ECB7ECBF-0D42-403C-BC40-38321CD4785F}"/>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7B99C-E1EF-4264-A4ED-36F199870143}">
  <sheetPr>
    <tabColor theme="7"/>
  </sheetPr>
  <dimension ref="B3:R443"/>
  <sheetViews>
    <sheetView topLeftCell="A12" zoomScale="70" zoomScaleNormal="70" workbookViewId="0">
      <selection activeCell="G65" activeCellId="1" sqref="H52 G65"/>
    </sheetView>
  </sheetViews>
  <sheetFormatPr baseColWidth="10" defaultColWidth="11.44140625" defaultRowHeight="13.2" x14ac:dyDescent="0.25"/>
  <cols>
    <col min="1" max="1" width="11.44140625" style="58"/>
    <col min="2" max="2" width="45.109375" style="58" customWidth="1"/>
    <col min="3" max="3" width="22.33203125" style="58" customWidth="1"/>
    <col min="4" max="4" width="22" style="58" customWidth="1"/>
    <col min="5" max="5" width="31.109375" style="58" customWidth="1"/>
    <col min="6" max="6" width="30.109375" style="58" customWidth="1"/>
    <col min="7" max="7" width="19.6640625" style="58" customWidth="1"/>
    <col min="8" max="8" width="46.44140625" style="58" customWidth="1"/>
    <col min="9" max="11" width="26.44140625" style="58" customWidth="1"/>
    <col min="12" max="12" width="46.109375" style="60" customWidth="1"/>
    <col min="13" max="13" width="19.33203125" style="58" customWidth="1"/>
    <col min="14" max="16384" width="11.44140625" style="58"/>
  </cols>
  <sheetData>
    <row r="3" spans="2:18" ht="13.8" thickBot="1" x14ac:dyDescent="0.3"/>
    <row r="4" spans="2:18" ht="23.4" thickBot="1" x14ac:dyDescent="0.45">
      <c r="B4" s="653" t="s">
        <v>221</v>
      </c>
      <c r="C4" s="654"/>
      <c r="D4" s="654"/>
      <c r="E4" s="654"/>
      <c r="F4" s="654"/>
      <c r="G4" s="654"/>
      <c r="H4" s="654"/>
      <c r="I4" s="654"/>
      <c r="J4" s="654"/>
      <c r="K4" s="654"/>
      <c r="L4" s="654"/>
      <c r="M4" s="654"/>
      <c r="N4" s="654"/>
      <c r="O4" s="654"/>
      <c r="P4" s="654"/>
      <c r="Q4" s="654"/>
      <c r="R4" s="655"/>
    </row>
    <row r="6" spans="2:18" ht="20.399999999999999" x14ac:dyDescent="0.35">
      <c r="B6" s="440" t="s">
        <v>222</v>
      </c>
    </row>
    <row r="7" spans="2:18" ht="15.6" x14ac:dyDescent="0.3">
      <c r="B7" s="439" t="s">
        <v>223</v>
      </c>
    </row>
    <row r="8" spans="2:18" ht="15.6" x14ac:dyDescent="0.3">
      <c r="B8" s="439" t="s">
        <v>224</v>
      </c>
    </row>
    <row r="9" spans="2:18" ht="15.6" x14ac:dyDescent="0.3">
      <c r="B9" s="439" t="s">
        <v>225</v>
      </c>
    </row>
    <row r="10" spans="2:18" ht="15.6" x14ac:dyDescent="0.3">
      <c r="B10" s="439" t="s">
        <v>226</v>
      </c>
    </row>
    <row r="12" spans="2:18" ht="13.8" thickBot="1" x14ac:dyDescent="0.3"/>
    <row r="13" spans="2:18" ht="23.4" thickBot="1" x14ac:dyDescent="0.45">
      <c r="B13" s="656" t="s">
        <v>395</v>
      </c>
      <c r="C13" s="657"/>
      <c r="D13" s="657"/>
      <c r="E13" s="657"/>
      <c r="F13" s="657"/>
      <c r="G13" s="657"/>
      <c r="H13" s="657"/>
      <c r="I13" s="657"/>
      <c r="J13" s="657"/>
      <c r="K13" s="657"/>
      <c r="L13" s="657"/>
      <c r="M13" s="654"/>
      <c r="N13" s="654"/>
      <c r="O13" s="654"/>
      <c r="P13" s="654"/>
      <c r="Q13" s="654"/>
      <c r="R13" s="655"/>
    </row>
    <row r="14" spans="2:18" ht="22.8" x14ac:dyDescent="0.4">
      <c r="B14" s="213"/>
      <c r="C14" s="214"/>
      <c r="D14" s="214"/>
      <c r="E14" s="214"/>
      <c r="F14" s="214"/>
      <c r="G14" s="214"/>
      <c r="H14" s="214"/>
      <c r="I14" s="214"/>
      <c r="J14" s="214"/>
      <c r="K14" s="214"/>
      <c r="L14" s="281"/>
      <c r="M14" s="275"/>
      <c r="N14" s="275"/>
      <c r="O14" s="275"/>
      <c r="P14" s="275"/>
      <c r="Q14" s="275"/>
      <c r="R14" s="275"/>
    </row>
    <row r="15" spans="2:18" ht="30.75" customHeight="1" thickBot="1" x14ac:dyDescent="0.3">
      <c r="B15" s="215" t="s">
        <v>56</v>
      </c>
      <c r="C15" s="276" t="s">
        <v>122</v>
      </c>
      <c r="D15" s="276" t="s">
        <v>134</v>
      </c>
      <c r="E15" s="276" t="s">
        <v>135</v>
      </c>
      <c r="F15" s="276" t="s">
        <v>136</v>
      </c>
      <c r="G15" s="276" t="s">
        <v>137</v>
      </c>
      <c r="H15" s="276" t="s">
        <v>220</v>
      </c>
      <c r="I15" s="277" t="s">
        <v>3</v>
      </c>
      <c r="J15" s="276" t="s">
        <v>536</v>
      </c>
    </row>
    <row r="16" spans="2:18" ht="16.2" thickBot="1" x14ac:dyDescent="0.3">
      <c r="B16" s="390" t="s">
        <v>5</v>
      </c>
      <c r="C16" s="391" t="s">
        <v>62</v>
      </c>
      <c r="D16" s="392">
        <f>E16+F16+G16+H16</f>
        <v>45</v>
      </c>
      <c r="E16" s="392">
        <v>18</v>
      </c>
      <c r="F16" s="392">
        <v>18</v>
      </c>
      <c r="G16" s="392">
        <v>0</v>
      </c>
      <c r="H16" s="393">
        <v>9</v>
      </c>
      <c r="I16" s="394">
        <v>13</v>
      </c>
      <c r="J16" s="394" t="str">
        <f>IF(Tableau1[[#This Row],[Pondération]]=100,"Must Have", IF(Tableau1[[#This Row],[Pondération]]=50, "Should Have", IF(Tableau1[[#This Row],[Pondération]]=20, "Could Have", IF(Tableau1[[#This Row],[Pondération]]=13, "Would Have", IF(Tableau1[[#This Row],[Pondération]]=8, "Won't Have", "Won't Have")))))</f>
        <v>Would Have</v>
      </c>
    </row>
    <row r="17" spans="2:10" ht="31.2" x14ac:dyDescent="0.25">
      <c r="B17" s="395" t="s">
        <v>44</v>
      </c>
      <c r="C17" s="396" t="s">
        <v>63</v>
      </c>
      <c r="D17" s="397">
        <f t="shared" ref="D17:D37" si="0">E17+F17+G17+H17</f>
        <v>45</v>
      </c>
      <c r="E17" s="397">
        <v>18</v>
      </c>
      <c r="F17" s="397">
        <v>18</v>
      </c>
      <c r="G17" s="397">
        <v>0</v>
      </c>
      <c r="H17" s="398">
        <v>9</v>
      </c>
      <c r="I17" s="399">
        <v>13</v>
      </c>
      <c r="J17" s="399" t="str">
        <f>IF(Tableau1[[#This Row],[Pondération]]=100,"Must Have", IF(Tableau1[[#This Row],[Pondération]]=50, "Should Have", IF(Tableau1[[#This Row],[Pondération]]=20, "Could Have", IF(Tableau1[[#This Row],[Pondération]]=13, "Would Have", IF(Tableau1[[#This Row],[Pondération]]=8, "Won't Have", "Won't Have")))))</f>
        <v>Would Have</v>
      </c>
    </row>
    <row r="18" spans="2:10" ht="31.2" x14ac:dyDescent="0.25">
      <c r="B18" s="400" t="s">
        <v>53</v>
      </c>
      <c r="C18" s="401" t="s">
        <v>61</v>
      </c>
      <c r="D18" s="402">
        <f t="shared" si="0"/>
        <v>45</v>
      </c>
      <c r="E18" s="402">
        <v>18</v>
      </c>
      <c r="F18" s="402">
        <v>18</v>
      </c>
      <c r="G18" s="402">
        <v>0</v>
      </c>
      <c r="H18" s="403">
        <v>9</v>
      </c>
      <c r="I18" s="404">
        <v>13</v>
      </c>
      <c r="J18" s="404" t="str">
        <f>IF(Tableau1[[#This Row],[Pondération]]=100,"Must Have", IF(Tableau1[[#This Row],[Pondération]]=50, "Should Have", IF(Tableau1[[#This Row],[Pondération]]=20, "Could Have", IF(Tableau1[[#This Row],[Pondération]]=13, "Would Have", IF(Tableau1[[#This Row],[Pondération]]=8, "Won't Have", "Won't Have")))))</f>
        <v>Would Have</v>
      </c>
    </row>
    <row r="19" spans="2:10" ht="31.2" x14ac:dyDescent="0.25">
      <c r="B19" s="400" t="s">
        <v>47</v>
      </c>
      <c r="C19" s="401" t="s">
        <v>60</v>
      </c>
      <c r="D19" s="402">
        <f t="shared" si="0"/>
        <v>261</v>
      </c>
      <c r="E19" s="402">
        <v>72</v>
      </c>
      <c r="F19" s="402">
        <v>72</v>
      </c>
      <c r="G19" s="402">
        <v>72</v>
      </c>
      <c r="H19" s="403">
        <v>45</v>
      </c>
      <c r="I19" s="404">
        <v>100</v>
      </c>
      <c r="J19" s="404" t="str">
        <f>IF(Tableau1[[#This Row],[Pondération]]=100,"Must Have", IF(Tableau1[[#This Row],[Pondération]]=50, "Should Have", IF(Tableau1[[#This Row],[Pondération]]=20, "Could Have", IF(Tableau1[[#This Row],[Pondération]]=13, "Would Have", IF(Tableau1[[#This Row],[Pondération]]=8, "Won't Have", "Won't Have")))))</f>
        <v>Must Have</v>
      </c>
    </row>
    <row r="20" spans="2:10" ht="31.2" x14ac:dyDescent="0.25">
      <c r="B20" s="400" t="s">
        <v>48</v>
      </c>
      <c r="C20" s="401" t="s">
        <v>66</v>
      </c>
      <c r="D20" s="402">
        <f t="shared" si="0"/>
        <v>171</v>
      </c>
      <c r="E20" s="402">
        <v>36</v>
      </c>
      <c r="F20" s="402">
        <v>36</v>
      </c>
      <c r="G20" s="402">
        <v>72</v>
      </c>
      <c r="H20" s="403">
        <v>27</v>
      </c>
      <c r="I20" s="404">
        <v>100</v>
      </c>
      <c r="J20" s="404" t="str">
        <f>IF(Tableau1[[#This Row],[Pondération]]=100,"Must Have", IF(Tableau1[[#This Row],[Pondération]]=50, "Should Have", IF(Tableau1[[#This Row],[Pondération]]=20, "Could Have", IF(Tableau1[[#This Row],[Pondération]]=13, "Would Have", IF(Tableau1[[#This Row],[Pondération]]=8, "Won't Have", "Won't Have")))))</f>
        <v>Must Have</v>
      </c>
    </row>
    <row r="21" spans="2:10" ht="31.8" thickBot="1" x14ac:dyDescent="0.3">
      <c r="B21" s="405" t="s">
        <v>49</v>
      </c>
      <c r="C21" s="406" t="s">
        <v>67</v>
      </c>
      <c r="D21" s="407">
        <f t="shared" si="0"/>
        <v>153</v>
      </c>
      <c r="E21" s="407">
        <v>27</v>
      </c>
      <c r="F21" s="407">
        <v>27</v>
      </c>
      <c r="G21" s="407">
        <v>72</v>
      </c>
      <c r="H21" s="408">
        <v>27</v>
      </c>
      <c r="I21" s="409">
        <v>20</v>
      </c>
      <c r="J21" s="409" t="str">
        <f>IF(Tableau1[[#This Row],[Pondération]]=100,"Must Have", IF(Tableau1[[#This Row],[Pondération]]=50, "Should Have", IF(Tableau1[[#This Row],[Pondération]]=20, "Could Have", IF(Tableau1[[#This Row],[Pondération]]=13, "Would Have", IF(Tableau1[[#This Row],[Pondération]]=8, "Won't Have", "Won't Have")))))</f>
        <v>Could Have</v>
      </c>
    </row>
    <row r="22" spans="2:10" ht="31.2" x14ac:dyDescent="0.25">
      <c r="B22" s="410" t="s">
        <v>83</v>
      </c>
      <c r="C22" s="411" t="s">
        <v>72</v>
      </c>
      <c r="D22" s="412">
        <f t="shared" si="0"/>
        <v>45</v>
      </c>
      <c r="E22" s="412">
        <v>18</v>
      </c>
      <c r="F22" s="412">
        <v>18</v>
      </c>
      <c r="G22" s="412">
        <v>0</v>
      </c>
      <c r="H22" s="413">
        <v>9</v>
      </c>
      <c r="I22" s="399">
        <v>13</v>
      </c>
      <c r="J22" s="399" t="str">
        <f>IF(Tableau1[[#This Row],[Pondération]]=100,"Must Have", IF(Tableau1[[#This Row],[Pondération]]=50, "Should Have", IF(Tableau1[[#This Row],[Pondération]]=20, "Could Have", IF(Tableau1[[#This Row],[Pondération]]=13, "Would Have", IF(Tableau1[[#This Row],[Pondération]]=8, "Won't Have", "Won't Have")))))</f>
        <v>Would Have</v>
      </c>
    </row>
    <row r="23" spans="2:10" ht="15.6" x14ac:dyDescent="0.25">
      <c r="B23" s="414" t="s">
        <v>20</v>
      </c>
      <c r="C23" s="415" t="s">
        <v>71</v>
      </c>
      <c r="D23" s="416">
        <f t="shared" si="0"/>
        <v>27</v>
      </c>
      <c r="E23" s="416">
        <v>9</v>
      </c>
      <c r="F23" s="416">
        <v>9</v>
      </c>
      <c r="G23" s="416">
        <v>0</v>
      </c>
      <c r="H23" s="417">
        <v>9</v>
      </c>
      <c r="I23" s="404">
        <v>13</v>
      </c>
      <c r="J23" s="404" t="str">
        <f>IF(Tableau1[[#This Row],[Pondération]]=100,"Must Have", IF(Tableau1[[#This Row],[Pondération]]=50, "Should Have", IF(Tableau1[[#This Row],[Pondération]]=20, "Could Have", IF(Tableau1[[#This Row],[Pondération]]=13, "Would Have", IF(Tableau1[[#This Row],[Pondération]]=8, "Won't Have", "Won't Have")))))</f>
        <v>Would Have</v>
      </c>
    </row>
    <row r="24" spans="2:10" ht="15.6" x14ac:dyDescent="0.25">
      <c r="B24" s="414" t="s">
        <v>23</v>
      </c>
      <c r="C24" s="415" t="s">
        <v>70</v>
      </c>
      <c r="D24" s="416">
        <f t="shared" si="0"/>
        <v>27</v>
      </c>
      <c r="E24" s="416">
        <v>9</v>
      </c>
      <c r="F24" s="416">
        <v>9</v>
      </c>
      <c r="G24" s="416">
        <v>0</v>
      </c>
      <c r="H24" s="417">
        <v>9</v>
      </c>
      <c r="I24" s="404">
        <v>13</v>
      </c>
      <c r="J24" s="404" t="str">
        <f>IF(Tableau1[[#This Row],[Pondération]]=100,"Must Have", IF(Tableau1[[#This Row],[Pondération]]=50, "Should Have", IF(Tableau1[[#This Row],[Pondération]]=20, "Could Have", IF(Tableau1[[#This Row],[Pondération]]=13, "Would Have", IF(Tableau1[[#This Row],[Pondération]]=8, "Won't Have", "Won't Have")))))</f>
        <v>Would Have</v>
      </c>
    </row>
    <row r="25" spans="2:10" ht="31.8" thickBot="1" x14ac:dyDescent="0.3">
      <c r="B25" s="418" t="s">
        <v>27</v>
      </c>
      <c r="C25" s="419" t="s">
        <v>69</v>
      </c>
      <c r="D25" s="420">
        <f t="shared" si="0"/>
        <v>207</v>
      </c>
      <c r="E25" s="420">
        <v>54</v>
      </c>
      <c r="F25" s="420">
        <v>54</v>
      </c>
      <c r="G25" s="420">
        <v>72</v>
      </c>
      <c r="H25" s="421">
        <v>27</v>
      </c>
      <c r="I25" s="409">
        <v>100</v>
      </c>
      <c r="J25" s="409" t="str">
        <f>IF(Tableau1[[#This Row],[Pondération]]=100,"Must Have", IF(Tableau1[[#This Row],[Pondération]]=50, "Should Have", IF(Tableau1[[#This Row],[Pondération]]=20, "Could Have", IF(Tableau1[[#This Row],[Pondération]]=13, "Would Have", IF(Tableau1[[#This Row],[Pondération]]=8, "Won't Have", "Won't Have")))))</f>
        <v>Must Have</v>
      </c>
    </row>
    <row r="26" spans="2:10" ht="31.8" thickBot="1" x14ac:dyDescent="0.3">
      <c r="B26" s="422" t="s">
        <v>85</v>
      </c>
      <c r="C26" s="423" t="s">
        <v>74</v>
      </c>
      <c r="D26" s="424">
        <f t="shared" si="0"/>
        <v>63</v>
      </c>
      <c r="E26" s="424">
        <v>27</v>
      </c>
      <c r="F26" s="424">
        <v>27</v>
      </c>
      <c r="G26" s="424">
        <v>0</v>
      </c>
      <c r="H26" s="425">
        <v>9</v>
      </c>
      <c r="I26" s="394">
        <v>13</v>
      </c>
      <c r="J26" s="394" t="str">
        <f>IF(Tableau1[[#This Row],[Pondération]]=100,"Must Have", IF(Tableau1[[#This Row],[Pondération]]=50, "Should Have", IF(Tableau1[[#This Row],[Pondération]]=20, "Could Have", IF(Tableau1[[#This Row],[Pondération]]=13, "Would Have", IF(Tableau1[[#This Row],[Pondération]]=8, "Won't Have", "Won't Have")))))</f>
        <v>Would Have</v>
      </c>
    </row>
    <row r="27" spans="2:10" ht="15.6" x14ac:dyDescent="0.25">
      <c r="B27" s="426" t="s">
        <v>31</v>
      </c>
      <c r="C27" s="411" t="s">
        <v>76</v>
      </c>
      <c r="D27" s="412">
        <f t="shared" si="0"/>
        <v>27</v>
      </c>
      <c r="E27" s="412">
        <v>9</v>
      </c>
      <c r="F27" s="412">
        <v>9</v>
      </c>
      <c r="G27" s="412">
        <v>0</v>
      </c>
      <c r="H27" s="413">
        <v>9</v>
      </c>
      <c r="I27" s="399">
        <v>13</v>
      </c>
      <c r="J27" s="399" t="str">
        <f>IF(Tableau1[[#This Row],[Pondération]]=100,"Must Have", IF(Tableau1[[#This Row],[Pondération]]=50, "Should Have", IF(Tableau1[[#This Row],[Pondération]]=20, "Could Have", IF(Tableau1[[#This Row],[Pondération]]=13, "Would Have", IF(Tableau1[[#This Row],[Pondération]]=8, "Won't Have", "Won't Have")))))</f>
        <v>Would Have</v>
      </c>
    </row>
    <row r="28" spans="2:10" ht="15.6" x14ac:dyDescent="0.25">
      <c r="B28" s="427" t="s">
        <v>87</v>
      </c>
      <c r="C28" s="415" t="s">
        <v>96</v>
      </c>
      <c r="D28" s="416">
        <f t="shared" si="0"/>
        <v>27</v>
      </c>
      <c r="E28" s="416">
        <v>9</v>
      </c>
      <c r="F28" s="416">
        <v>9</v>
      </c>
      <c r="G28" s="416">
        <v>0</v>
      </c>
      <c r="H28" s="417">
        <v>9</v>
      </c>
      <c r="I28" s="404">
        <v>13</v>
      </c>
      <c r="J28" s="404" t="str">
        <f>IF(Tableau1[[#This Row],[Pondération]]=100,"Must Have", IF(Tableau1[[#This Row],[Pondération]]=50, "Should Have", IF(Tableau1[[#This Row],[Pondération]]=20, "Could Have", IF(Tableau1[[#This Row],[Pondération]]=13, "Would Have", IF(Tableau1[[#This Row],[Pondération]]=8, "Won't Have", "Won't Have")))))</f>
        <v>Would Have</v>
      </c>
    </row>
    <row r="29" spans="2:10" ht="15.6" x14ac:dyDescent="0.25">
      <c r="B29" s="427" t="s">
        <v>91</v>
      </c>
      <c r="C29" s="415" t="s">
        <v>97</v>
      </c>
      <c r="D29" s="416">
        <f t="shared" si="0"/>
        <v>27</v>
      </c>
      <c r="E29" s="416">
        <v>9</v>
      </c>
      <c r="F29" s="416">
        <v>9</v>
      </c>
      <c r="G29" s="416">
        <v>0</v>
      </c>
      <c r="H29" s="417">
        <v>9</v>
      </c>
      <c r="I29" s="404">
        <v>13</v>
      </c>
      <c r="J29" s="404" t="str">
        <f>IF(Tableau1[[#This Row],[Pondération]]=100,"Must Have", IF(Tableau1[[#This Row],[Pondération]]=50, "Should Have", IF(Tableau1[[#This Row],[Pondération]]=20, "Could Have", IF(Tableau1[[#This Row],[Pondération]]=13, "Would Have", IF(Tableau1[[#This Row],[Pondération]]=8, "Won't Have", "Won't Have")))))</f>
        <v>Would Have</v>
      </c>
    </row>
    <row r="30" spans="2:10" ht="15.6" x14ac:dyDescent="0.25">
      <c r="B30" s="427" t="s">
        <v>37</v>
      </c>
      <c r="C30" s="415" t="s">
        <v>98</v>
      </c>
      <c r="D30" s="416">
        <f t="shared" si="0"/>
        <v>27</v>
      </c>
      <c r="E30" s="416">
        <v>9</v>
      </c>
      <c r="F30" s="416">
        <v>9</v>
      </c>
      <c r="G30" s="416">
        <v>0</v>
      </c>
      <c r="H30" s="417">
        <v>9</v>
      </c>
      <c r="I30" s="404">
        <v>50</v>
      </c>
      <c r="J30" s="404" t="str">
        <f>IF(Tableau1[[#This Row],[Pondération]]=100,"Must Have", IF(Tableau1[[#This Row],[Pondération]]=50, "Should Have", IF(Tableau1[[#This Row],[Pondération]]=20, "Could Have", IF(Tableau1[[#This Row],[Pondération]]=13, "Would Have", IF(Tableau1[[#This Row],[Pondération]]=8, "Won't Have", "Won't Have")))))</f>
        <v>Should Have</v>
      </c>
    </row>
    <row r="31" spans="2:10" ht="16.2" thickBot="1" x14ac:dyDescent="0.3">
      <c r="B31" s="428" t="s">
        <v>92</v>
      </c>
      <c r="C31" s="429" t="s">
        <v>99</v>
      </c>
      <c r="D31" s="430">
        <f t="shared" si="0"/>
        <v>27</v>
      </c>
      <c r="E31" s="430">
        <v>9</v>
      </c>
      <c r="F31" s="430">
        <v>9</v>
      </c>
      <c r="G31" s="430">
        <v>0</v>
      </c>
      <c r="H31" s="431">
        <v>9</v>
      </c>
      <c r="I31" s="409">
        <v>13</v>
      </c>
      <c r="J31" s="409" t="str">
        <f>IF(Tableau1[[#This Row],[Pondération]]=100,"Must Have", IF(Tableau1[[#This Row],[Pondération]]=50, "Should Have", IF(Tableau1[[#This Row],[Pondération]]=20, "Could Have", IF(Tableau1[[#This Row],[Pondération]]=13, "Would Have", IF(Tableau1[[#This Row],[Pondération]]=8, "Won't Have", "Won't Have")))))</f>
        <v>Would Have</v>
      </c>
    </row>
    <row r="32" spans="2:10" ht="31.2" x14ac:dyDescent="0.25">
      <c r="B32" s="432" t="s">
        <v>100</v>
      </c>
      <c r="C32" s="396" t="s">
        <v>78</v>
      </c>
      <c r="D32" s="397">
        <f t="shared" si="0"/>
        <v>22.5</v>
      </c>
      <c r="E32" s="397">
        <v>9</v>
      </c>
      <c r="F32" s="397">
        <v>9</v>
      </c>
      <c r="G32" s="397">
        <v>0</v>
      </c>
      <c r="H32" s="398">
        <v>4.5</v>
      </c>
      <c r="I32" s="433">
        <v>13</v>
      </c>
      <c r="J32" s="399" t="str">
        <f>IF(Tableau1[[#This Row],[Pondération]]=100,"Must Have", IF(Tableau1[[#This Row],[Pondération]]=50, "Should Have", IF(Tableau1[[#This Row],[Pondération]]=20, "Could Have", IF(Tableau1[[#This Row],[Pondération]]=13, "Would Have", IF(Tableau1[[#This Row],[Pondération]]=8, "Won't Have", "Won't Have")))))</f>
        <v>Would Have</v>
      </c>
    </row>
    <row r="33" spans="2:18" ht="15.6" x14ac:dyDescent="0.25">
      <c r="B33" s="434" t="s">
        <v>101</v>
      </c>
      <c r="C33" s="401" t="s">
        <v>79</v>
      </c>
      <c r="D33" s="402">
        <f t="shared" si="0"/>
        <v>27</v>
      </c>
      <c r="E33" s="402">
        <v>9</v>
      </c>
      <c r="F33" s="402">
        <v>9</v>
      </c>
      <c r="G33" s="402">
        <v>0</v>
      </c>
      <c r="H33" s="403">
        <v>9</v>
      </c>
      <c r="I33" s="435">
        <v>20</v>
      </c>
      <c r="J33" s="404" t="str">
        <f>IF(Tableau1[[#This Row],[Pondération]]=100,"Must Have", IF(Tableau1[[#This Row],[Pondération]]=50, "Should Have", IF(Tableau1[[#This Row],[Pondération]]=20, "Could Have", IF(Tableau1[[#This Row],[Pondération]]=13, "Would Have", IF(Tableau1[[#This Row],[Pondération]]=8, "Won't Have", "Won't Have")))))</f>
        <v>Could Have</v>
      </c>
    </row>
    <row r="34" spans="2:18" ht="15.6" x14ac:dyDescent="0.25">
      <c r="B34" s="434" t="s">
        <v>104</v>
      </c>
      <c r="C34" s="401" t="s">
        <v>80</v>
      </c>
      <c r="D34" s="402">
        <f t="shared" si="0"/>
        <v>27</v>
      </c>
      <c r="E34" s="402">
        <v>9</v>
      </c>
      <c r="F34" s="402">
        <v>9</v>
      </c>
      <c r="G34" s="402">
        <v>0</v>
      </c>
      <c r="H34" s="403">
        <v>9</v>
      </c>
      <c r="I34" s="435">
        <v>13</v>
      </c>
      <c r="J34" s="404" t="str">
        <f>IF(Tableau1[[#This Row],[Pondération]]=100,"Must Have", IF(Tableau1[[#This Row],[Pondération]]=50, "Should Have", IF(Tableau1[[#This Row],[Pondération]]=20, "Could Have", IF(Tableau1[[#This Row],[Pondération]]=13, "Would Have", IF(Tableau1[[#This Row],[Pondération]]=8, "Won't Have", "Won't Have")))))</f>
        <v>Would Have</v>
      </c>
    </row>
    <row r="35" spans="2:18" ht="15.6" x14ac:dyDescent="0.25">
      <c r="B35" s="434" t="s">
        <v>108</v>
      </c>
      <c r="C35" s="401" t="s">
        <v>81</v>
      </c>
      <c r="D35" s="402">
        <f t="shared" si="0"/>
        <v>27</v>
      </c>
      <c r="E35" s="402">
        <v>9</v>
      </c>
      <c r="F35" s="402">
        <v>9</v>
      </c>
      <c r="G35" s="402">
        <v>0</v>
      </c>
      <c r="H35" s="403">
        <v>9</v>
      </c>
      <c r="I35" s="435">
        <v>20</v>
      </c>
      <c r="J35" s="404" t="str">
        <f>IF(Tableau1[[#This Row],[Pondération]]=100,"Must Have", IF(Tableau1[[#This Row],[Pondération]]=50, "Should Have", IF(Tableau1[[#This Row],[Pondération]]=20, "Could Have", IF(Tableau1[[#This Row],[Pondération]]=13, "Would Have", IF(Tableau1[[#This Row],[Pondération]]=8, "Won't Have", "Won't Have")))))</f>
        <v>Could Have</v>
      </c>
    </row>
    <row r="36" spans="2:18" ht="31.2" x14ac:dyDescent="0.25">
      <c r="B36" s="434" t="s">
        <v>112</v>
      </c>
      <c r="C36" s="401" t="s">
        <v>120</v>
      </c>
      <c r="D36" s="402">
        <f t="shared" si="0"/>
        <v>27</v>
      </c>
      <c r="E36" s="402">
        <v>9</v>
      </c>
      <c r="F36" s="402">
        <v>9</v>
      </c>
      <c r="G36" s="402">
        <v>0</v>
      </c>
      <c r="H36" s="403">
        <v>9</v>
      </c>
      <c r="I36" s="435">
        <v>13</v>
      </c>
      <c r="J36" s="404" t="str">
        <f>IF(Tableau1[[#This Row],[Pondération]]=100,"Must Have", IF(Tableau1[[#This Row],[Pondération]]=50, "Should Have", IF(Tableau1[[#This Row],[Pondération]]=20, "Could Have", IF(Tableau1[[#This Row],[Pondération]]=13, "Would Have", IF(Tableau1[[#This Row],[Pondération]]=8, "Won't Have", "Won't Have")))))</f>
        <v>Would Have</v>
      </c>
    </row>
    <row r="37" spans="2:18" ht="31.8" thickBot="1" x14ac:dyDescent="0.3">
      <c r="B37" s="436" t="s">
        <v>116</v>
      </c>
      <c r="C37" s="406" t="s">
        <v>121</v>
      </c>
      <c r="D37" s="407">
        <f t="shared" si="0"/>
        <v>27</v>
      </c>
      <c r="E37" s="407">
        <v>9</v>
      </c>
      <c r="F37" s="407">
        <v>9</v>
      </c>
      <c r="G37" s="407">
        <v>0</v>
      </c>
      <c r="H37" s="408">
        <v>9</v>
      </c>
      <c r="I37" s="437">
        <v>13</v>
      </c>
      <c r="J37" s="438" t="str">
        <f>IF(Tableau1[[#This Row],[Pondération]]=100,"Must Have", IF(Tableau1[[#This Row],[Pondération]]=50, "Should Have", IF(Tableau1[[#This Row],[Pondération]]=20, "Could Have", IF(Tableau1[[#This Row],[Pondération]]=13, "Would Have", IF(Tableau1[[#This Row],[Pondération]]=8, "Won't Have", "Won't Have")))))</f>
        <v>Would Have</v>
      </c>
    </row>
    <row r="39" spans="2:18" ht="13.8" thickBot="1" x14ac:dyDescent="0.3"/>
    <row r="40" spans="2:18" ht="23.4" thickBot="1" x14ac:dyDescent="0.45">
      <c r="B40" s="653" t="s">
        <v>918</v>
      </c>
      <c r="C40" s="654"/>
      <c r="D40" s="654"/>
      <c r="E40" s="654"/>
      <c r="F40" s="654"/>
      <c r="G40" s="654"/>
      <c r="H40" s="654"/>
      <c r="I40" s="654"/>
      <c r="J40" s="654"/>
      <c r="K40" s="654"/>
      <c r="L40" s="654"/>
      <c r="M40" s="654"/>
      <c r="N40" s="654"/>
      <c r="O40" s="654"/>
      <c r="P40" s="654"/>
      <c r="Q40" s="654"/>
      <c r="R40" s="655"/>
    </row>
    <row r="65" spans="8:8" x14ac:dyDescent="0.25">
      <c r="H65" s="58" t="s">
        <v>397</v>
      </c>
    </row>
    <row r="86" spans="2:18" ht="13.8" thickBot="1" x14ac:dyDescent="0.3"/>
    <row r="87" spans="2:18" ht="23.4" thickBot="1" x14ac:dyDescent="0.45">
      <c r="B87" s="653" t="s">
        <v>527</v>
      </c>
      <c r="C87" s="654"/>
      <c r="D87" s="654"/>
      <c r="E87" s="654"/>
      <c r="F87" s="654"/>
      <c r="G87" s="654"/>
      <c r="H87" s="654"/>
      <c r="I87" s="654"/>
      <c r="J87" s="654"/>
      <c r="K87" s="654"/>
      <c r="L87" s="654"/>
      <c r="M87" s="654"/>
      <c r="N87" s="654"/>
      <c r="O87" s="654"/>
      <c r="P87" s="654"/>
      <c r="Q87" s="654"/>
      <c r="R87" s="655"/>
    </row>
    <row r="90" spans="2:18" ht="15.6" x14ac:dyDescent="0.3">
      <c r="H90" s="439"/>
    </row>
    <row r="91" spans="2:18" ht="15.6" x14ac:dyDescent="0.3">
      <c r="H91" s="439" t="s">
        <v>398</v>
      </c>
    </row>
    <row r="92" spans="2:18" ht="15.6" x14ac:dyDescent="0.3">
      <c r="H92" s="439"/>
    </row>
    <row r="93" spans="2:18" ht="15.6" x14ac:dyDescent="0.3">
      <c r="H93" s="442" t="s">
        <v>396</v>
      </c>
    </row>
    <row r="94" spans="2:18" ht="15.6" x14ac:dyDescent="0.3">
      <c r="H94" s="439" t="s">
        <v>399</v>
      </c>
    </row>
    <row r="95" spans="2:18" ht="15.6" x14ac:dyDescent="0.3">
      <c r="H95" s="439"/>
    </row>
    <row r="96" spans="2:18" ht="15.6" x14ac:dyDescent="0.3">
      <c r="H96" s="442" t="s">
        <v>438</v>
      </c>
    </row>
    <row r="97" spans="8:8" ht="15.6" x14ac:dyDescent="0.3">
      <c r="H97" s="439" t="s">
        <v>440</v>
      </c>
    </row>
    <row r="98" spans="8:8" ht="15.6" x14ac:dyDescent="0.3">
      <c r="H98" s="439" t="s">
        <v>439</v>
      </c>
    </row>
    <row r="99" spans="8:8" ht="15.6" x14ac:dyDescent="0.3">
      <c r="H99" s="439"/>
    </row>
    <row r="100" spans="8:8" ht="15.6" x14ac:dyDescent="0.3">
      <c r="H100" s="439"/>
    </row>
    <row r="146" spans="2:18" x14ac:dyDescent="0.25">
      <c r="H146" s="58">
        <f>18+6</f>
        <v>24</v>
      </c>
      <c r="I146" s="280"/>
      <c r="J146" s="280"/>
    </row>
    <row r="153" spans="2:18" ht="13.8" thickBot="1" x14ac:dyDescent="0.3"/>
    <row r="154" spans="2:18" ht="23.4" thickBot="1" x14ac:dyDescent="0.45">
      <c r="B154" s="653" t="s">
        <v>500</v>
      </c>
      <c r="C154" s="654"/>
      <c r="D154" s="654"/>
      <c r="E154" s="654"/>
      <c r="F154" s="654"/>
      <c r="G154" s="654"/>
      <c r="H154" s="654"/>
      <c r="I154" s="654"/>
      <c r="J154" s="654"/>
      <c r="K154" s="654"/>
      <c r="L154" s="655"/>
      <c r="M154" s="290"/>
      <c r="N154" s="290"/>
      <c r="O154" s="290"/>
      <c r="P154" s="290"/>
      <c r="Q154" s="290"/>
      <c r="R154" s="290"/>
    </row>
    <row r="157" spans="2:18" ht="15.6" x14ac:dyDescent="0.3">
      <c r="B157" s="439" t="s">
        <v>400</v>
      </c>
      <c r="C157" s="439">
        <v>4</v>
      </c>
      <c r="D157" s="439" t="s">
        <v>409</v>
      </c>
      <c r="E157" s="439" t="s">
        <v>422</v>
      </c>
      <c r="F157" s="439">
        <f>C157*5</f>
        <v>20</v>
      </c>
    </row>
    <row r="160" spans="2:18" ht="13.8" thickBot="1" x14ac:dyDescent="0.3"/>
    <row r="161" spans="2:12" ht="47.4" thickBot="1" x14ac:dyDescent="0.3">
      <c r="B161" s="288" t="s">
        <v>56</v>
      </c>
      <c r="C161" s="65" t="s">
        <v>122</v>
      </c>
      <c r="D161" s="65" t="s">
        <v>401</v>
      </c>
      <c r="E161" s="65" t="s">
        <v>416</v>
      </c>
      <c r="F161" s="65" t="s">
        <v>403</v>
      </c>
      <c r="G161" s="65" t="s">
        <v>404</v>
      </c>
      <c r="H161" s="65" t="s">
        <v>418</v>
      </c>
      <c r="I161" s="65" t="s">
        <v>410</v>
      </c>
      <c r="J161" s="65" t="s">
        <v>405</v>
      </c>
      <c r="K161" s="65" t="s">
        <v>415</v>
      </c>
      <c r="L161" s="289" t="s">
        <v>536</v>
      </c>
    </row>
    <row r="162" spans="2:12" ht="21" thickBot="1" x14ac:dyDescent="0.3">
      <c r="B162" s="650" t="s">
        <v>413</v>
      </c>
      <c r="C162" s="651"/>
      <c r="D162" s="651"/>
      <c r="E162" s="651"/>
      <c r="F162" s="651"/>
      <c r="G162" s="651"/>
      <c r="H162" s="651"/>
      <c r="I162" s="651"/>
      <c r="J162" s="651"/>
      <c r="K162" s="651"/>
      <c r="L162" s="652"/>
    </row>
    <row r="163" spans="2:12" ht="31.2" x14ac:dyDescent="0.25">
      <c r="B163" s="443" t="s">
        <v>5</v>
      </c>
      <c r="C163" s="444" t="s">
        <v>62</v>
      </c>
      <c r="D163" s="444" t="s">
        <v>406</v>
      </c>
      <c r="E163" s="444">
        <v>13</v>
      </c>
      <c r="F163" s="445">
        <v>45658</v>
      </c>
      <c r="G163" s="445">
        <f>F163+18+4*2</f>
        <v>45684</v>
      </c>
      <c r="H163" s="444" t="s">
        <v>417</v>
      </c>
      <c r="I163" s="446">
        <f>18-18</f>
        <v>0</v>
      </c>
      <c r="J163" s="447" t="s">
        <v>407</v>
      </c>
      <c r="K163" s="447">
        <v>13</v>
      </c>
      <c r="L163" s="448" t="s">
        <v>446</v>
      </c>
    </row>
    <row r="164" spans="2:12" ht="47.4" thickBot="1" x14ac:dyDescent="0.3">
      <c r="B164" s="436" t="s">
        <v>411</v>
      </c>
      <c r="C164" s="449" t="s">
        <v>60</v>
      </c>
      <c r="D164" s="449" t="s">
        <v>137</v>
      </c>
      <c r="E164" s="449">
        <v>100</v>
      </c>
      <c r="F164" s="450">
        <v>45658</v>
      </c>
      <c r="G164" s="450">
        <v>45686</v>
      </c>
      <c r="H164" s="449" t="s">
        <v>419</v>
      </c>
      <c r="I164" s="451">
        <f>72-20</f>
        <v>52</v>
      </c>
      <c r="J164" s="452" t="s">
        <v>407</v>
      </c>
      <c r="K164" s="452">
        <v>0</v>
      </c>
      <c r="L164" s="453" t="s">
        <v>421</v>
      </c>
    </row>
    <row r="165" spans="2:12" ht="21" thickBot="1" x14ac:dyDescent="0.3">
      <c r="B165" s="650" t="s">
        <v>412</v>
      </c>
      <c r="C165" s="651"/>
      <c r="D165" s="651"/>
      <c r="E165" s="651"/>
      <c r="F165" s="651"/>
      <c r="G165" s="651"/>
      <c r="H165" s="651"/>
      <c r="I165" s="651"/>
      <c r="J165" s="651"/>
      <c r="K165" s="651"/>
      <c r="L165" s="652"/>
    </row>
    <row r="166" spans="2:12" ht="26.4" x14ac:dyDescent="0.25">
      <c r="B166" s="9" t="s">
        <v>44</v>
      </c>
      <c r="C166" s="10" t="s">
        <v>61</v>
      </c>
      <c r="D166" s="10" t="s">
        <v>406</v>
      </c>
      <c r="E166" s="454">
        <v>13</v>
      </c>
      <c r="F166" s="455">
        <v>45689</v>
      </c>
      <c r="G166" s="455">
        <f>F166+18+2*4</f>
        <v>45715</v>
      </c>
      <c r="H166" s="456" t="s">
        <v>417</v>
      </c>
      <c r="I166" s="446">
        <v>0</v>
      </c>
      <c r="J166" s="447" t="s">
        <v>408</v>
      </c>
      <c r="K166" s="447">
        <v>13</v>
      </c>
      <c r="L166" s="448" t="s">
        <v>445</v>
      </c>
    </row>
    <row r="167" spans="2:12" ht="27" thickBot="1" x14ac:dyDescent="0.3">
      <c r="B167" s="18" t="s">
        <v>411</v>
      </c>
      <c r="C167" s="19" t="s">
        <v>60</v>
      </c>
      <c r="D167" s="19" t="s">
        <v>137</v>
      </c>
      <c r="E167" s="449">
        <v>100</v>
      </c>
      <c r="F167" s="450">
        <v>45689</v>
      </c>
      <c r="G167" s="450">
        <f>F167+20+2*4-1</f>
        <v>45716</v>
      </c>
      <c r="H167" s="449" t="s">
        <v>420</v>
      </c>
      <c r="I167" s="451">
        <f>52-20</f>
        <v>32</v>
      </c>
      <c r="J167" s="452" t="s">
        <v>407</v>
      </c>
      <c r="K167" s="452">
        <v>0</v>
      </c>
      <c r="L167" s="457"/>
    </row>
    <row r="168" spans="2:12" ht="21" thickBot="1" x14ac:dyDescent="0.3">
      <c r="B168" s="650" t="s">
        <v>414</v>
      </c>
      <c r="C168" s="651"/>
      <c r="D168" s="651"/>
      <c r="E168" s="651"/>
      <c r="F168" s="651"/>
      <c r="G168" s="651"/>
      <c r="H168" s="651"/>
      <c r="I168" s="651"/>
      <c r="J168" s="651"/>
      <c r="K168" s="651"/>
      <c r="L168" s="652"/>
    </row>
    <row r="169" spans="2:12" ht="46.8" x14ac:dyDescent="0.25">
      <c r="B169" s="432" t="s">
        <v>411</v>
      </c>
      <c r="C169" s="454" t="s">
        <v>60</v>
      </c>
      <c r="D169" s="454" t="s">
        <v>137</v>
      </c>
      <c r="E169" s="454">
        <v>100</v>
      </c>
      <c r="F169" s="455">
        <v>45717</v>
      </c>
      <c r="G169" s="455">
        <f>F169+20+2*4-1</f>
        <v>45744</v>
      </c>
      <c r="H169" s="454" t="s">
        <v>424</v>
      </c>
      <c r="I169" s="446">
        <f>32-20</f>
        <v>12</v>
      </c>
      <c r="J169" s="447" t="s">
        <v>407</v>
      </c>
      <c r="K169" s="447">
        <v>0</v>
      </c>
      <c r="L169" s="458"/>
    </row>
    <row r="170" spans="2:12" ht="47.4" thickBot="1" x14ac:dyDescent="0.3">
      <c r="B170" s="436" t="s">
        <v>423</v>
      </c>
      <c r="C170" s="449" t="s">
        <v>60</v>
      </c>
      <c r="D170" s="449" t="s">
        <v>406</v>
      </c>
      <c r="E170" s="449">
        <v>100</v>
      </c>
      <c r="F170" s="450">
        <v>45717</v>
      </c>
      <c r="G170" s="450">
        <f>F170+20+2*4-1</f>
        <v>45744</v>
      </c>
      <c r="H170" s="449" t="s">
        <v>419</v>
      </c>
      <c r="I170" s="451">
        <f>72-20</f>
        <v>52</v>
      </c>
      <c r="J170" s="452" t="s">
        <v>407</v>
      </c>
      <c r="K170" s="452">
        <v>0</v>
      </c>
      <c r="L170" s="457"/>
    </row>
    <row r="171" spans="2:12" ht="21" thickBot="1" x14ac:dyDescent="0.3">
      <c r="B171" s="650" t="s">
        <v>425</v>
      </c>
      <c r="C171" s="651"/>
      <c r="D171" s="651"/>
      <c r="E171" s="651"/>
      <c r="F171" s="651"/>
      <c r="G171" s="651"/>
      <c r="H171" s="651"/>
      <c r="I171" s="651"/>
      <c r="J171" s="651"/>
      <c r="K171" s="651"/>
      <c r="L171" s="652"/>
    </row>
    <row r="172" spans="2:12" ht="46.8" x14ac:dyDescent="0.25">
      <c r="B172" s="432" t="s">
        <v>411</v>
      </c>
      <c r="C172" s="454" t="s">
        <v>60</v>
      </c>
      <c r="D172" s="454" t="s">
        <v>137</v>
      </c>
      <c r="E172" s="454">
        <v>100</v>
      </c>
      <c r="F172" s="455">
        <v>45748</v>
      </c>
      <c r="G172" s="455">
        <f>F172+12+2*3</f>
        <v>45766</v>
      </c>
      <c r="H172" s="454" t="s">
        <v>426</v>
      </c>
      <c r="I172" s="446">
        <f>12-12</f>
        <v>0</v>
      </c>
      <c r="J172" s="447" t="s">
        <v>407</v>
      </c>
      <c r="K172" s="447">
        <v>50</v>
      </c>
      <c r="L172" s="459" t="s">
        <v>444</v>
      </c>
    </row>
    <row r="173" spans="2:12" ht="31.2" x14ac:dyDescent="0.25">
      <c r="B173" s="434" t="s">
        <v>48</v>
      </c>
      <c r="C173" s="401" t="s">
        <v>66</v>
      </c>
      <c r="D173" s="460" t="s">
        <v>137</v>
      </c>
      <c r="E173" s="460">
        <v>100</v>
      </c>
      <c r="F173" s="461">
        <f>G172+1</f>
        <v>45767</v>
      </c>
      <c r="G173" s="461">
        <v>45775</v>
      </c>
      <c r="H173" s="460" t="s">
        <v>427</v>
      </c>
      <c r="I173" s="462">
        <f>72-8</f>
        <v>64</v>
      </c>
      <c r="J173" s="463" t="s">
        <v>407</v>
      </c>
      <c r="K173" s="463">
        <v>0</v>
      </c>
      <c r="L173" s="464"/>
    </row>
    <row r="174" spans="2:12" ht="47.4" thickBot="1" x14ac:dyDescent="0.3">
      <c r="B174" s="436" t="s">
        <v>423</v>
      </c>
      <c r="C174" s="449" t="s">
        <v>60</v>
      </c>
      <c r="D174" s="449" t="s">
        <v>406</v>
      </c>
      <c r="E174" s="449">
        <v>100</v>
      </c>
      <c r="F174" s="450">
        <v>45748</v>
      </c>
      <c r="G174" s="450">
        <f>F174+20+2*4-1</f>
        <v>45775</v>
      </c>
      <c r="H174" s="449" t="s">
        <v>420</v>
      </c>
      <c r="I174" s="451">
        <f>52-20</f>
        <v>32</v>
      </c>
      <c r="J174" s="452" t="s">
        <v>407</v>
      </c>
      <c r="K174" s="452">
        <v>0</v>
      </c>
      <c r="L174" s="457"/>
    </row>
    <row r="175" spans="2:12" ht="21" thickBot="1" x14ac:dyDescent="0.3">
      <c r="B175" s="650" t="s">
        <v>432</v>
      </c>
      <c r="C175" s="651"/>
      <c r="D175" s="651"/>
      <c r="E175" s="651"/>
      <c r="F175" s="651"/>
      <c r="G175" s="651"/>
      <c r="H175" s="651"/>
      <c r="I175" s="651"/>
      <c r="J175" s="651"/>
      <c r="K175" s="651"/>
      <c r="L175" s="652"/>
    </row>
    <row r="176" spans="2:12" ht="31.2" x14ac:dyDescent="0.25">
      <c r="B176" s="432" t="s">
        <v>48</v>
      </c>
      <c r="C176" s="396" t="s">
        <v>66</v>
      </c>
      <c r="D176" s="454" t="s">
        <v>137</v>
      </c>
      <c r="E176" s="454">
        <v>100</v>
      </c>
      <c r="F176" s="455">
        <v>45778</v>
      </c>
      <c r="G176" s="455">
        <f>F176+12+2*3</f>
        <v>45796</v>
      </c>
      <c r="H176" s="454" t="s">
        <v>428</v>
      </c>
      <c r="I176" s="446">
        <f>44</f>
        <v>44</v>
      </c>
      <c r="J176" s="447" t="s">
        <v>407</v>
      </c>
      <c r="K176" s="447">
        <v>0</v>
      </c>
      <c r="L176" s="458"/>
    </row>
    <row r="177" spans="2:12" ht="47.4" thickBot="1" x14ac:dyDescent="0.3">
      <c r="B177" s="436" t="s">
        <v>423</v>
      </c>
      <c r="C177" s="449" t="s">
        <v>60</v>
      </c>
      <c r="D177" s="449" t="s">
        <v>406</v>
      </c>
      <c r="E177" s="449">
        <v>100</v>
      </c>
      <c r="F177" s="450">
        <v>45778</v>
      </c>
      <c r="G177" s="450">
        <f>F177+20+2*4-1</f>
        <v>45805</v>
      </c>
      <c r="H177" s="449" t="s">
        <v>424</v>
      </c>
      <c r="I177" s="451">
        <f>32-20</f>
        <v>12</v>
      </c>
      <c r="J177" s="452" t="s">
        <v>407</v>
      </c>
      <c r="K177" s="452">
        <v>0</v>
      </c>
      <c r="L177" s="457"/>
    </row>
    <row r="178" spans="2:12" ht="21" thickBot="1" x14ac:dyDescent="0.3">
      <c r="B178" s="650" t="s">
        <v>433</v>
      </c>
      <c r="C178" s="651"/>
      <c r="D178" s="651"/>
      <c r="E178" s="651"/>
      <c r="F178" s="651"/>
      <c r="G178" s="651"/>
      <c r="H178" s="651"/>
      <c r="I178" s="651"/>
      <c r="J178" s="651"/>
      <c r="K178" s="651"/>
      <c r="L178" s="652"/>
    </row>
    <row r="179" spans="2:12" ht="31.2" x14ac:dyDescent="0.25">
      <c r="B179" s="432" t="s">
        <v>48</v>
      </c>
      <c r="C179" s="396" t="s">
        <v>66</v>
      </c>
      <c r="D179" s="454" t="s">
        <v>137</v>
      </c>
      <c r="E179" s="454">
        <v>100</v>
      </c>
      <c r="F179" s="455">
        <v>45809</v>
      </c>
      <c r="G179" s="455">
        <f>F179+12+2*3</f>
        <v>45827</v>
      </c>
      <c r="H179" s="454" t="s">
        <v>429</v>
      </c>
      <c r="I179" s="446">
        <f>44-20</f>
        <v>24</v>
      </c>
      <c r="J179" s="447" t="s">
        <v>407</v>
      </c>
      <c r="K179" s="447">
        <v>0</v>
      </c>
      <c r="L179" s="458"/>
    </row>
    <row r="180" spans="2:12" ht="46.8" x14ac:dyDescent="0.25">
      <c r="B180" s="434" t="s">
        <v>423</v>
      </c>
      <c r="C180" s="460" t="s">
        <v>60</v>
      </c>
      <c r="D180" s="460" t="s">
        <v>406</v>
      </c>
      <c r="E180" s="460">
        <v>100</v>
      </c>
      <c r="F180" s="461">
        <v>45809</v>
      </c>
      <c r="G180" s="461">
        <f>F180+12+4</f>
        <v>45825</v>
      </c>
      <c r="H180" s="460" t="s">
        <v>426</v>
      </c>
      <c r="I180" s="462">
        <f>12-12</f>
        <v>0</v>
      </c>
      <c r="J180" s="463" t="s">
        <v>407</v>
      </c>
      <c r="K180" s="463">
        <v>50</v>
      </c>
      <c r="L180" s="465" t="s">
        <v>430</v>
      </c>
    </row>
    <row r="181" spans="2:12" ht="31.8" thickBot="1" x14ac:dyDescent="0.3">
      <c r="B181" s="436" t="s">
        <v>48</v>
      </c>
      <c r="C181" s="406" t="s">
        <v>66</v>
      </c>
      <c r="D181" s="449" t="s">
        <v>406</v>
      </c>
      <c r="E181" s="449">
        <v>100</v>
      </c>
      <c r="F181" s="450">
        <f>G180+1</f>
        <v>45826</v>
      </c>
      <c r="G181" s="450">
        <f>F181+8+2</f>
        <v>45836</v>
      </c>
      <c r="H181" s="449" t="s">
        <v>431</v>
      </c>
      <c r="I181" s="451">
        <f>36-8</f>
        <v>28</v>
      </c>
      <c r="J181" s="452" t="s">
        <v>407</v>
      </c>
      <c r="K181" s="452">
        <v>0</v>
      </c>
      <c r="L181" s="457"/>
    </row>
    <row r="182" spans="2:12" ht="21" thickBot="1" x14ac:dyDescent="0.3">
      <c r="B182" s="650" t="s">
        <v>434</v>
      </c>
      <c r="C182" s="651"/>
      <c r="D182" s="651"/>
      <c r="E182" s="651"/>
      <c r="F182" s="651"/>
      <c r="G182" s="651"/>
      <c r="H182" s="651"/>
      <c r="I182" s="651"/>
      <c r="J182" s="651"/>
      <c r="K182" s="651"/>
      <c r="L182" s="652"/>
    </row>
    <row r="183" spans="2:12" ht="31.2" x14ac:dyDescent="0.25">
      <c r="B183" s="432" t="s">
        <v>48</v>
      </c>
      <c r="C183" s="396" t="s">
        <v>66</v>
      </c>
      <c r="D183" s="454" t="s">
        <v>137</v>
      </c>
      <c r="E183" s="454">
        <v>100</v>
      </c>
      <c r="F183" s="455">
        <v>45839</v>
      </c>
      <c r="G183" s="455">
        <f>F183+20+2*4</f>
        <v>45867</v>
      </c>
      <c r="H183" s="454" t="s">
        <v>435</v>
      </c>
      <c r="I183" s="446">
        <f>24-20</f>
        <v>4</v>
      </c>
      <c r="J183" s="447" t="s">
        <v>407</v>
      </c>
      <c r="K183" s="447">
        <v>0</v>
      </c>
      <c r="L183" s="458"/>
    </row>
    <row r="184" spans="2:12" ht="31.8" thickBot="1" x14ac:dyDescent="0.3">
      <c r="B184" s="436" t="s">
        <v>48</v>
      </c>
      <c r="C184" s="406" t="s">
        <v>66</v>
      </c>
      <c r="D184" s="449" t="s">
        <v>406</v>
      </c>
      <c r="E184" s="449">
        <v>100</v>
      </c>
      <c r="F184" s="450">
        <v>45839</v>
      </c>
      <c r="G184" s="450">
        <f>F184+20+2*4</f>
        <v>45867</v>
      </c>
      <c r="H184" s="449" t="s">
        <v>436</v>
      </c>
      <c r="I184" s="451">
        <f>28-20</f>
        <v>8</v>
      </c>
      <c r="J184" s="452" t="s">
        <v>407</v>
      </c>
      <c r="K184" s="452">
        <v>0</v>
      </c>
      <c r="L184" s="457"/>
    </row>
    <row r="185" spans="2:12" ht="21" thickBot="1" x14ac:dyDescent="0.3">
      <c r="B185" s="650" t="s">
        <v>437</v>
      </c>
      <c r="C185" s="651"/>
      <c r="D185" s="651"/>
      <c r="E185" s="651"/>
      <c r="F185" s="651"/>
      <c r="G185" s="651"/>
      <c r="H185" s="651"/>
      <c r="I185" s="651"/>
      <c r="J185" s="651"/>
      <c r="K185" s="651"/>
      <c r="L185" s="652"/>
    </row>
    <row r="186" spans="2:12" ht="31.2" x14ac:dyDescent="0.25">
      <c r="B186" s="432" t="s">
        <v>48</v>
      </c>
      <c r="C186" s="396" t="s">
        <v>66</v>
      </c>
      <c r="D186" s="454" t="s">
        <v>137</v>
      </c>
      <c r="E186" s="454">
        <v>100</v>
      </c>
      <c r="F186" s="455">
        <v>45870</v>
      </c>
      <c r="G186" s="455">
        <f>F186+4</f>
        <v>45874</v>
      </c>
      <c r="H186" s="454" t="s">
        <v>441</v>
      </c>
      <c r="I186" s="446">
        <f>4-4</f>
        <v>0</v>
      </c>
      <c r="J186" s="447" t="s">
        <v>407</v>
      </c>
      <c r="K186" s="447">
        <v>50</v>
      </c>
      <c r="L186" s="660" t="s">
        <v>443</v>
      </c>
    </row>
    <row r="187" spans="2:12" ht="31.2" x14ac:dyDescent="0.25">
      <c r="B187" s="434" t="s">
        <v>48</v>
      </c>
      <c r="C187" s="401" t="s">
        <v>66</v>
      </c>
      <c r="D187" s="460" t="s">
        <v>406</v>
      </c>
      <c r="E187" s="460">
        <v>100</v>
      </c>
      <c r="F187" s="461">
        <v>45870</v>
      </c>
      <c r="G187" s="461">
        <f>F187+8+2</f>
        <v>45880</v>
      </c>
      <c r="H187" s="460" t="s">
        <v>442</v>
      </c>
      <c r="I187" s="462">
        <f>8-8</f>
        <v>0</v>
      </c>
      <c r="J187" s="463" t="s">
        <v>407</v>
      </c>
      <c r="K187" s="463">
        <v>50</v>
      </c>
      <c r="L187" s="661"/>
    </row>
    <row r="188" spans="2:12" ht="31.2" x14ac:dyDescent="0.25">
      <c r="B188" s="434" t="s">
        <v>49</v>
      </c>
      <c r="C188" s="401" t="s">
        <v>67</v>
      </c>
      <c r="D188" s="460" t="s">
        <v>137</v>
      </c>
      <c r="E188" s="460">
        <v>20</v>
      </c>
      <c r="F188" s="461">
        <f>G186+1</f>
        <v>45875</v>
      </c>
      <c r="G188" s="461">
        <f>F188+16+2*3</f>
        <v>45897</v>
      </c>
      <c r="H188" s="460" t="s">
        <v>447</v>
      </c>
      <c r="I188" s="462">
        <f>72-16</f>
        <v>56</v>
      </c>
      <c r="J188" s="463" t="s">
        <v>408</v>
      </c>
      <c r="K188" s="463">
        <v>0</v>
      </c>
      <c r="L188" s="464"/>
    </row>
    <row r="189" spans="2:12" ht="31.8" thickBot="1" x14ac:dyDescent="0.3">
      <c r="B189" s="466" t="s">
        <v>83</v>
      </c>
      <c r="C189" s="419" t="s">
        <v>72</v>
      </c>
      <c r="D189" s="467" t="s">
        <v>406</v>
      </c>
      <c r="E189" s="419">
        <v>13</v>
      </c>
      <c r="F189" s="468">
        <f>G187+1</f>
        <v>45881</v>
      </c>
      <c r="G189" s="468">
        <v>45897</v>
      </c>
      <c r="H189" s="419" t="s">
        <v>448</v>
      </c>
      <c r="I189" s="451">
        <f>18-12</f>
        <v>6</v>
      </c>
      <c r="J189" s="469" t="s">
        <v>408</v>
      </c>
      <c r="K189" s="452">
        <v>0</v>
      </c>
      <c r="L189" s="457"/>
    </row>
    <row r="190" spans="2:12" ht="21" thickBot="1" x14ac:dyDescent="0.3">
      <c r="B190" s="650" t="s">
        <v>449</v>
      </c>
      <c r="C190" s="651"/>
      <c r="D190" s="651"/>
      <c r="E190" s="651"/>
      <c r="F190" s="651"/>
      <c r="G190" s="651"/>
      <c r="H190" s="651"/>
      <c r="I190" s="651"/>
      <c r="J190" s="651"/>
      <c r="K190" s="651"/>
      <c r="L190" s="652"/>
    </row>
    <row r="191" spans="2:12" ht="31.2" x14ac:dyDescent="0.25">
      <c r="B191" s="432" t="s">
        <v>49</v>
      </c>
      <c r="C191" s="396" t="s">
        <v>67</v>
      </c>
      <c r="D191" s="454" t="s">
        <v>137</v>
      </c>
      <c r="E191" s="454">
        <v>20</v>
      </c>
      <c r="F191" s="455">
        <v>45901</v>
      </c>
      <c r="G191" s="455">
        <f>F191+20+4*2</f>
        <v>45929</v>
      </c>
      <c r="H191" s="454" t="s">
        <v>450</v>
      </c>
      <c r="I191" s="446">
        <f>56-20</f>
        <v>36</v>
      </c>
      <c r="J191" s="447" t="s">
        <v>408</v>
      </c>
      <c r="K191" s="447">
        <v>0</v>
      </c>
      <c r="L191" s="458"/>
    </row>
    <row r="192" spans="2:12" ht="31.2" x14ac:dyDescent="0.25">
      <c r="B192" s="470" t="s">
        <v>83</v>
      </c>
      <c r="C192" s="415" t="s">
        <v>72</v>
      </c>
      <c r="D192" s="471" t="s">
        <v>406</v>
      </c>
      <c r="E192" s="415">
        <v>13</v>
      </c>
      <c r="F192" s="472">
        <v>45901</v>
      </c>
      <c r="G192" s="472">
        <f>F192+6+2</f>
        <v>45909</v>
      </c>
      <c r="H192" s="415" t="s">
        <v>451</v>
      </c>
      <c r="I192" s="462">
        <f>6-6</f>
        <v>0</v>
      </c>
      <c r="J192" s="473" t="s">
        <v>408</v>
      </c>
      <c r="K192" s="463">
        <v>13</v>
      </c>
      <c r="L192" s="474" t="s">
        <v>452</v>
      </c>
    </row>
    <row r="193" spans="2:12" ht="31.8" thickBot="1" x14ac:dyDescent="0.3">
      <c r="B193" s="436" t="s">
        <v>49</v>
      </c>
      <c r="C193" s="406" t="s">
        <v>67</v>
      </c>
      <c r="D193" s="449" t="s">
        <v>406</v>
      </c>
      <c r="E193" s="449">
        <v>20</v>
      </c>
      <c r="F193" s="450">
        <f>G192+1</f>
        <v>45910</v>
      </c>
      <c r="G193" s="450">
        <f>F193+14+3*2</f>
        <v>45930</v>
      </c>
      <c r="H193" s="449" t="s">
        <v>453</v>
      </c>
      <c r="I193" s="451">
        <f>27-14</f>
        <v>13</v>
      </c>
      <c r="J193" s="469" t="s">
        <v>408</v>
      </c>
      <c r="K193" s="452">
        <v>0</v>
      </c>
      <c r="L193" s="457"/>
    </row>
    <row r="194" spans="2:12" ht="21" thickBot="1" x14ac:dyDescent="0.3">
      <c r="B194" s="650" t="s">
        <v>454</v>
      </c>
      <c r="C194" s="651"/>
      <c r="D194" s="651"/>
      <c r="E194" s="651"/>
      <c r="F194" s="651"/>
      <c r="G194" s="651"/>
      <c r="H194" s="651"/>
      <c r="I194" s="651"/>
      <c r="J194" s="651"/>
      <c r="K194" s="651"/>
      <c r="L194" s="652"/>
    </row>
    <row r="195" spans="2:12" ht="31.2" x14ac:dyDescent="0.25">
      <c r="B195" s="432" t="s">
        <v>49</v>
      </c>
      <c r="C195" s="396" t="s">
        <v>67</v>
      </c>
      <c r="D195" s="454" t="s">
        <v>137</v>
      </c>
      <c r="E195" s="454">
        <v>20</v>
      </c>
      <c r="F195" s="455">
        <v>45931</v>
      </c>
      <c r="G195" s="455">
        <f>F195+20+4*2</f>
        <v>45959</v>
      </c>
      <c r="H195" s="454" t="s">
        <v>455</v>
      </c>
      <c r="I195" s="446">
        <f>36-20</f>
        <v>16</v>
      </c>
      <c r="J195" s="447" t="s">
        <v>408</v>
      </c>
      <c r="K195" s="447">
        <v>0</v>
      </c>
      <c r="L195" s="458"/>
    </row>
    <row r="196" spans="2:12" ht="31.8" thickBot="1" x14ac:dyDescent="0.3">
      <c r="B196" s="436" t="s">
        <v>49</v>
      </c>
      <c r="C196" s="406" t="s">
        <v>67</v>
      </c>
      <c r="D196" s="449" t="s">
        <v>406</v>
      </c>
      <c r="E196" s="449">
        <v>20</v>
      </c>
      <c r="F196" s="450">
        <v>45931</v>
      </c>
      <c r="G196" s="450">
        <f>F196+20+4*2</f>
        <v>45959</v>
      </c>
      <c r="H196" s="449" t="s">
        <v>456</v>
      </c>
      <c r="I196" s="451">
        <f>27-20</f>
        <v>7</v>
      </c>
      <c r="J196" s="469" t="s">
        <v>408</v>
      </c>
      <c r="K196" s="452">
        <v>0</v>
      </c>
      <c r="L196" s="457"/>
    </row>
    <row r="197" spans="2:12" ht="21" thickBot="1" x14ac:dyDescent="0.3">
      <c r="B197" s="650" t="s">
        <v>457</v>
      </c>
      <c r="C197" s="651"/>
      <c r="D197" s="651"/>
      <c r="E197" s="651"/>
      <c r="F197" s="651"/>
      <c r="G197" s="651"/>
      <c r="H197" s="651"/>
      <c r="I197" s="651"/>
      <c r="J197" s="651"/>
      <c r="K197" s="651"/>
      <c r="L197" s="652"/>
    </row>
    <row r="198" spans="2:12" ht="31.2" x14ac:dyDescent="0.25">
      <c r="B198" s="432" t="s">
        <v>49</v>
      </c>
      <c r="C198" s="396" t="s">
        <v>67</v>
      </c>
      <c r="D198" s="454" t="s">
        <v>137</v>
      </c>
      <c r="E198" s="454">
        <v>20</v>
      </c>
      <c r="F198" s="455">
        <v>45962</v>
      </c>
      <c r="G198" s="455">
        <f>F198+16+3*2</f>
        <v>45984</v>
      </c>
      <c r="H198" s="454" t="s">
        <v>458</v>
      </c>
      <c r="I198" s="446">
        <f>16-16</f>
        <v>0</v>
      </c>
      <c r="J198" s="447" t="s">
        <v>408</v>
      </c>
      <c r="K198" s="447">
        <v>10</v>
      </c>
      <c r="L198" s="660" t="s">
        <v>460</v>
      </c>
    </row>
    <row r="199" spans="2:12" ht="31.2" x14ac:dyDescent="0.25">
      <c r="B199" s="434" t="s">
        <v>49</v>
      </c>
      <c r="C199" s="401" t="s">
        <v>67</v>
      </c>
      <c r="D199" s="460" t="s">
        <v>406</v>
      </c>
      <c r="E199" s="460">
        <v>20</v>
      </c>
      <c r="F199" s="461">
        <v>45962</v>
      </c>
      <c r="G199" s="461">
        <f>F199+7+1*2</f>
        <v>45971</v>
      </c>
      <c r="H199" s="460" t="s">
        <v>459</v>
      </c>
      <c r="I199" s="462">
        <f>7-7</f>
        <v>0</v>
      </c>
      <c r="J199" s="473" t="s">
        <v>408</v>
      </c>
      <c r="K199" s="463">
        <v>10</v>
      </c>
      <c r="L199" s="661"/>
    </row>
    <row r="200" spans="2:12" ht="31.2" x14ac:dyDescent="0.25">
      <c r="B200" s="470" t="s">
        <v>20</v>
      </c>
      <c r="C200" s="415" t="s">
        <v>71</v>
      </c>
      <c r="D200" s="471" t="s">
        <v>406</v>
      </c>
      <c r="E200" s="415">
        <v>13</v>
      </c>
      <c r="F200" s="472">
        <f>G199+1</f>
        <v>45972</v>
      </c>
      <c r="G200" s="472">
        <f>F200+9+2*2</f>
        <v>45985</v>
      </c>
      <c r="H200" s="415" t="s">
        <v>461</v>
      </c>
      <c r="I200" s="462">
        <f>9-9</f>
        <v>0</v>
      </c>
      <c r="J200" s="473" t="s">
        <v>462</v>
      </c>
      <c r="K200" s="463">
        <v>13</v>
      </c>
      <c r="L200" s="474" t="s">
        <v>463</v>
      </c>
    </row>
    <row r="201" spans="2:12" ht="31.2" x14ac:dyDescent="0.25">
      <c r="B201" s="470" t="s">
        <v>23</v>
      </c>
      <c r="C201" s="415" t="s">
        <v>70</v>
      </c>
      <c r="D201" s="471" t="s">
        <v>406</v>
      </c>
      <c r="E201" s="415">
        <v>13</v>
      </c>
      <c r="F201" s="472">
        <f>G200+1</f>
        <v>45986</v>
      </c>
      <c r="G201" s="472">
        <f>F201+4</f>
        <v>45990</v>
      </c>
      <c r="H201" s="415" t="s">
        <v>464</v>
      </c>
      <c r="I201" s="462">
        <f>9-4</f>
        <v>5</v>
      </c>
      <c r="J201" s="473" t="s">
        <v>408</v>
      </c>
      <c r="K201" s="463">
        <v>13</v>
      </c>
      <c r="L201" s="464"/>
    </row>
    <row r="202" spans="2:12" ht="31.8" thickBot="1" x14ac:dyDescent="0.3">
      <c r="B202" s="466" t="s">
        <v>27</v>
      </c>
      <c r="C202" s="419" t="s">
        <v>69</v>
      </c>
      <c r="D202" s="467" t="s">
        <v>137</v>
      </c>
      <c r="E202" s="419">
        <v>100</v>
      </c>
      <c r="F202" s="468">
        <f>G198+1</f>
        <v>45985</v>
      </c>
      <c r="G202" s="468">
        <f>F202+5</f>
        <v>45990</v>
      </c>
      <c r="H202" s="419" t="s">
        <v>465</v>
      </c>
      <c r="I202" s="451">
        <f>72-5</f>
        <v>67</v>
      </c>
      <c r="J202" s="469" t="s">
        <v>407</v>
      </c>
      <c r="K202" s="452">
        <v>0</v>
      </c>
      <c r="L202" s="457"/>
    </row>
    <row r="203" spans="2:12" ht="21" thickBot="1" x14ac:dyDescent="0.3">
      <c r="B203" s="650" t="s">
        <v>470</v>
      </c>
      <c r="C203" s="651"/>
      <c r="D203" s="651"/>
      <c r="E203" s="651"/>
      <c r="F203" s="651"/>
      <c r="G203" s="651"/>
      <c r="H203" s="651"/>
      <c r="I203" s="651"/>
      <c r="J203" s="651"/>
      <c r="K203" s="651"/>
      <c r="L203" s="652"/>
    </row>
    <row r="204" spans="2:12" ht="31.2" x14ac:dyDescent="0.25">
      <c r="B204" s="443" t="s">
        <v>23</v>
      </c>
      <c r="C204" s="411" t="s">
        <v>70</v>
      </c>
      <c r="D204" s="475" t="s">
        <v>406</v>
      </c>
      <c r="E204" s="411">
        <v>13</v>
      </c>
      <c r="F204" s="476">
        <v>45992</v>
      </c>
      <c r="G204" s="476">
        <f>F204+5</f>
        <v>45997</v>
      </c>
      <c r="H204" s="411" t="s">
        <v>466</v>
      </c>
      <c r="I204" s="446">
        <f>5-5</f>
        <v>0</v>
      </c>
      <c r="J204" s="477" t="s">
        <v>408</v>
      </c>
      <c r="K204" s="447">
        <v>13</v>
      </c>
      <c r="L204" s="448" t="s">
        <v>468</v>
      </c>
    </row>
    <row r="205" spans="2:12" ht="31.2" x14ac:dyDescent="0.25">
      <c r="B205" s="470" t="s">
        <v>27</v>
      </c>
      <c r="C205" s="415" t="s">
        <v>69</v>
      </c>
      <c r="D205" s="471" t="s">
        <v>137</v>
      </c>
      <c r="E205" s="415">
        <v>100</v>
      </c>
      <c r="F205" s="472">
        <v>45992</v>
      </c>
      <c r="G205" s="472">
        <f>F205+20+4*2</f>
        <v>46020</v>
      </c>
      <c r="H205" s="415" t="s">
        <v>467</v>
      </c>
      <c r="I205" s="462">
        <f>67-20</f>
        <v>47</v>
      </c>
      <c r="J205" s="473" t="s">
        <v>407</v>
      </c>
      <c r="K205" s="463">
        <v>0</v>
      </c>
      <c r="L205" s="464"/>
    </row>
    <row r="206" spans="2:12" ht="31.8" thickBot="1" x14ac:dyDescent="0.3">
      <c r="B206" s="466" t="s">
        <v>27</v>
      </c>
      <c r="C206" s="419" t="s">
        <v>69</v>
      </c>
      <c r="D206" s="467" t="s">
        <v>406</v>
      </c>
      <c r="E206" s="419">
        <v>100</v>
      </c>
      <c r="F206" s="468">
        <f>G204+1</f>
        <v>45998</v>
      </c>
      <c r="G206" s="468">
        <f>F206+15+3*2</f>
        <v>46019</v>
      </c>
      <c r="H206" s="419" t="s">
        <v>469</v>
      </c>
      <c r="I206" s="451">
        <f>54-15</f>
        <v>39</v>
      </c>
      <c r="J206" s="469" t="s">
        <v>407</v>
      </c>
      <c r="K206" s="452">
        <v>0</v>
      </c>
      <c r="L206" s="457"/>
    </row>
    <row r="207" spans="2:12" ht="21" thickBot="1" x14ac:dyDescent="0.3">
      <c r="B207" s="650" t="s">
        <v>471</v>
      </c>
      <c r="C207" s="651"/>
      <c r="D207" s="651"/>
      <c r="E207" s="651"/>
      <c r="F207" s="651"/>
      <c r="G207" s="651"/>
      <c r="H207" s="651"/>
      <c r="I207" s="651"/>
      <c r="J207" s="651"/>
      <c r="K207" s="651"/>
      <c r="L207" s="652"/>
    </row>
    <row r="208" spans="2:12" ht="31.2" x14ac:dyDescent="0.25">
      <c r="B208" s="443" t="s">
        <v>27</v>
      </c>
      <c r="C208" s="411" t="s">
        <v>69</v>
      </c>
      <c r="D208" s="475" t="s">
        <v>137</v>
      </c>
      <c r="E208" s="411">
        <v>100</v>
      </c>
      <c r="F208" s="476">
        <v>46023</v>
      </c>
      <c r="G208" s="476">
        <f>F208+20+4*2</f>
        <v>46051</v>
      </c>
      <c r="H208" s="411" t="s">
        <v>472</v>
      </c>
      <c r="I208" s="446">
        <f>47-20</f>
        <v>27</v>
      </c>
      <c r="J208" s="477" t="s">
        <v>407</v>
      </c>
      <c r="K208" s="447">
        <v>0</v>
      </c>
      <c r="L208" s="458"/>
    </row>
    <row r="209" spans="2:12" ht="31.8" thickBot="1" x14ac:dyDescent="0.3">
      <c r="B209" s="466" t="s">
        <v>27</v>
      </c>
      <c r="C209" s="419" t="s">
        <v>69</v>
      </c>
      <c r="D209" s="467" t="s">
        <v>406</v>
      </c>
      <c r="E209" s="419">
        <v>100</v>
      </c>
      <c r="F209" s="468">
        <v>46023</v>
      </c>
      <c r="G209" s="468">
        <f>F209+15+3*2</f>
        <v>46044</v>
      </c>
      <c r="H209" s="419" t="s">
        <v>473</v>
      </c>
      <c r="I209" s="451">
        <f>39-20</f>
        <v>19</v>
      </c>
      <c r="J209" s="469" t="s">
        <v>407</v>
      </c>
      <c r="K209" s="452">
        <v>0</v>
      </c>
      <c r="L209" s="457"/>
    </row>
    <row r="210" spans="2:12" ht="21" thickBot="1" x14ac:dyDescent="0.3">
      <c r="B210" s="650" t="s">
        <v>474</v>
      </c>
      <c r="C210" s="651"/>
      <c r="D210" s="651"/>
      <c r="E210" s="651"/>
      <c r="F210" s="651"/>
      <c r="G210" s="651"/>
      <c r="H210" s="651"/>
      <c r="I210" s="651"/>
      <c r="J210" s="651"/>
      <c r="K210" s="651"/>
      <c r="L210" s="652"/>
    </row>
    <row r="211" spans="2:12" ht="31.2" x14ac:dyDescent="0.25">
      <c r="B211" s="443" t="s">
        <v>27</v>
      </c>
      <c r="C211" s="411" t="s">
        <v>69</v>
      </c>
      <c r="D211" s="475" t="s">
        <v>137</v>
      </c>
      <c r="E211" s="411">
        <v>100</v>
      </c>
      <c r="F211" s="476">
        <v>46054</v>
      </c>
      <c r="G211" s="476">
        <f>F211+20+4*2-1</f>
        <v>46081</v>
      </c>
      <c r="H211" s="411" t="s">
        <v>456</v>
      </c>
      <c r="I211" s="446">
        <f>27-20</f>
        <v>7</v>
      </c>
      <c r="J211" s="477" t="s">
        <v>407</v>
      </c>
      <c r="K211" s="447">
        <v>0</v>
      </c>
      <c r="L211" s="458"/>
    </row>
    <row r="212" spans="2:12" ht="31.8" thickBot="1" x14ac:dyDescent="0.3">
      <c r="B212" s="466" t="s">
        <v>27</v>
      </c>
      <c r="C212" s="419" t="s">
        <v>69</v>
      </c>
      <c r="D212" s="467" t="s">
        <v>406</v>
      </c>
      <c r="E212" s="419">
        <v>100</v>
      </c>
      <c r="F212" s="468">
        <v>46054</v>
      </c>
      <c r="G212" s="468">
        <f>F212+19+4*2-1</f>
        <v>46080</v>
      </c>
      <c r="H212" s="419" t="s">
        <v>475</v>
      </c>
      <c r="I212" s="451">
        <f>19-19</f>
        <v>0</v>
      </c>
      <c r="J212" s="469" t="s">
        <v>407</v>
      </c>
      <c r="K212" s="452">
        <v>50</v>
      </c>
      <c r="L212" s="457"/>
    </row>
    <row r="213" spans="2:12" ht="21" thickBot="1" x14ac:dyDescent="0.3">
      <c r="B213" s="650" t="s">
        <v>476</v>
      </c>
      <c r="C213" s="651"/>
      <c r="D213" s="651"/>
      <c r="E213" s="651"/>
      <c r="F213" s="651"/>
      <c r="G213" s="651"/>
      <c r="H213" s="651"/>
      <c r="I213" s="651"/>
      <c r="J213" s="651"/>
      <c r="K213" s="651"/>
      <c r="L213" s="652"/>
    </row>
    <row r="214" spans="2:12" ht="31.2" x14ac:dyDescent="0.25">
      <c r="B214" s="443" t="s">
        <v>27</v>
      </c>
      <c r="C214" s="411" t="s">
        <v>69</v>
      </c>
      <c r="D214" s="475" t="s">
        <v>137</v>
      </c>
      <c r="E214" s="411">
        <v>100</v>
      </c>
      <c r="F214" s="476">
        <v>46082</v>
      </c>
      <c r="G214" s="476">
        <f>F214+20+4*2</f>
        <v>46110</v>
      </c>
      <c r="H214" s="411" t="s">
        <v>459</v>
      </c>
      <c r="I214" s="446">
        <f>7-7</f>
        <v>0</v>
      </c>
      <c r="J214" s="477" t="s">
        <v>407</v>
      </c>
      <c r="K214" s="447">
        <v>50</v>
      </c>
      <c r="L214" s="448" t="s">
        <v>477</v>
      </c>
    </row>
    <row r="215" spans="2:12" ht="31.8" thickBot="1" x14ac:dyDescent="0.3">
      <c r="B215" s="436" t="s">
        <v>85</v>
      </c>
      <c r="C215" s="449" t="s">
        <v>74</v>
      </c>
      <c r="D215" s="449" t="s">
        <v>406</v>
      </c>
      <c r="E215" s="406">
        <v>13</v>
      </c>
      <c r="F215" s="478">
        <v>46082</v>
      </c>
      <c r="G215" s="478">
        <f>F215+20+4*2</f>
        <v>46110</v>
      </c>
      <c r="H215" s="406" t="s">
        <v>456</v>
      </c>
      <c r="I215" s="451">
        <f>27-20</f>
        <v>7</v>
      </c>
      <c r="J215" s="469" t="s">
        <v>462</v>
      </c>
      <c r="K215" s="452">
        <v>13</v>
      </c>
      <c r="L215" s="457"/>
    </row>
    <row r="216" spans="2:12" ht="21" thickBot="1" x14ac:dyDescent="0.3">
      <c r="B216" s="650" t="s">
        <v>478</v>
      </c>
      <c r="C216" s="651"/>
      <c r="D216" s="651"/>
      <c r="E216" s="651"/>
      <c r="F216" s="651"/>
      <c r="G216" s="651"/>
      <c r="H216" s="651"/>
      <c r="I216" s="651"/>
      <c r="J216" s="651"/>
      <c r="K216" s="651"/>
      <c r="L216" s="652"/>
    </row>
    <row r="217" spans="2:12" ht="31.2" x14ac:dyDescent="0.25">
      <c r="B217" s="432" t="s">
        <v>85</v>
      </c>
      <c r="C217" s="454" t="s">
        <v>74</v>
      </c>
      <c r="D217" s="454" t="s">
        <v>406</v>
      </c>
      <c r="E217" s="396">
        <v>13</v>
      </c>
      <c r="F217" s="479">
        <v>46113</v>
      </c>
      <c r="G217" s="479">
        <f>F217+7+2</f>
        <v>46122</v>
      </c>
      <c r="H217" s="396" t="s">
        <v>459</v>
      </c>
      <c r="I217" s="446">
        <f>7-7</f>
        <v>0</v>
      </c>
      <c r="J217" s="477" t="s">
        <v>462</v>
      </c>
      <c r="K217" s="447">
        <v>13</v>
      </c>
      <c r="L217" s="448" t="s">
        <v>479</v>
      </c>
    </row>
    <row r="218" spans="2:12" ht="31.2" x14ac:dyDescent="0.25">
      <c r="B218" s="470" t="s">
        <v>31</v>
      </c>
      <c r="C218" s="415" t="s">
        <v>76</v>
      </c>
      <c r="D218" s="471" t="s">
        <v>406</v>
      </c>
      <c r="E218" s="415">
        <v>13</v>
      </c>
      <c r="F218" s="472">
        <f>G217+1</f>
        <v>46123</v>
      </c>
      <c r="G218" s="472">
        <f>F218+9+2</f>
        <v>46134</v>
      </c>
      <c r="H218" s="415" t="s">
        <v>461</v>
      </c>
      <c r="I218" s="462">
        <f>9-9</f>
        <v>0</v>
      </c>
      <c r="J218" s="473" t="s">
        <v>408</v>
      </c>
      <c r="K218" s="463">
        <v>13</v>
      </c>
      <c r="L218" s="474" t="s">
        <v>480</v>
      </c>
    </row>
    <row r="219" spans="2:12" ht="31.8" thickBot="1" x14ac:dyDescent="0.3">
      <c r="B219" s="466" t="s">
        <v>87</v>
      </c>
      <c r="C219" s="419" t="s">
        <v>96</v>
      </c>
      <c r="D219" s="467" t="s">
        <v>406</v>
      </c>
      <c r="E219" s="419">
        <v>13</v>
      </c>
      <c r="F219" s="468">
        <f>G218+1</f>
        <v>46135</v>
      </c>
      <c r="G219" s="468">
        <f>F219+6</f>
        <v>46141</v>
      </c>
      <c r="H219" s="419" t="s">
        <v>481</v>
      </c>
      <c r="I219" s="451">
        <f>9-5</f>
        <v>4</v>
      </c>
      <c r="J219" s="469" t="s">
        <v>408</v>
      </c>
      <c r="K219" s="452">
        <v>13</v>
      </c>
      <c r="L219" s="457"/>
    </row>
    <row r="220" spans="2:12" ht="21" thickBot="1" x14ac:dyDescent="0.3">
      <c r="B220" s="650" t="s">
        <v>482</v>
      </c>
      <c r="C220" s="651"/>
      <c r="D220" s="651"/>
      <c r="E220" s="651"/>
      <c r="F220" s="651"/>
      <c r="G220" s="651"/>
      <c r="H220" s="651"/>
      <c r="I220" s="651"/>
      <c r="J220" s="651"/>
      <c r="K220" s="651"/>
      <c r="L220" s="652"/>
    </row>
    <row r="221" spans="2:12" ht="31.2" x14ac:dyDescent="0.25">
      <c r="B221" s="443" t="s">
        <v>87</v>
      </c>
      <c r="C221" s="411" t="s">
        <v>96</v>
      </c>
      <c r="D221" s="475" t="s">
        <v>406</v>
      </c>
      <c r="E221" s="411">
        <v>13</v>
      </c>
      <c r="F221" s="476">
        <v>46143</v>
      </c>
      <c r="G221" s="476">
        <f>F221+4</f>
        <v>46147</v>
      </c>
      <c r="H221" s="411" t="s">
        <v>441</v>
      </c>
      <c r="I221" s="446">
        <f>4-4</f>
        <v>0</v>
      </c>
      <c r="J221" s="477" t="s">
        <v>408</v>
      </c>
      <c r="K221" s="447">
        <v>13</v>
      </c>
      <c r="L221" s="448" t="s">
        <v>483</v>
      </c>
    </row>
    <row r="222" spans="2:12" ht="31.2" x14ac:dyDescent="0.25">
      <c r="B222" s="470" t="s">
        <v>91</v>
      </c>
      <c r="C222" s="415" t="s">
        <v>97</v>
      </c>
      <c r="D222" s="471" t="s">
        <v>406</v>
      </c>
      <c r="E222" s="415">
        <v>13</v>
      </c>
      <c r="F222" s="472">
        <f>G221+1</f>
        <v>46148</v>
      </c>
      <c r="G222" s="472">
        <f>F222+9+2*2</f>
        <v>46161</v>
      </c>
      <c r="H222" s="415" t="s">
        <v>461</v>
      </c>
      <c r="I222" s="462">
        <f>9-9</f>
        <v>0</v>
      </c>
      <c r="J222" s="473" t="s">
        <v>408</v>
      </c>
      <c r="K222" s="463">
        <v>13</v>
      </c>
      <c r="L222" s="474" t="s">
        <v>484</v>
      </c>
    </row>
    <row r="223" spans="2:12" ht="31.8" thickBot="1" x14ac:dyDescent="0.3">
      <c r="B223" s="466" t="s">
        <v>37</v>
      </c>
      <c r="C223" s="419" t="s">
        <v>98</v>
      </c>
      <c r="D223" s="467" t="s">
        <v>406</v>
      </c>
      <c r="E223" s="419">
        <v>50</v>
      </c>
      <c r="F223" s="468">
        <f>G222+1</f>
        <v>46162</v>
      </c>
      <c r="G223" s="468">
        <f>F223+9</f>
        <v>46171</v>
      </c>
      <c r="H223" s="419" t="s">
        <v>461</v>
      </c>
      <c r="I223" s="451">
        <f>9-9</f>
        <v>0</v>
      </c>
      <c r="J223" s="469" t="s">
        <v>407</v>
      </c>
      <c r="K223" s="452">
        <v>50</v>
      </c>
      <c r="L223" s="480" t="s">
        <v>485</v>
      </c>
    </row>
    <row r="224" spans="2:12" ht="21" thickBot="1" x14ac:dyDescent="0.3">
      <c r="B224" s="650" t="s">
        <v>486</v>
      </c>
      <c r="C224" s="651"/>
      <c r="D224" s="651"/>
      <c r="E224" s="651"/>
      <c r="F224" s="651"/>
      <c r="G224" s="651"/>
      <c r="H224" s="651"/>
      <c r="I224" s="651"/>
      <c r="J224" s="651"/>
      <c r="K224" s="651"/>
      <c r="L224" s="652"/>
    </row>
    <row r="225" spans="2:12" ht="31.2" x14ac:dyDescent="0.25">
      <c r="B225" s="443" t="s">
        <v>92</v>
      </c>
      <c r="C225" s="411" t="s">
        <v>99</v>
      </c>
      <c r="D225" s="475" t="s">
        <v>406</v>
      </c>
      <c r="E225" s="411">
        <v>13</v>
      </c>
      <c r="F225" s="476">
        <v>46174</v>
      </c>
      <c r="G225" s="476">
        <f>F225+9+2</f>
        <v>46185</v>
      </c>
      <c r="H225" s="411" t="s">
        <v>461</v>
      </c>
      <c r="I225" s="446">
        <f>9-9</f>
        <v>0</v>
      </c>
      <c r="J225" s="477" t="s">
        <v>462</v>
      </c>
      <c r="K225" s="447">
        <v>13</v>
      </c>
      <c r="L225" s="448" t="s">
        <v>487</v>
      </c>
    </row>
    <row r="226" spans="2:12" ht="31.2" x14ac:dyDescent="0.25">
      <c r="B226" s="434" t="s">
        <v>100</v>
      </c>
      <c r="C226" s="401" t="s">
        <v>78</v>
      </c>
      <c r="D226" s="460" t="s">
        <v>406</v>
      </c>
      <c r="E226" s="401">
        <v>13</v>
      </c>
      <c r="F226" s="481">
        <f>G225+1</f>
        <v>46186</v>
      </c>
      <c r="G226" s="481">
        <f>F226+9+2</f>
        <v>46197</v>
      </c>
      <c r="H226" s="401" t="s">
        <v>461</v>
      </c>
      <c r="I226" s="462">
        <f>9-9</f>
        <v>0</v>
      </c>
      <c r="J226" s="473" t="s">
        <v>462</v>
      </c>
      <c r="K226" s="463">
        <v>13</v>
      </c>
      <c r="L226" s="474" t="s">
        <v>488</v>
      </c>
    </row>
    <row r="227" spans="2:12" ht="31.8" thickBot="1" x14ac:dyDescent="0.3">
      <c r="B227" s="436" t="s">
        <v>101</v>
      </c>
      <c r="C227" s="406" t="s">
        <v>79</v>
      </c>
      <c r="D227" s="449" t="s">
        <v>406</v>
      </c>
      <c r="E227" s="406">
        <v>20</v>
      </c>
      <c r="F227" s="478">
        <f>G226+1</f>
        <v>46198</v>
      </c>
      <c r="G227" s="478">
        <f>F227+4</f>
        <v>46202</v>
      </c>
      <c r="H227" s="406" t="s">
        <v>464</v>
      </c>
      <c r="I227" s="451">
        <f>9-4</f>
        <v>5</v>
      </c>
      <c r="J227" s="469" t="s">
        <v>408</v>
      </c>
      <c r="K227" s="452">
        <v>0</v>
      </c>
      <c r="L227" s="457"/>
    </row>
    <row r="228" spans="2:12" ht="21" thickBot="1" x14ac:dyDescent="0.3">
      <c r="B228" s="650" t="s">
        <v>914</v>
      </c>
      <c r="C228" s="651"/>
      <c r="D228" s="651"/>
      <c r="E228" s="651"/>
      <c r="F228" s="651"/>
      <c r="G228" s="651"/>
      <c r="H228" s="651"/>
      <c r="I228" s="651"/>
      <c r="J228" s="651"/>
      <c r="K228" s="651"/>
      <c r="L228" s="652"/>
    </row>
    <row r="229" spans="2:12" ht="31.2" x14ac:dyDescent="0.25">
      <c r="B229" s="432" t="s">
        <v>101</v>
      </c>
      <c r="C229" s="396" t="s">
        <v>79</v>
      </c>
      <c r="D229" s="454" t="s">
        <v>406</v>
      </c>
      <c r="E229" s="396">
        <v>20</v>
      </c>
      <c r="F229" s="479">
        <v>46204</v>
      </c>
      <c r="G229" s="479">
        <f>F229+5</f>
        <v>46209</v>
      </c>
      <c r="H229" s="396" t="s">
        <v>466</v>
      </c>
      <c r="I229" s="446">
        <f>5-5</f>
        <v>0</v>
      </c>
      <c r="J229" s="477" t="s">
        <v>408</v>
      </c>
      <c r="K229" s="447">
        <v>20</v>
      </c>
      <c r="L229" s="448" t="s">
        <v>489</v>
      </c>
    </row>
    <row r="230" spans="2:12" ht="31.2" x14ac:dyDescent="0.25">
      <c r="B230" s="434" t="s">
        <v>104</v>
      </c>
      <c r="C230" s="401" t="s">
        <v>80</v>
      </c>
      <c r="D230" s="460" t="s">
        <v>406</v>
      </c>
      <c r="E230" s="401">
        <v>13</v>
      </c>
      <c r="F230" s="481">
        <f>G229+1</f>
        <v>46210</v>
      </c>
      <c r="G230" s="481">
        <f>F230+9+2</f>
        <v>46221</v>
      </c>
      <c r="H230" s="401" t="s">
        <v>461</v>
      </c>
      <c r="I230" s="462">
        <f>9-9</f>
        <v>0</v>
      </c>
      <c r="J230" s="473" t="s">
        <v>408</v>
      </c>
      <c r="K230" s="463">
        <v>13</v>
      </c>
      <c r="L230" s="474" t="s">
        <v>490</v>
      </c>
    </row>
    <row r="231" spans="2:12" ht="31.8" thickBot="1" x14ac:dyDescent="0.3">
      <c r="B231" s="436" t="s">
        <v>108</v>
      </c>
      <c r="C231" s="406" t="s">
        <v>81</v>
      </c>
      <c r="D231" s="449" t="s">
        <v>406</v>
      </c>
      <c r="E231" s="406">
        <v>20</v>
      </c>
      <c r="F231" s="478">
        <f>G230+1</f>
        <v>46222</v>
      </c>
      <c r="G231" s="478">
        <f>F231+9+2</f>
        <v>46233</v>
      </c>
      <c r="H231" s="406" t="s">
        <v>461</v>
      </c>
      <c r="I231" s="451">
        <f>9-9</f>
        <v>0</v>
      </c>
      <c r="J231" s="469" t="s">
        <v>408</v>
      </c>
      <c r="K231" s="452">
        <v>20</v>
      </c>
      <c r="L231" s="480" t="s">
        <v>491</v>
      </c>
    </row>
    <row r="232" spans="2:12" ht="21" thickBot="1" x14ac:dyDescent="0.3">
      <c r="B232" s="650" t="s">
        <v>915</v>
      </c>
      <c r="C232" s="651"/>
      <c r="D232" s="651"/>
      <c r="E232" s="651"/>
      <c r="F232" s="651"/>
      <c r="G232" s="651"/>
      <c r="H232" s="651"/>
      <c r="I232" s="651"/>
      <c r="J232" s="651"/>
      <c r="K232" s="651"/>
      <c r="L232" s="652"/>
    </row>
    <row r="233" spans="2:12" ht="31.2" x14ac:dyDescent="0.25">
      <c r="B233" s="432" t="s">
        <v>112</v>
      </c>
      <c r="C233" s="396" t="s">
        <v>120</v>
      </c>
      <c r="D233" s="454" t="s">
        <v>406</v>
      </c>
      <c r="E233" s="396">
        <v>13</v>
      </c>
      <c r="F233" s="479">
        <v>46235</v>
      </c>
      <c r="G233" s="479">
        <f>F233+9+2</f>
        <v>46246</v>
      </c>
      <c r="H233" s="396" t="s">
        <v>461</v>
      </c>
      <c r="I233" s="446">
        <f>9-9</f>
        <v>0</v>
      </c>
      <c r="J233" s="477" t="s">
        <v>408</v>
      </c>
      <c r="K233" s="447">
        <v>13</v>
      </c>
      <c r="L233" s="448" t="s">
        <v>493</v>
      </c>
    </row>
    <row r="234" spans="2:12" ht="31.8" thickBot="1" x14ac:dyDescent="0.3">
      <c r="B234" s="436" t="s">
        <v>116</v>
      </c>
      <c r="C234" s="406" t="s">
        <v>121</v>
      </c>
      <c r="D234" s="449" t="s">
        <v>406</v>
      </c>
      <c r="E234" s="406">
        <v>13</v>
      </c>
      <c r="F234" s="478">
        <f>G233+1</f>
        <v>46247</v>
      </c>
      <c r="G234" s="478">
        <f>F234+9+2</f>
        <v>46258</v>
      </c>
      <c r="H234" s="406" t="s">
        <v>492</v>
      </c>
      <c r="I234" s="451">
        <f>9-9</f>
        <v>0</v>
      </c>
      <c r="J234" s="469" t="s">
        <v>408</v>
      </c>
      <c r="K234" s="452">
        <v>13</v>
      </c>
      <c r="L234" s="480" t="s">
        <v>494</v>
      </c>
    </row>
    <row r="235" spans="2:12" x14ac:dyDescent="0.25">
      <c r="B235" s="658" t="s">
        <v>495</v>
      </c>
      <c r="C235" s="658"/>
      <c r="D235" s="658"/>
      <c r="E235" s="658"/>
      <c r="F235" s="658"/>
      <c r="G235" s="658"/>
      <c r="H235" s="658"/>
      <c r="I235" s="658"/>
      <c r="J235" s="658"/>
      <c r="K235" s="658"/>
      <c r="L235" s="658"/>
    </row>
    <row r="236" spans="2:12" x14ac:dyDescent="0.25">
      <c r="B236" s="659"/>
      <c r="C236" s="659"/>
      <c r="D236" s="659"/>
      <c r="E236" s="659"/>
      <c r="F236" s="659"/>
      <c r="G236" s="659"/>
      <c r="H236" s="659"/>
      <c r="I236" s="659"/>
      <c r="J236" s="659"/>
      <c r="K236" s="659"/>
      <c r="L236" s="659"/>
    </row>
    <row r="237" spans="2:12" x14ac:dyDescent="0.25">
      <c r="B237" s="659"/>
      <c r="C237" s="659"/>
      <c r="D237" s="659"/>
      <c r="E237" s="659"/>
      <c r="F237" s="659"/>
      <c r="G237" s="659"/>
      <c r="H237" s="659"/>
      <c r="I237" s="659"/>
      <c r="J237" s="659"/>
      <c r="K237" s="659"/>
      <c r="L237" s="659"/>
    </row>
    <row r="238" spans="2:12" x14ac:dyDescent="0.25">
      <c r="B238" s="60"/>
      <c r="C238" s="60"/>
      <c r="D238" s="61"/>
      <c r="E238" s="60"/>
      <c r="F238" s="278"/>
      <c r="G238" s="278"/>
      <c r="H238" s="60"/>
      <c r="I238" s="284"/>
      <c r="J238" s="285"/>
      <c r="K238" s="60"/>
    </row>
    <row r="239" spans="2:12" x14ac:dyDescent="0.25">
      <c r="B239" s="60"/>
      <c r="C239" s="60"/>
      <c r="D239" s="61"/>
      <c r="E239" s="60"/>
      <c r="F239" s="278"/>
      <c r="G239" s="278"/>
      <c r="H239" s="60"/>
      <c r="I239" s="284"/>
      <c r="J239" s="285"/>
      <c r="K239" s="60"/>
    </row>
    <row r="240" spans="2:12" x14ac:dyDescent="0.25">
      <c r="B240" s="60"/>
      <c r="C240" s="60"/>
      <c r="D240" s="61"/>
      <c r="E240" s="60"/>
      <c r="F240" s="278"/>
      <c r="G240" s="278"/>
      <c r="H240" s="60"/>
      <c r="I240" s="284"/>
      <c r="J240" s="285"/>
      <c r="K240" s="60"/>
    </row>
    <row r="241" spans="2:12" x14ac:dyDescent="0.25">
      <c r="B241" s="60"/>
      <c r="C241" s="60"/>
      <c r="D241" s="61"/>
      <c r="E241" s="60"/>
      <c r="F241" s="278"/>
      <c r="G241" s="278"/>
      <c r="H241" s="60"/>
      <c r="I241" s="284"/>
      <c r="J241" s="285"/>
      <c r="K241" s="60"/>
    </row>
    <row r="242" spans="2:12" ht="13.8" thickBot="1" x14ac:dyDescent="0.3">
      <c r="B242" s="60"/>
      <c r="C242" s="60"/>
      <c r="D242" s="61"/>
      <c r="E242" s="60"/>
      <c r="F242" s="278"/>
      <c r="G242" s="278"/>
      <c r="H242" s="60"/>
      <c r="I242" s="284"/>
      <c r="J242" s="285"/>
      <c r="K242" s="60"/>
    </row>
    <row r="243" spans="2:12" ht="23.4" thickBot="1" x14ac:dyDescent="0.45">
      <c r="B243" s="653" t="s">
        <v>499</v>
      </c>
      <c r="C243" s="654"/>
      <c r="D243" s="654"/>
      <c r="E243" s="654"/>
      <c r="F243" s="654"/>
      <c r="G243" s="654"/>
      <c r="H243" s="654"/>
      <c r="I243" s="654"/>
      <c r="J243" s="654"/>
      <c r="K243" s="654"/>
      <c r="L243" s="655"/>
    </row>
    <row r="244" spans="2:12" x14ac:dyDescent="0.25">
      <c r="B244" s="60"/>
      <c r="C244" s="60"/>
      <c r="D244" s="61"/>
      <c r="E244" s="60"/>
      <c r="F244" s="278"/>
      <c r="G244" s="278"/>
      <c r="H244" s="60"/>
      <c r="I244" s="284"/>
      <c r="J244" s="285"/>
      <c r="K244" s="60"/>
    </row>
    <row r="245" spans="2:12" ht="13.8" thickBot="1" x14ac:dyDescent="0.3">
      <c r="B245" s="60"/>
      <c r="C245" s="60"/>
      <c r="D245" s="61"/>
      <c r="E245" s="60"/>
      <c r="F245" s="278"/>
      <c r="G245" s="278"/>
      <c r="H245" s="60"/>
      <c r="I245" s="284"/>
      <c r="J245" s="285"/>
      <c r="K245" s="60"/>
    </row>
    <row r="246" spans="2:12" ht="16.2" thickBot="1" x14ac:dyDescent="0.3">
      <c r="B246" s="482" t="s">
        <v>496</v>
      </c>
      <c r="C246" s="483" t="s">
        <v>402</v>
      </c>
      <c r="D246" s="484" t="s">
        <v>497</v>
      </c>
      <c r="E246" s="485" t="s">
        <v>498</v>
      </c>
      <c r="F246" s="278"/>
      <c r="G246" s="278"/>
      <c r="H246" s="60"/>
      <c r="I246" s="284"/>
      <c r="J246" s="285"/>
      <c r="K246" s="60"/>
    </row>
    <row r="247" spans="2:12" ht="15.6" x14ac:dyDescent="0.25">
      <c r="B247" s="486">
        <v>45658</v>
      </c>
      <c r="C247" s="487">
        <f>SUM(K163:K164)</f>
        <v>13</v>
      </c>
      <c r="D247" s="488">
        <f>C267-C247</f>
        <v>568</v>
      </c>
      <c r="E247" s="489">
        <f>$C$267-$C$267/20</f>
        <v>551.95000000000005</v>
      </c>
      <c r="F247" s="278"/>
      <c r="G247" s="278"/>
      <c r="H247" s="60"/>
      <c r="I247" s="284"/>
      <c r="J247" s="285"/>
      <c r="K247" s="60"/>
    </row>
    <row r="248" spans="2:12" ht="15.6" x14ac:dyDescent="0.25">
      <c r="B248" s="490">
        <v>45689</v>
      </c>
      <c r="C248" s="491">
        <f>SUM(K166:K167)</f>
        <v>13</v>
      </c>
      <c r="D248" s="492">
        <f>D247-C248</f>
        <v>555</v>
      </c>
      <c r="E248" s="493">
        <f>E247-$C$267/20</f>
        <v>522.90000000000009</v>
      </c>
      <c r="F248" s="278"/>
      <c r="G248" s="278"/>
      <c r="H248" s="60"/>
      <c r="I248" s="284"/>
      <c r="J248" s="285"/>
      <c r="K248" s="60"/>
    </row>
    <row r="249" spans="2:12" ht="15.6" x14ac:dyDescent="0.25">
      <c r="B249" s="490">
        <v>45717</v>
      </c>
      <c r="C249" s="491">
        <f>SUM(K169:K170)</f>
        <v>0</v>
      </c>
      <c r="D249" s="492">
        <f t="shared" ref="D249:D266" si="1">D248-C249</f>
        <v>555</v>
      </c>
      <c r="E249" s="493">
        <f t="shared" ref="E249:E266" si="2">E248-$C$267/20</f>
        <v>493.85000000000008</v>
      </c>
      <c r="F249" s="278"/>
      <c r="G249" s="278"/>
      <c r="H249" s="60"/>
      <c r="I249" s="284"/>
      <c r="J249" s="285"/>
      <c r="K249" s="60"/>
    </row>
    <row r="250" spans="2:12" ht="15.6" x14ac:dyDescent="0.25">
      <c r="B250" s="490">
        <v>45748</v>
      </c>
      <c r="C250" s="491">
        <f>SUM(K172:K174)</f>
        <v>50</v>
      </c>
      <c r="D250" s="492">
        <f t="shared" si="1"/>
        <v>505</v>
      </c>
      <c r="E250" s="493">
        <f t="shared" si="2"/>
        <v>464.80000000000007</v>
      </c>
      <c r="F250" s="278"/>
      <c r="G250" s="278"/>
      <c r="H250" s="60"/>
      <c r="I250" s="284"/>
      <c r="J250" s="285"/>
      <c r="K250" s="60"/>
    </row>
    <row r="251" spans="2:12" ht="15.6" x14ac:dyDescent="0.25">
      <c r="B251" s="490">
        <v>45778</v>
      </c>
      <c r="C251" s="491">
        <f>SUM(K176:K177)</f>
        <v>0</v>
      </c>
      <c r="D251" s="492">
        <f t="shared" si="1"/>
        <v>505</v>
      </c>
      <c r="E251" s="493">
        <f t="shared" si="2"/>
        <v>435.75000000000006</v>
      </c>
      <c r="F251" s="278"/>
      <c r="G251" s="278"/>
      <c r="H251" s="60"/>
      <c r="I251" s="284"/>
      <c r="J251" s="285"/>
      <c r="K251" s="60"/>
    </row>
    <row r="252" spans="2:12" ht="15.6" x14ac:dyDescent="0.25">
      <c r="B252" s="490">
        <v>45809</v>
      </c>
      <c r="C252" s="491">
        <f>SUM(K179:K181)</f>
        <v>50</v>
      </c>
      <c r="D252" s="492">
        <f t="shared" si="1"/>
        <v>455</v>
      </c>
      <c r="E252" s="493">
        <f t="shared" si="2"/>
        <v>406.70000000000005</v>
      </c>
      <c r="F252" s="278"/>
      <c r="G252" s="278"/>
      <c r="H252" s="60"/>
      <c r="I252" s="284"/>
      <c r="J252" s="285"/>
      <c r="K252" s="60"/>
    </row>
    <row r="253" spans="2:12" ht="15.6" x14ac:dyDescent="0.25">
      <c r="B253" s="490">
        <v>45839</v>
      </c>
      <c r="C253" s="491">
        <f>SUM(K183:K184)</f>
        <v>0</v>
      </c>
      <c r="D253" s="492">
        <f t="shared" si="1"/>
        <v>455</v>
      </c>
      <c r="E253" s="493">
        <f t="shared" si="2"/>
        <v>377.65000000000003</v>
      </c>
      <c r="F253" s="278"/>
      <c r="G253" s="278"/>
      <c r="H253" s="60"/>
      <c r="I253" s="284"/>
      <c r="J253" s="285"/>
      <c r="K253" s="60"/>
    </row>
    <row r="254" spans="2:12" ht="15.6" x14ac:dyDescent="0.25">
      <c r="B254" s="490">
        <v>45870</v>
      </c>
      <c r="C254" s="491">
        <f>SUM(K186:K189)</f>
        <v>100</v>
      </c>
      <c r="D254" s="492">
        <f t="shared" si="1"/>
        <v>355</v>
      </c>
      <c r="E254" s="493">
        <f t="shared" si="2"/>
        <v>348.6</v>
      </c>
      <c r="F254" s="278"/>
      <c r="G254" s="278"/>
      <c r="H254" s="60"/>
      <c r="I254" s="284"/>
      <c r="J254" s="285"/>
      <c r="K254" s="60"/>
    </row>
    <row r="255" spans="2:12" ht="15.6" x14ac:dyDescent="0.25">
      <c r="B255" s="490">
        <v>45901</v>
      </c>
      <c r="C255" s="491">
        <f>SUM(K191:K193)</f>
        <v>13</v>
      </c>
      <c r="D255" s="492">
        <f t="shared" si="1"/>
        <v>342</v>
      </c>
      <c r="E255" s="493">
        <f t="shared" si="2"/>
        <v>319.55</v>
      </c>
      <c r="F255" s="278"/>
      <c r="G255" s="278"/>
      <c r="H255" s="60"/>
      <c r="I255" s="284"/>
      <c r="J255" s="285"/>
      <c r="K255" s="60"/>
    </row>
    <row r="256" spans="2:12" ht="15.6" x14ac:dyDescent="0.25">
      <c r="B256" s="490">
        <v>45931</v>
      </c>
      <c r="C256" s="491">
        <f>SUM(K195:K196)</f>
        <v>0</v>
      </c>
      <c r="D256" s="492">
        <f t="shared" si="1"/>
        <v>342</v>
      </c>
      <c r="E256" s="493">
        <f t="shared" si="2"/>
        <v>290.5</v>
      </c>
      <c r="F256" s="278"/>
      <c r="G256" s="278"/>
      <c r="H256" s="60"/>
      <c r="I256" s="284"/>
      <c r="J256" s="285"/>
      <c r="K256" s="60"/>
    </row>
    <row r="257" spans="2:11" ht="15.6" x14ac:dyDescent="0.25">
      <c r="B257" s="490">
        <v>45962</v>
      </c>
      <c r="C257" s="491">
        <f>SUM(K198:K202)</f>
        <v>46</v>
      </c>
      <c r="D257" s="492">
        <f t="shared" si="1"/>
        <v>296</v>
      </c>
      <c r="E257" s="493">
        <f t="shared" si="2"/>
        <v>261.45</v>
      </c>
      <c r="F257" s="278"/>
      <c r="G257" s="278"/>
      <c r="H257" s="60"/>
      <c r="I257" s="284"/>
      <c r="J257" s="285"/>
      <c r="K257" s="60"/>
    </row>
    <row r="258" spans="2:11" ht="15.6" x14ac:dyDescent="0.25">
      <c r="B258" s="490">
        <v>45992</v>
      </c>
      <c r="C258" s="491">
        <f>SUM(K204:K206)</f>
        <v>13</v>
      </c>
      <c r="D258" s="492">
        <f t="shared" si="1"/>
        <v>283</v>
      </c>
      <c r="E258" s="493">
        <f t="shared" si="2"/>
        <v>232.39999999999998</v>
      </c>
      <c r="F258" s="278"/>
      <c r="G258" s="278"/>
      <c r="H258" s="60"/>
      <c r="I258" s="284"/>
      <c r="J258" s="285"/>
      <c r="K258" s="60"/>
    </row>
    <row r="259" spans="2:11" ht="15.6" x14ac:dyDescent="0.25">
      <c r="B259" s="490">
        <v>46023</v>
      </c>
      <c r="C259" s="491">
        <f>SUM(K208:K209)</f>
        <v>0</v>
      </c>
      <c r="D259" s="492">
        <f t="shared" si="1"/>
        <v>283</v>
      </c>
      <c r="E259" s="493">
        <f t="shared" si="2"/>
        <v>203.34999999999997</v>
      </c>
      <c r="F259" s="278"/>
      <c r="G259" s="278"/>
      <c r="H259" s="60"/>
      <c r="I259" s="284"/>
      <c r="J259" s="285"/>
      <c r="K259" s="60"/>
    </row>
    <row r="260" spans="2:11" ht="15.6" x14ac:dyDescent="0.25">
      <c r="B260" s="490">
        <v>46054</v>
      </c>
      <c r="C260" s="491">
        <f>SUM(K211:K212)</f>
        <v>50</v>
      </c>
      <c r="D260" s="492">
        <f t="shared" si="1"/>
        <v>233</v>
      </c>
      <c r="E260" s="493">
        <f t="shared" si="2"/>
        <v>174.29999999999995</v>
      </c>
      <c r="F260" s="278"/>
      <c r="G260" s="278"/>
      <c r="H260" s="60"/>
      <c r="I260" s="284"/>
      <c r="J260" s="285"/>
      <c r="K260" s="60"/>
    </row>
    <row r="261" spans="2:11" ht="15.6" x14ac:dyDescent="0.25">
      <c r="B261" s="490">
        <v>46082</v>
      </c>
      <c r="C261" s="491">
        <f>SUM(K214:K215)</f>
        <v>63</v>
      </c>
      <c r="D261" s="492">
        <f t="shared" si="1"/>
        <v>170</v>
      </c>
      <c r="E261" s="493">
        <f t="shared" si="2"/>
        <v>145.24999999999994</v>
      </c>
      <c r="F261" s="278"/>
      <c r="G261" s="278"/>
      <c r="H261" s="60"/>
      <c r="I261" s="284"/>
      <c r="J261" s="285"/>
      <c r="K261" s="60"/>
    </row>
    <row r="262" spans="2:11" ht="15.6" x14ac:dyDescent="0.25">
      <c r="B262" s="490">
        <v>46113</v>
      </c>
      <c r="C262" s="491">
        <f>SUM(K217:K219)</f>
        <v>39</v>
      </c>
      <c r="D262" s="492">
        <f t="shared" si="1"/>
        <v>131</v>
      </c>
      <c r="E262" s="493">
        <f t="shared" si="2"/>
        <v>116.19999999999995</v>
      </c>
      <c r="F262" s="278"/>
      <c r="G262" s="278"/>
      <c r="H262" s="60"/>
      <c r="I262" s="284"/>
      <c r="J262" s="285"/>
      <c r="K262" s="60"/>
    </row>
    <row r="263" spans="2:11" ht="15.6" x14ac:dyDescent="0.25">
      <c r="B263" s="490">
        <v>46143</v>
      </c>
      <c r="C263" s="491">
        <f>SUM(K225:K227)</f>
        <v>26</v>
      </c>
      <c r="D263" s="492">
        <f t="shared" si="1"/>
        <v>105</v>
      </c>
      <c r="E263" s="493">
        <f t="shared" si="2"/>
        <v>87.149999999999949</v>
      </c>
      <c r="F263" s="278"/>
      <c r="G263" s="278"/>
      <c r="H263" s="60"/>
      <c r="I263" s="284"/>
      <c r="J263" s="285"/>
      <c r="K263" s="60"/>
    </row>
    <row r="264" spans="2:11" ht="15.6" x14ac:dyDescent="0.25">
      <c r="B264" s="490">
        <v>46174</v>
      </c>
      <c r="C264" s="491">
        <f>SUM(K225:K227)</f>
        <v>26</v>
      </c>
      <c r="D264" s="492">
        <f t="shared" si="1"/>
        <v>79</v>
      </c>
      <c r="E264" s="493">
        <f t="shared" si="2"/>
        <v>58.099999999999952</v>
      </c>
      <c r="F264" s="278"/>
      <c r="G264" s="278"/>
      <c r="H264" s="60"/>
      <c r="I264" s="284"/>
      <c r="J264" s="285"/>
      <c r="K264" s="60"/>
    </row>
    <row r="265" spans="2:11" ht="15.6" x14ac:dyDescent="0.25">
      <c r="B265" s="490">
        <v>46204</v>
      </c>
      <c r="C265" s="491">
        <f>SUM(K229:K231)</f>
        <v>53</v>
      </c>
      <c r="D265" s="492">
        <f t="shared" si="1"/>
        <v>26</v>
      </c>
      <c r="E265" s="493">
        <f t="shared" si="2"/>
        <v>29.049999999999951</v>
      </c>
      <c r="F265" s="278"/>
      <c r="G265" s="278"/>
      <c r="H265" s="60"/>
      <c r="I265" s="284"/>
      <c r="J265" s="285"/>
      <c r="K265" s="60"/>
    </row>
    <row r="266" spans="2:11" ht="16.2" thickBot="1" x14ac:dyDescent="0.3">
      <c r="B266" s="494">
        <v>46235</v>
      </c>
      <c r="C266" s="495">
        <f>SUM(K233:K234)</f>
        <v>26</v>
      </c>
      <c r="D266" s="496">
        <f t="shared" si="1"/>
        <v>0</v>
      </c>
      <c r="E266" s="497">
        <f t="shared" si="2"/>
        <v>-4.9737991503207013E-14</v>
      </c>
      <c r="F266" s="278"/>
      <c r="G266" s="278"/>
      <c r="H266" s="60"/>
      <c r="I266" s="284"/>
      <c r="J266" s="285"/>
      <c r="K266" s="60"/>
    </row>
    <row r="267" spans="2:11" ht="15.6" x14ac:dyDescent="0.25">
      <c r="B267" s="498" t="s">
        <v>155</v>
      </c>
      <c r="C267" s="498">
        <f>SUM(C247:C266)</f>
        <v>581</v>
      </c>
      <c r="D267" s="499"/>
      <c r="E267" s="365"/>
      <c r="F267" s="278"/>
      <c r="G267" s="278"/>
      <c r="H267" s="60"/>
      <c r="I267" s="284"/>
      <c r="J267" s="285"/>
      <c r="K267" s="60"/>
    </row>
    <row r="268" spans="2:11" x14ac:dyDescent="0.25">
      <c r="B268" s="60"/>
      <c r="C268" s="60"/>
      <c r="D268" s="61"/>
      <c r="E268" s="60"/>
      <c r="F268" s="278"/>
      <c r="G268" s="278"/>
      <c r="H268" s="60"/>
      <c r="I268" s="284"/>
      <c r="J268" s="285"/>
      <c r="K268" s="60"/>
    </row>
    <row r="269" spans="2:11" x14ac:dyDescent="0.25">
      <c r="B269" s="60"/>
      <c r="C269" s="60"/>
      <c r="D269" s="61"/>
      <c r="E269" s="60"/>
      <c r="G269" s="278"/>
      <c r="H269" s="60"/>
      <c r="I269" s="284"/>
      <c r="J269" s="285"/>
      <c r="K269" s="60"/>
    </row>
    <row r="270" spans="2:11" x14ac:dyDescent="0.25">
      <c r="B270" s="60"/>
      <c r="C270" s="60"/>
      <c r="D270" s="61"/>
      <c r="E270" s="60"/>
      <c r="F270" s="278"/>
      <c r="G270" s="278"/>
      <c r="H270" s="60"/>
      <c r="I270" s="284"/>
      <c r="J270" s="285"/>
      <c r="K270" s="60"/>
    </row>
    <row r="271" spans="2:11" x14ac:dyDescent="0.25">
      <c r="B271" s="60"/>
      <c r="C271" s="60"/>
      <c r="D271" s="61"/>
      <c r="E271" s="60"/>
      <c r="F271" s="278"/>
      <c r="G271" s="278"/>
      <c r="H271" s="60"/>
      <c r="I271" s="284"/>
      <c r="J271" s="285"/>
      <c r="K271" s="60"/>
    </row>
    <row r="272" spans="2:11" x14ac:dyDescent="0.25">
      <c r="B272" s="60"/>
      <c r="C272" s="60"/>
      <c r="D272" s="61"/>
      <c r="E272" s="60"/>
      <c r="F272" s="278"/>
      <c r="G272" s="278"/>
      <c r="H272" s="60"/>
      <c r="I272" s="284"/>
      <c r="J272" s="285"/>
      <c r="K272" s="60"/>
    </row>
    <row r="273" spans="2:11" x14ac:dyDescent="0.25">
      <c r="B273" s="60"/>
      <c r="C273" s="60"/>
      <c r="D273" s="61"/>
      <c r="E273" s="60"/>
      <c r="F273" s="278"/>
      <c r="G273" s="278"/>
      <c r="H273" s="60"/>
      <c r="I273" s="284"/>
      <c r="J273" s="285"/>
      <c r="K273" s="60"/>
    </row>
    <row r="274" spans="2:11" x14ac:dyDescent="0.25">
      <c r="B274" s="60"/>
      <c r="C274" s="60"/>
      <c r="D274" s="61"/>
      <c r="E274" s="60"/>
      <c r="F274" s="278"/>
      <c r="G274" s="278"/>
      <c r="H274" s="60"/>
      <c r="I274" s="284"/>
      <c r="J274" s="285"/>
      <c r="K274" s="60"/>
    </row>
    <row r="275" spans="2:11" x14ac:dyDescent="0.25">
      <c r="B275" s="60"/>
      <c r="C275" s="60"/>
      <c r="D275" s="61"/>
      <c r="E275" s="60"/>
      <c r="F275" s="278"/>
      <c r="G275" s="278"/>
      <c r="H275" s="60"/>
      <c r="I275" s="284"/>
      <c r="J275" s="285"/>
      <c r="K275" s="60"/>
    </row>
    <row r="276" spans="2:11" x14ac:dyDescent="0.25">
      <c r="B276" s="60"/>
      <c r="C276" s="60"/>
      <c r="D276" s="61"/>
      <c r="E276" s="60"/>
      <c r="F276" s="278"/>
      <c r="G276" s="278"/>
      <c r="H276" s="60"/>
      <c r="I276" s="284"/>
      <c r="J276" s="285"/>
      <c r="K276" s="60"/>
    </row>
    <row r="277" spans="2:11" x14ac:dyDescent="0.25">
      <c r="B277" s="60"/>
      <c r="C277" s="60"/>
      <c r="D277" s="61"/>
      <c r="E277" s="60"/>
      <c r="F277" s="278"/>
      <c r="G277" s="278"/>
      <c r="H277" s="60"/>
      <c r="I277" s="284"/>
      <c r="J277" s="285"/>
      <c r="K277" s="60"/>
    </row>
    <row r="278" spans="2:11" x14ac:dyDescent="0.25">
      <c r="B278" s="60"/>
      <c r="C278" s="60"/>
      <c r="D278" s="61"/>
      <c r="E278" s="60"/>
      <c r="F278" s="278"/>
      <c r="G278" s="278"/>
      <c r="H278" s="60"/>
      <c r="I278" s="284"/>
      <c r="J278" s="285"/>
      <c r="K278" s="60"/>
    </row>
    <row r="279" spans="2:11" x14ac:dyDescent="0.25">
      <c r="B279" s="60"/>
      <c r="C279" s="60"/>
      <c r="D279" s="61"/>
      <c r="E279" s="60"/>
      <c r="F279" s="278"/>
      <c r="G279" s="278"/>
      <c r="H279" s="60"/>
      <c r="I279" s="284"/>
      <c r="J279" s="285"/>
      <c r="K279" s="60"/>
    </row>
    <row r="280" spans="2:11" x14ac:dyDescent="0.25">
      <c r="B280" s="60"/>
      <c r="C280" s="60"/>
      <c r="D280" s="61"/>
      <c r="E280" s="60"/>
      <c r="F280" s="278"/>
      <c r="G280" s="278"/>
      <c r="H280" s="60"/>
      <c r="I280" s="284"/>
      <c r="J280" s="285"/>
      <c r="K280" s="60"/>
    </row>
    <row r="281" spans="2:11" x14ac:dyDescent="0.25">
      <c r="B281" s="60"/>
      <c r="C281" s="60"/>
      <c r="D281" s="61"/>
      <c r="F281" s="278"/>
      <c r="G281" s="278"/>
      <c r="H281" s="60"/>
      <c r="I281" s="284"/>
      <c r="J281" s="285"/>
      <c r="K281" s="60"/>
    </row>
    <row r="282" spans="2:11" x14ac:dyDescent="0.25">
      <c r="B282" s="60"/>
      <c r="C282" s="60"/>
      <c r="D282" s="61"/>
      <c r="E282" s="60"/>
      <c r="F282" s="278"/>
      <c r="G282" s="278"/>
      <c r="H282" s="60"/>
      <c r="I282" s="284"/>
      <c r="J282" s="285"/>
      <c r="K282" s="60"/>
    </row>
    <row r="283" spans="2:11" x14ac:dyDescent="0.25">
      <c r="B283" s="60"/>
      <c r="C283" s="60"/>
      <c r="D283" s="61"/>
      <c r="E283" s="60"/>
      <c r="F283" s="278"/>
      <c r="G283" s="278"/>
      <c r="H283" s="60"/>
      <c r="I283" s="284"/>
      <c r="J283" s="285"/>
      <c r="K283" s="60"/>
    </row>
    <row r="284" spans="2:11" x14ac:dyDescent="0.25">
      <c r="B284" s="60"/>
      <c r="C284" s="60"/>
      <c r="D284" s="61"/>
      <c r="E284" s="60"/>
      <c r="F284" s="278"/>
      <c r="G284" s="278"/>
      <c r="H284" s="60"/>
      <c r="I284" s="284"/>
      <c r="J284" s="285"/>
      <c r="K284" s="60"/>
    </row>
    <row r="285" spans="2:11" x14ac:dyDescent="0.25">
      <c r="B285" s="60"/>
      <c r="C285" s="60"/>
      <c r="D285" s="61"/>
      <c r="E285" s="60"/>
      <c r="F285" s="278"/>
      <c r="G285" s="278"/>
      <c r="H285" s="60"/>
      <c r="I285" s="284"/>
      <c r="J285" s="285"/>
      <c r="K285" s="60"/>
    </row>
    <row r="286" spans="2:11" x14ac:dyDescent="0.25">
      <c r="B286" s="60"/>
      <c r="C286" s="60"/>
      <c r="D286" s="61"/>
      <c r="E286" s="60"/>
      <c r="F286" s="278"/>
      <c r="G286" s="278"/>
      <c r="H286" s="60"/>
      <c r="I286" s="284"/>
      <c r="J286" s="285"/>
      <c r="K286" s="60"/>
    </row>
    <row r="287" spans="2:11" x14ac:dyDescent="0.25">
      <c r="B287" s="60"/>
      <c r="C287" s="60"/>
      <c r="D287" s="61"/>
      <c r="E287" s="60"/>
      <c r="F287" s="278"/>
      <c r="G287" s="278"/>
      <c r="H287" s="60"/>
      <c r="I287" s="284"/>
      <c r="J287" s="285"/>
      <c r="K287" s="60"/>
    </row>
    <row r="288" spans="2:11" x14ac:dyDescent="0.25">
      <c r="B288" s="60"/>
      <c r="C288" s="60"/>
      <c r="D288" s="61"/>
      <c r="E288" s="60"/>
      <c r="F288" s="278"/>
      <c r="G288" s="278"/>
      <c r="H288" s="60"/>
      <c r="I288" s="284"/>
      <c r="J288" s="285"/>
      <c r="K288" s="60"/>
    </row>
    <row r="289" spans="2:11" x14ac:dyDescent="0.25">
      <c r="B289" s="60"/>
      <c r="C289" s="60"/>
      <c r="D289" s="61"/>
      <c r="E289" s="60"/>
      <c r="F289" s="278"/>
      <c r="G289" s="278"/>
      <c r="H289" s="60"/>
      <c r="I289" s="284"/>
      <c r="J289" s="285"/>
      <c r="K289" s="60"/>
    </row>
    <row r="290" spans="2:11" x14ac:dyDescent="0.25">
      <c r="B290" s="60"/>
      <c r="C290" s="60"/>
      <c r="D290" s="61"/>
      <c r="E290" s="60"/>
      <c r="F290" s="278"/>
      <c r="G290" s="278"/>
      <c r="H290" s="60"/>
      <c r="I290" s="284"/>
      <c r="J290" s="285"/>
      <c r="K290" s="60"/>
    </row>
    <row r="291" spans="2:11" x14ac:dyDescent="0.25">
      <c r="B291" s="60"/>
      <c r="C291" s="60"/>
      <c r="D291" s="61"/>
      <c r="E291" s="60"/>
      <c r="F291" s="278"/>
      <c r="G291" s="278"/>
      <c r="H291" s="60"/>
      <c r="I291" s="284"/>
      <c r="J291" s="285"/>
      <c r="K291" s="60"/>
    </row>
    <row r="292" spans="2:11" x14ac:dyDescent="0.25">
      <c r="B292" s="291"/>
      <c r="C292" s="60"/>
      <c r="D292" s="61"/>
      <c r="E292" s="60"/>
      <c r="F292" s="278"/>
      <c r="G292" s="278"/>
      <c r="H292" s="60"/>
      <c r="I292" s="284"/>
      <c r="J292" s="285"/>
      <c r="K292" s="60"/>
    </row>
    <row r="293" spans="2:11" x14ac:dyDescent="0.25">
      <c r="B293" s="296"/>
      <c r="C293" s="60"/>
      <c r="D293" s="61"/>
      <c r="E293" s="60"/>
      <c r="F293" s="278"/>
      <c r="G293" s="278"/>
      <c r="H293" s="60"/>
      <c r="I293" s="284"/>
      <c r="J293" s="285"/>
      <c r="K293" s="60"/>
    </row>
    <row r="294" spans="2:11" x14ac:dyDescent="0.25">
      <c r="B294" s="60"/>
      <c r="C294" s="60"/>
      <c r="D294" s="61"/>
      <c r="E294" s="60"/>
      <c r="F294" s="278"/>
      <c r="G294" s="278"/>
      <c r="H294" s="60"/>
      <c r="I294" s="284"/>
      <c r="J294" s="285"/>
      <c r="K294" s="60"/>
    </row>
    <row r="295" spans="2:11" ht="15.6" x14ac:dyDescent="0.25">
      <c r="B295" s="313" t="s">
        <v>538</v>
      </c>
      <c r="C295" s="60"/>
      <c r="D295" s="61"/>
      <c r="E295" s="60"/>
      <c r="F295" s="278"/>
      <c r="G295" s="278"/>
      <c r="H295" s="60"/>
      <c r="I295" s="284"/>
      <c r="J295" s="285"/>
      <c r="K295" s="60"/>
    </row>
    <row r="296" spans="2:11" ht="15.6" x14ac:dyDescent="0.25">
      <c r="B296" s="500" t="s">
        <v>541</v>
      </c>
      <c r="C296" s="60"/>
      <c r="D296" s="61"/>
      <c r="E296" s="60"/>
      <c r="F296" s="278"/>
      <c r="G296" s="278"/>
      <c r="H296" s="60"/>
      <c r="I296" s="284"/>
      <c r="J296" s="285"/>
      <c r="K296" s="60"/>
    </row>
    <row r="297" spans="2:11" ht="15.6" x14ac:dyDescent="0.3">
      <c r="B297" s="501" t="s">
        <v>542</v>
      </c>
      <c r="C297" s="60"/>
      <c r="D297" s="61"/>
      <c r="E297" s="60"/>
      <c r="F297" s="278"/>
      <c r="G297" s="278"/>
      <c r="H297" s="60"/>
      <c r="I297" s="284"/>
      <c r="J297" s="285"/>
      <c r="K297" s="60"/>
    </row>
    <row r="298" spans="2:11" ht="15.6" x14ac:dyDescent="0.3">
      <c r="B298" s="501" t="s">
        <v>539</v>
      </c>
      <c r="C298" s="60"/>
      <c r="D298" s="61"/>
      <c r="E298" s="60"/>
      <c r="F298" s="278"/>
      <c r="G298" s="278"/>
      <c r="H298" s="60"/>
      <c r="I298" s="284"/>
      <c r="J298" s="285"/>
      <c r="K298" s="60"/>
    </row>
    <row r="299" spans="2:11" ht="15.6" x14ac:dyDescent="0.3">
      <c r="B299" s="501" t="s">
        <v>540</v>
      </c>
      <c r="C299" s="60"/>
      <c r="D299" s="61"/>
      <c r="E299" s="60"/>
      <c r="F299" s="278"/>
      <c r="G299" s="278"/>
      <c r="H299" s="60"/>
      <c r="I299" s="284"/>
      <c r="J299" s="285"/>
      <c r="K299" s="60"/>
    </row>
    <row r="300" spans="2:11" ht="15.6" x14ac:dyDescent="0.25">
      <c r="B300" s="365"/>
      <c r="C300" s="60"/>
      <c r="D300" s="61"/>
      <c r="E300" s="60"/>
      <c r="F300" s="278"/>
      <c r="G300" s="278"/>
      <c r="H300" s="60"/>
      <c r="I300" s="284"/>
      <c r="J300" s="285"/>
      <c r="K300" s="60"/>
    </row>
    <row r="301" spans="2:11" ht="15.6" x14ac:dyDescent="0.25">
      <c r="B301" s="365"/>
      <c r="C301" s="60"/>
      <c r="D301" s="61"/>
      <c r="E301" s="60"/>
      <c r="F301" s="278"/>
      <c r="G301" s="278"/>
      <c r="H301" s="60"/>
      <c r="I301" s="284"/>
      <c r="J301" s="285"/>
      <c r="K301" s="60"/>
    </row>
    <row r="302" spans="2:11" ht="15.6" x14ac:dyDescent="0.25">
      <c r="B302" s="365"/>
      <c r="C302" s="60"/>
      <c r="D302" s="61"/>
      <c r="E302" s="60"/>
      <c r="F302" s="278"/>
      <c r="G302" s="278"/>
      <c r="H302" s="60"/>
      <c r="I302" s="284"/>
      <c r="J302" s="285"/>
      <c r="K302" s="60"/>
    </row>
    <row r="303" spans="2:11" x14ac:dyDescent="0.25">
      <c r="B303" s="60"/>
      <c r="C303" s="60"/>
      <c r="D303" s="61"/>
      <c r="E303" s="60"/>
      <c r="F303" s="278"/>
      <c r="G303" s="278"/>
      <c r="H303" s="60"/>
      <c r="I303" s="284"/>
      <c r="J303" s="285"/>
      <c r="K303" s="60"/>
    </row>
    <row r="304" spans="2:11" x14ac:dyDescent="0.25">
      <c r="B304" s="60"/>
      <c r="C304" s="60"/>
      <c r="D304" s="61"/>
      <c r="E304" s="60"/>
      <c r="F304" s="278"/>
      <c r="G304" s="278"/>
      <c r="H304" s="60"/>
      <c r="I304" s="284"/>
      <c r="J304" s="285"/>
      <c r="K304" s="60"/>
    </row>
    <row r="305" spans="2:11" x14ac:dyDescent="0.25">
      <c r="B305" s="60"/>
      <c r="C305" s="60"/>
      <c r="D305" s="61"/>
      <c r="E305" s="60"/>
      <c r="F305" s="278"/>
      <c r="G305" s="278"/>
      <c r="H305" s="60"/>
      <c r="I305" s="284"/>
      <c r="J305" s="285"/>
      <c r="K305" s="60"/>
    </row>
    <row r="306" spans="2:11" x14ac:dyDescent="0.25">
      <c r="B306" s="60"/>
      <c r="C306" s="60"/>
      <c r="D306" s="61"/>
      <c r="E306" s="60"/>
      <c r="F306" s="278"/>
      <c r="G306" s="278"/>
      <c r="H306" s="60"/>
      <c r="I306" s="284"/>
      <c r="J306" s="285"/>
      <c r="K306" s="60"/>
    </row>
    <row r="307" spans="2:11" x14ac:dyDescent="0.25">
      <c r="B307" s="60"/>
      <c r="C307" s="60"/>
      <c r="D307" s="61"/>
      <c r="E307" s="60"/>
      <c r="F307" s="278"/>
      <c r="G307" s="278"/>
      <c r="H307" s="60"/>
      <c r="I307" s="284"/>
      <c r="J307" s="285"/>
      <c r="K307" s="60"/>
    </row>
    <row r="308" spans="2:11" x14ac:dyDescent="0.25">
      <c r="B308" s="60"/>
      <c r="C308" s="60"/>
      <c r="D308" s="61"/>
      <c r="E308" s="60"/>
      <c r="F308" s="278"/>
      <c r="G308" s="278"/>
      <c r="H308" s="60"/>
      <c r="I308" s="284"/>
      <c r="J308" s="285"/>
      <c r="K308" s="60"/>
    </row>
    <row r="309" spans="2:11" x14ac:dyDescent="0.25">
      <c r="B309" s="60"/>
      <c r="C309" s="60"/>
      <c r="D309" s="61"/>
      <c r="E309" s="60"/>
      <c r="F309" s="278"/>
      <c r="G309" s="278"/>
      <c r="H309" s="60"/>
      <c r="I309" s="284"/>
      <c r="J309" s="285"/>
      <c r="K309" s="60"/>
    </row>
    <row r="310" spans="2:11" x14ac:dyDescent="0.25">
      <c r="B310" s="60"/>
      <c r="C310" s="60"/>
      <c r="D310" s="61"/>
      <c r="E310" s="60"/>
      <c r="F310" s="278"/>
      <c r="G310" s="278"/>
      <c r="H310" s="60"/>
      <c r="I310" s="284"/>
      <c r="J310" s="285"/>
      <c r="K310" s="60"/>
    </row>
    <row r="311" spans="2:11" x14ac:dyDescent="0.25">
      <c r="B311" s="60"/>
      <c r="C311" s="60"/>
      <c r="D311" s="61"/>
      <c r="E311" s="60"/>
      <c r="F311" s="278"/>
      <c r="G311" s="278"/>
      <c r="H311" s="60"/>
      <c r="I311" s="284"/>
      <c r="J311" s="285"/>
      <c r="K311" s="60"/>
    </row>
    <row r="312" spans="2:11" x14ac:dyDescent="0.25">
      <c r="B312" s="60"/>
      <c r="C312" s="60"/>
      <c r="D312" s="61"/>
      <c r="E312" s="60"/>
      <c r="F312" s="278"/>
      <c r="G312" s="278"/>
      <c r="H312" s="60"/>
      <c r="I312" s="284"/>
      <c r="J312" s="285"/>
      <c r="K312" s="60"/>
    </row>
    <row r="313" spans="2:11" x14ac:dyDescent="0.25">
      <c r="B313" s="60"/>
      <c r="C313" s="60"/>
      <c r="D313" s="61"/>
      <c r="E313" s="60"/>
      <c r="F313" s="278"/>
      <c r="G313" s="278"/>
      <c r="H313" s="60"/>
      <c r="I313" s="285"/>
      <c r="J313" s="285"/>
      <c r="K313" s="60"/>
    </row>
    <row r="314" spans="2:11" x14ac:dyDescent="0.25">
      <c r="B314" s="60"/>
      <c r="C314" s="60"/>
      <c r="D314" s="61"/>
      <c r="E314" s="60"/>
      <c r="F314" s="278"/>
      <c r="G314" s="278"/>
      <c r="H314" s="60"/>
      <c r="I314" s="285"/>
      <c r="J314" s="285"/>
      <c r="K314" s="60"/>
    </row>
    <row r="315" spans="2:11" x14ac:dyDescent="0.25">
      <c r="B315" s="60"/>
      <c r="C315" s="60"/>
      <c r="D315" s="61"/>
      <c r="E315" s="60"/>
      <c r="F315" s="278"/>
      <c r="G315" s="278"/>
      <c r="H315" s="60"/>
      <c r="I315" s="285"/>
      <c r="J315" s="285"/>
      <c r="K315" s="60"/>
    </row>
    <row r="316" spans="2:11" x14ac:dyDescent="0.25">
      <c r="B316" s="60"/>
      <c r="C316" s="60"/>
      <c r="D316" s="61"/>
      <c r="E316" s="60"/>
      <c r="F316" s="278"/>
      <c r="G316" s="278"/>
      <c r="H316" s="60"/>
      <c r="I316" s="285"/>
      <c r="J316" s="285"/>
      <c r="K316" s="60"/>
    </row>
    <row r="317" spans="2:11" x14ac:dyDescent="0.25">
      <c r="B317" s="60"/>
      <c r="C317" s="60"/>
      <c r="D317" s="61"/>
      <c r="E317" s="60"/>
      <c r="F317" s="278"/>
      <c r="G317" s="278"/>
      <c r="H317" s="60"/>
      <c r="I317" s="285"/>
      <c r="J317" s="285"/>
      <c r="K317" s="60"/>
    </row>
    <row r="318" spans="2:11" x14ac:dyDescent="0.25">
      <c r="B318" s="60"/>
      <c r="C318" s="60"/>
      <c r="D318" s="61"/>
      <c r="E318" s="60"/>
      <c r="F318" s="278"/>
      <c r="G318" s="278"/>
      <c r="H318" s="60"/>
      <c r="I318" s="285"/>
      <c r="J318" s="285"/>
      <c r="K318" s="60"/>
    </row>
    <row r="319" spans="2:11" x14ac:dyDescent="0.25">
      <c r="B319" s="60"/>
      <c r="C319" s="60"/>
      <c r="D319" s="61"/>
      <c r="E319" s="60"/>
      <c r="F319" s="278"/>
      <c r="G319" s="278"/>
      <c r="H319" s="60"/>
      <c r="I319" s="285"/>
      <c r="J319" s="285"/>
      <c r="K319" s="60"/>
    </row>
    <row r="320" spans="2:11" x14ac:dyDescent="0.25">
      <c r="B320" s="60"/>
      <c r="C320" s="60"/>
      <c r="D320" s="61"/>
      <c r="E320" s="60"/>
      <c r="F320" s="278"/>
      <c r="G320" s="278"/>
      <c r="H320" s="60"/>
      <c r="I320" s="285"/>
      <c r="J320" s="285"/>
      <c r="K320" s="60"/>
    </row>
    <row r="321" spans="2:11" x14ac:dyDescent="0.25">
      <c r="B321" s="60"/>
      <c r="C321" s="60"/>
      <c r="D321" s="61"/>
      <c r="E321" s="60"/>
      <c r="F321" s="278"/>
      <c r="G321" s="278"/>
      <c r="H321" s="60"/>
      <c r="I321" s="285"/>
      <c r="J321" s="285"/>
      <c r="K321" s="60"/>
    </row>
    <row r="322" spans="2:11" x14ac:dyDescent="0.25">
      <c r="B322" s="60"/>
      <c r="C322" s="60"/>
      <c r="D322" s="61"/>
      <c r="E322" s="60"/>
      <c r="F322" s="278"/>
      <c r="G322" s="278"/>
      <c r="H322" s="60"/>
      <c r="I322" s="285"/>
      <c r="J322" s="285"/>
      <c r="K322" s="60"/>
    </row>
    <row r="323" spans="2:11" x14ac:dyDescent="0.25">
      <c r="B323" s="60"/>
      <c r="C323" s="60"/>
      <c r="D323" s="61"/>
      <c r="E323" s="60"/>
      <c r="F323" s="278"/>
      <c r="G323" s="278"/>
      <c r="H323" s="60"/>
      <c r="I323" s="285"/>
      <c r="J323" s="285"/>
      <c r="K323" s="60"/>
    </row>
    <row r="324" spans="2:11" x14ac:dyDescent="0.25">
      <c r="B324" s="60"/>
      <c r="C324" s="60"/>
      <c r="D324" s="61"/>
      <c r="E324" s="60"/>
      <c r="F324" s="278"/>
      <c r="G324" s="278"/>
      <c r="H324" s="60"/>
      <c r="I324" s="285"/>
      <c r="J324" s="285"/>
      <c r="K324" s="60"/>
    </row>
    <row r="325" spans="2:11" x14ac:dyDescent="0.25">
      <c r="B325" s="60"/>
      <c r="C325" s="60"/>
      <c r="D325" s="61"/>
      <c r="E325" s="60"/>
      <c r="F325" s="278"/>
      <c r="G325" s="278"/>
      <c r="H325" s="60"/>
      <c r="I325" s="285"/>
      <c r="J325" s="285"/>
      <c r="K325" s="60"/>
    </row>
    <row r="326" spans="2:11" x14ac:dyDescent="0.25">
      <c r="B326" s="60"/>
      <c r="C326" s="60"/>
      <c r="D326" s="61"/>
      <c r="E326" s="60"/>
      <c r="F326" s="278"/>
      <c r="G326" s="278"/>
      <c r="H326" s="60"/>
      <c r="I326" s="285"/>
      <c r="J326" s="285"/>
      <c r="K326" s="60"/>
    </row>
    <row r="327" spans="2:11" x14ac:dyDescent="0.25">
      <c r="B327" s="60"/>
      <c r="C327" s="60"/>
      <c r="D327" s="61"/>
      <c r="E327" s="60"/>
      <c r="F327" s="278"/>
      <c r="G327" s="278"/>
      <c r="H327" s="60"/>
      <c r="I327" s="285"/>
      <c r="J327" s="285"/>
      <c r="K327" s="60"/>
    </row>
    <row r="328" spans="2:11" x14ac:dyDescent="0.25">
      <c r="B328" s="60"/>
      <c r="C328" s="60"/>
      <c r="D328" s="61"/>
      <c r="E328" s="60"/>
      <c r="F328" s="278"/>
      <c r="G328" s="278"/>
      <c r="H328" s="60"/>
      <c r="I328" s="285"/>
      <c r="J328" s="285"/>
      <c r="K328" s="60"/>
    </row>
    <row r="329" spans="2:11" x14ac:dyDescent="0.25">
      <c r="B329" s="60"/>
      <c r="C329" s="60"/>
      <c r="D329" s="61"/>
      <c r="E329" s="60"/>
      <c r="F329" s="278"/>
      <c r="G329" s="278"/>
      <c r="H329" s="60"/>
      <c r="I329" s="285"/>
      <c r="J329" s="285"/>
      <c r="K329" s="60"/>
    </row>
    <row r="330" spans="2:11" x14ac:dyDescent="0.25">
      <c r="B330" s="60"/>
      <c r="C330" s="60"/>
      <c r="D330" s="61"/>
      <c r="E330" s="60"/>
      <c r="F330" s="278"/>
      <c r="G330" s="278"/>
      <c r="H330" s="60"/>
      <c r="I330" s="285"/>
      <c r="J330" s="285"/>
      <c r="K330" s="60"/>
    </row>
    <row r="331" spans="2:11" x14ac:dyDescent="0.25">
      <c r="B331" s="60"/>
      <c r="C331" s="60"/>
      <c r="D331" s="61"/>
      <c r="E331" s="60"/>
      <c r="F331" s="278"/>
      <c r="G331" s="278"/>
      <c r="H331" s="60"/>
      <c r="I331" s="285"/>
      <c r="J331" s="285"/>
      <c r="K331" s="60"/>
    </row>
    <row r="332" spans="2:11" x14ac:dyDescent="0.25">
      <c r="B332" s="60"/>
      <c r="C332" s="60"/>
      <c r="D332" s="61"/>
      <c r="E332" s="60"/>
      <c r="F332" s="278"/>
      <c r="G332" s="278"/>
      <c r="H332" s="60"/>
      <c r="I332" s="285"/>
      <c r="J332" s="285"/>
      <c r="K332" s="60"/>
    </row>
    <row r="333" spans="2:11" x14ac:dyDescent="0.25">
      <c r="B333" s="60"/>
      <c r="C333" s="60"/>
      <c r="D333" s="61"/>
      <c r="E333" s="60"/>
      <c r="F333" s="278"/>
      <c r="G333" s="278"/>
      <c r="H333" s="60"/>
      <c r="I333" s="285"/>
      <c r="J333" s="285"/>
      <c r="K333" s="60"/>
    </row>
    <row r="334" spans="2:11" x14ac:dyDescent="0.25">
      <c r="B334" s="60"/>
      <c r="C334" s="60"/>
      <c r="D334" s="61"/>
      <c r="E334" s="60"/>
      <c r="F334" s="278"/>
      <c r="G334" s="278"/>
      <c r="H334" s="60"/>
      <c r="I334" s="285"/>
      <c r="J334" s="285"/>
      <c r="K334" s="60"/>
    </row>
    <row r="335" spans="2:11" x14ac:dyDescent="0.25">
      <c r="B335" s="60"/>
      <c r="C335" s="60"/>
      <c r="D335" s="61"/>
      <c r="E335" s="60"/>
      <c r="F335" s="278"/>
      <c r="G335" s="278"/>
      <c r="H335" s="60"/>
      <c r="I335" s="285"/>
      <c r="J335" s="285"/>
      <c r="K335" s="60"/>
    </row>
    <row r="336" spans="2:11" x14ac:dyDescent="0.25">
      <c r="B336" s="60"/>
      <c r="C336" s="60"/>
      <c r="D336" s="61"/>
      <c r="E336" s="60"/>
      <c r="F336" s="278"/>
      <c r="G336" s="278"/>
      <c r="H336" s="60"/>
      <c r="I336" s="285"/>
      <c r="J336" s="285"/>
      <c r="K336" s="60"/>
    </row>
    <row r="337" spans="2:11" x14ac:dyDescent="0.25">
      <c r="B337" s="60"/>
      <c r="C337" s="60"/>
      <c r="D337" s="61"/>
      <c r="E337" s="60"/>
      <c r="F337" s="278"/>
      <c r="G337" s="278"/>
      <c r="H337" s="60"/>
      <c r="I337" s="279"/>
      <c r="J337" s="279"/>
      <c r="K337" s="60"/>
    </row>
    <row r="338" spans="2:11" x14ac:dyDescent="0.25">
      <c r="B338" s="60"/>
      <c r="C338" s="60"/>
      <c r="D338" s="61"/>
      <c r="E338" s="60"/>
      <c r="F338" s="278"/>
      <c r="G338" s="278"/>
      <c r="H338" s="60"/>
      <c r="I338" s="279"/>
      <c r="J338" s="279"/>
      <c r="K338" s="60"/>
    </row>
    <row r="339" spans="2:11" x14ac:dyDescent="0.25">
      <c r="B339" s="60"/>
      <c r="C339" s="60"/>
      <c r="D339" s="61"/>
      <c r="E339" s="60"/>
      <c r="F339" s="278"/>
      <c r="G339" s="278"/>
      <c r="H339" s="60"/>
      <c r="I339" s="279"/>
      <c r="J339" s="279"/>
      <c r="K339" s="60"/>
    </row>
    <row r="340" spans="2:11" x14ac:dyDescent="0.25">
      <c r="B340" s="60"/>
      <c r="C340" s="60"/>
      <c r="D340" s="61"/>
      <c r="E340" s="60"/>
      <c r="F340" s="278"/>
      <c r="G340" s="278"/>
      <c r="H340" s="60"/>
      <c r="I340" s="279"/>
      <c r="J340" s="279"/>
      <c r="K340" s="60"/>
    </row>
    <row r="341" spans="2:11" x14ac:dyDescent="0.25">
      <c r="B341" s="60"/>
      <c r="C341" s="60"/>
      <c r="D341" s="61"/>
      <c r="E341" s="60"/>
      <c r="F341" s="278"/>
      <c r="G341" s="278"/>
      <c r="H341" s="60"/>
      <c r="I341" s="279"/>
      <c r="J341" s="279"/>
      <c r="K341" s="60"/>
    </row>
    <row r="342" spans="2:11" x14ac:dyDescent="0.25">
      <c r="B342" s="60"/>
      <c r="C342" s="60"/>
      <c r="D342" s="61"/>
      <c r="E342" s="60"/>
      <c r="F342" s="278"/>
      <c r="G342" s="278"/>
      <c r="H342" s="60"/>
      <c r="I342" s="279"/>
      <c r="J342" s="279"/>
      <c r="K342" s="60"/>
    </row>
    <row r="343" spans="2:11" x14ac:dyDescent="0.25">
      <c r="B343" s="60"/>
      <c r="C343" s="60"/>
      <c r="D343" s="61"/>
      <c r="E343" s="60"/>
      <c r="F343" s="278"/>
      <c r="G343" s="278"/>
      <c r="H343" s="60"/>
      <c r="I343" s="279"/>
      <c r="J343" s="279"/>
      <c r="K343" s="60"/>
    </row>
    <row r="344" spans="2:11" x14ac:dyDescent="0.25">
      <c r="B344" s="60"/>
      <c r="C344" s="60"/>
      <c r="D344" s="61"/>
      <c r="E344" s="60"/>
      <c r="F344" s="278"/>
      <c r="G344" s="278"/>
      <c r="H344" s="60"/>
      <c r="I344" s="279"/>
      <c r="J344" s="279"/>
      <c r="K344" s="60"/>
    </row>
    <row r="345" spans="2:11" x14ac:dyDescent="0.25">
      <c r="B345" s="60"/>
      <c r="C345" s="60"/>
      <c r="D345" s="61"/>
      <c r="E345" s="60"/>
      <c r="F345" s="278"/>
      <c r="G345" s="278"/>
      <c r="H345" s="60"/>
      <c r="I345" s="279"/>
      <c r="J345" s="279"/>
      <c r="K345" s="60"/>
    </row>
    <row r="346" spans="2:11" x14ac:dyDescent="0.25">
      <c r="B346" s="60"/>
      <c r="C346" s="60"/>
      <c r="D346" s="61"/>
      <c r="E346" s="60"/>
      <c r="F346" s="278"/>
      <c r="G346" s="278"/>
      <c r="H346" s="60"/>
      <c r="I346" s="279"/>
      <c r="J346" s="279"/>
      <c r="K346" s="60"/>
    </row>
    <row r="347" spans="2:11" x14ac:dyDescent="0.25">
      <c r="B347" s="60"/>
      <c r="C347" s="60"/>
      <c r="D347" s="61"/>
      <c r="E347" s="60"/>
      <c r="F347" s="278"/>
      <c r="G347" s="278"/>
      <c r="H347" s="60"/>
      <c r="I347" s="279"/>
      <c r="J347" s="279"/>
      <c r="K347" s="60"/>
    </row>
    <row r="348" spans="2:11" x14ac:dyDescent="0.25">
      <c r="B348" s="60"/>
      <c r="C348" s="60"/>
      <c r="D348" s="61"/>
      <c r="E348" s="60"/>
      <c r="F348" s="278"/>
      <c r="G348" s="278"/>
      <c r="H348" s="60"/>
      <c r="I348" s="279"/>
      <c r="J348" s="279"/>
      <c r="K348" s="60"/>
    </row>
    <row r="349" spans="2:11" x14ac:dyDescent="0.25">
      <c r="B349" s="60"/>
      <c r="C349" s="60"/>
      <c r="D349" s="61"/>
      <c r="E349" s="60"/>
      <c r="F349" s="278"/>
      <c r="G349" s="278"/>
      <c r="H349" s="60"/>
      <c r="I349" s="60"/>
      <c r="J349" s="60"/>
      <c r="K349" s="60"/>
    </row>
    <row r="350" spans="2:11" x14ac:dyDescent="0.25">
      <c r="B350" s="60"/>
      <c r="C350" s="60"/>
      <c r="D350" s="61"/>
      <c r="E350" s="60"/>
      <c r="F350" s="278"/>
      <c r="G350" s="278"/>
      <c r="H350" s="60"/>
      <c r="I350" s="60"/>
      <c r="J350" s="60"/>
      <c r="K350" s="60"/>
    </row>
    <row r="351" spans="2:11" x14ac:dyDescent="0.25">
      <c r="B351" s="60"/>
      <c r="C351" s="60"/>
      <c r="D351" s="61"/>
      <c r="E351" s="60"/>
      <c r="F351" s="278"/>
      <c r="G351" s="278"/>
      <c r="H351" s="60"/>
      <c r="I351" s="60"/>
      <c r="J351" s="60"/>
      <c r="K351" s="60"/>
    </row>
    <row r="352" spans="2:11" x14ac:dyDescent="0.25">
      <c r="B352" s="60"/>
      <c r="C352" s="60"/>
      <c r="D352" s="61"/>
      <c r="E352" s="60"/>
      <c r="F352" s="278"/>
      <c r="G352" s="278"/>
      <c r="H352" s="60"/>
      <c r="I352" s="60"/>
      <c r="J352" s="60"/>
      <c r="K352" s="60"/>
    </row>
    <row r="353" spans="2:11" x14ac:dyDescent="0.25">
      <c r="B353" s="60"/>
      <c r="C353" s="60"/>
      <c r="D353" s="61"/>
      <c r="E353" s="60"/>
      <c r="F353" s="278"/>
      <c r="G353" s="278"/>
      <c r="H353" s="60"/>
      <c r="I353" s="60"/>
      <c r="J353" s="60"/>
      <c r="K353" s="60"/>
    </row>
    <row r="354" spans="2:11" x14ac:dyDescent="0.25">
      <c r="B354" s="60"/>
      <c r="C354" s="60"/>
      <c r="D354" s="61"/>
      <c r="E354" s="60"/>
      <c r="F354" s="278"/>
      <c r="G354" s="278"/>
      <c r="H354" s="60"/>
      <c r="I354" s="60"/>
      <c r="J354" s="60"/>
      <c r="K354" s="60"/>
    </row>
    <row r="355" spans="2:11" x14ac:dyDescent="0.25">
      <c r="B355" s="60"/>
      <c r="C355" s="60"/>
      <c r="D355" s="61"/>
      <c r="E355" s="60"/>
      <c r="F355" s="278"/>
      <c r="G355" s="278"/>
      <c r="H355" s="60"/>
      <c r="I355" s="60"/>
      <c r="J355" s="60"/>
      <c r="K355" s="60"/>
    </row>
    <row r="356" spans="2:11" x14ac:dyDescent="0.25">
      <c r="B356" s="60"/>
      <c r="C356" s="60"/>
      <c r="D356" s="61"/>
      <c r="E356" s="60"/>
      <c r="F356" s="278"/>
      <c r="G356" s="278"/>
      <c r="H356" s="60"/>
      <c r="I356" s="60"/>
      <c r="J356" s="60"/>
      <c r="K356" s="60"/>
    </row>
    <row r="357" spans="2:11" x14ac:dyDescent="0.25">
      <c r="B357" s="60"/>
      <c r="C357" s="60"/>
      <c r="D357" s="61"/>
      <c r="E357" s="60"/>
      <c r="F357" s="278"/>
      <c r="G357" s="278"/>
      <c r="H357" s="60"/>
      <c r="I357" s="60"/>
      <c r="J357" s="60"/>
      <c r="K357" s="60"/>
    </row>
    <row r="358" spans="2:11" x14ac:dyDescent="0.25">
      <c r="B358" s="60"/>
      <c r="C358" s="60"/>
      <c r="D358" s="61"/>
      <c r="E358" s="60"/>
      <c r="F358" s="278"/>
      <c r="G358" s="278"/>
      <c r="H358" s="60"/>
      <c r="I358" s="60"/>
      <c r="J358" s="60"/>
      <c r="K358" s="60"/>
    </row>
    <row r="359" spans="2:11" x14ac:dyDescent="0.25">
      <c r="B359" s="60"/>
      <c r="C359" s="60"/>
      <c r="D359" s="61"/>
      <c r="E359" s="60"/>
      <c r="F359" s="278"/>
      <c r="G359" s="278"/>
      <c r="H359" s="60"/>
      <c r="I359" s="60"/>
      <c r="J359" s="60"/>
      <c r="K359" s="60"/>
    </row>
    <row r="360" spans="2:11" x14ac:dyDescent="0.25">
      <c r="B360" s="60"/>
      <c r="C360" s="60"/>
      <c r="D360" s="61"/>
      <c r="E360" s="60"/>
      <c r="F360" s="278"/>
      <c r="G360" s="278"/>
      <c r="H360" s="60"/>
      <c r="I360" s="60"/>
      <c r="J360" s="60"/>
      <c r="K360" s="60"/>
    </row>
    <row r="361" spans="2:11" x14ac:dyDescent="0.25">
      <c r="B361" s="60"/>
      <c r="C361" s="60"/>
      <c r="D361" s="61"/>
      <c r="E361" s="60"/>
      <c r="F361" s="278"/>
      <c r="G361" s="278"/>
      <c r="H361" s="60"/>
      <c r="I361" s="60"/>
      <c r="J361" s="60"/>
      <c r="K361" s="60"/>
    </row>
    <row r="362" spans="2:11" x14ac:dyDescent="0.25">
      <c r="B362" s="60"/>
      <c r="C362" s="60"/>
      <c r="D362" s="61"/>
      <c r="E362" s="60"/>
      <c r="F362" s="278"/>
      <c r="G362" s="278"/>
      <c r="H362" s="60"/>
      <c r="I362" s="60"/>
      <c r="J362" s="60"/>
      <c r="K362" s="60"/>
    </row>
    <row r="363" spans="2:11" x14ac:dyDescent="0.25">
      <c r="B363" s="60"/>
      <c r="C363" s="60"/>
      <c r="D363" s="61"/>
      <c r="E363" s="60"/>
      <c r="F363" s="278"/>
      <c r="G363" s="278"/>
      <c r="H363" s="60"/>
      <c r="I363" s="60"/>
      <c r="J363" s="60"/>
      <c r="K363" s="60"/>
    </row>
    <row r="364" spans="2:11" x14ac:dyDescent="0.25">
      <c r="B364" s="60"/>
      <c r="C364" s="60"/>
      <c r="D364" s="61"/>
      <c r="E364" s="60"/>
      <c r="F364" s="278"/>
      <c r="G364" s="278"/>
      <c r="H364" s="60"/>
      <c r="I364" s="60"/>
      <c r="J364" s="60"/>
      <c r="K364" s="60"/>
    </row>
    <row r="365" spans="2:11" x14ac:dyDescent="0.25">
      <c r="B365" s="60"/>
      <c r="C365" s="60"/>
      <c r="D365" s="61"/>
      <c r="E365" s="60"/>
      <c r="F365" s="278"/>
      <c r="G365" s="278"/>
      <c r="H365" s="60"/>
      <c r="I365" s="60"/>
      <c r="J365" s="60"/>
      <c r="K365" s="60"/>
    </row>
    <row r="366" spans="2:11" x14ac:dyDescent="0.25">
      <c r="B366" s="60"/>
      <c r="C366" s="60"/>
      <c r="D366" s="61"/>
      <c r="E366" s="60"/>
      <c r="F366" s="278"/>
      <c r="G366" s="278"/>
      <c r="H366" s="60"/>
      <c r="I366" s="60"/>
      <c r="J366" s="60"/>
      <c r="K366" s="60"/>
    </row>
    <row r="367" spans="2:11" x14ac:dyDescent="0.25">
      <c r="B367" s="60"/>
      <c r="C367" s="60"/>
      <c r="D367" s="61"/>
      <c r="E367" s="60"/>
      <c r="F367" s="278"/>
      <c r="G367" s="278"/>
      <c r="H367" s="60"/>
      <c r="I367" s="60"/>
      <c r="J367" s="60"/>
      <c r="K367" s="60"/>
    </row>
    <row r="368" spans="2:11" x14ac:dyDescent="0.25">
      <c r="B368" s="60"/>
      <c r="C368" s="60"/>
      <c r="D368" s="61"/>
      <c r="E368" s="60"/>
      <c r="F368" s="278"/>
      <c r="G368" s="278"/>
      <c r="H368" s="60"/>
      <c r="I368" s="60"/>
      <c r="J368" s="60"/>
      <c r="K368" s="60"/>
    </row>
    <row r="369" spans="2:11" x14ac:dyDescent="0.25">
      <c r="B369" s="60"/>
      <c r="C369" s="60"/>
      <c r="D369" s="61"/>
      <c r="E369" s="60"/>
      <c r="F369" s="278"/>
      <c r="G369" s="278"/>
      <c r="H369" s="60"/>
      <c r="I369" s="60"/>
      <c r="J369" s="60"/>
      <c r="K369" s="60"/>
    </row>
    <row r="370" spans="2:11" x14ac:dyDescent="0.25">
      <c r="B370" s="60"/>
      <c r="C370" s="60"/>
      <c r="D370" s="61"/>
      <c r="E370" s="60"/>
      <c r="F370" s="278"/>
      <c r="G370" s="278"/>
      <c r="H370" s="60"/>
      <c r="I370" s="60"/>
      <c r="J370" s="60"/>
      <c r="K370" s="60"/>
    </row>
    <row r="371" spans="2:11" x14ac:dyDescent="0.25">
      <c r="B371" s="60"/>
      <c r="C371" s="60"/>
      <c r="D371" s="61"/>
      <c r="E371" s="60"/>
      <c r="F371" s="278"/>
      <c r="G371" s="278"/>
      <c r="H371" s="60"/>
      <c r="I371" s="60"/>
      <c r="J371" s="60"/>
      <c r="K371" s="60"/>
    </row>
    <row r="372" spans="2:11" x14ac:dyDescent="0.25">
      <c r="B372" s="60"/>
      <c r="C372" s="60"/>
      <c r="D372" s="61"/>
      <c r="E372" s="60"/>
      <c r="F372" s="278"/>
      <c r="G372" s="278"/>
      <c r="H372" s="60"/>
      <c r="I372" s="60"/>
      <c r="J372" s="60"/>
      <c r="K372" s="60"/>
    </row>
    <row r="373" spans="2:11" x14ac:dyDescent="0.25">
      <c r="B373" s="60"/>
      <c r="C373" s="60"/>
      <c r="D373" s="61"/>
      <c r="E373" s="60"/>
      <c r="F373" s="278"/>
      <c r="G373" s="278"/>
      <c r="H373" s="60"/>
      <c r="I373" s="60"/>
      <c r="J373" s="60"/>
      <c r="K373" s="60"/>
    </row>
    <row r="374" spans="2:11" x14ac:dyDescent="0.25">
      <c r="B374" s="60"/>
      <c r="C374" s="60"/>
      <c r="D374" s="61"/>
      <c r="E374" s="60"/>
      <c r="F374" s="278"/>
      <c r="G374" s="278"/>
      <c r="H374" s="60"/>
      <c r="I374" s="60"/>
      <c r="J374" s="60"/>
      <c r="K374" s="60"/>
    </row>
    <row r="375" spans="2:11" x14ac:dyDescent="0.25">
      <c r="B375" s="60"/>
      <c r="C375" s="60"/>
      <c r="D375" s="61"/>
      <c r="E375" s="60"/>
      <c r="F375" s="278"/>
      <c r="G375" s="278"/>
      <c r="H375" s="60"/>
      <c r="I375" s="60"/>
      <c r="J375" s="60"/>
      <c r="K375" s="60"/>
    </row>
    <row r="376" spans="2:11" x14ac:dyDescent="0.25">
      <c r="B376" s="60"/>
      <c r="C376" s="60"/>
      <c r="D376" s="61"/>
      <c r="E376" s="60"/>
      <c r="F376" s="278"/>
      <c r="G376" s="278"/>
      <c r="H376" s="60"/>
      <c r="I376" s="60"/>
      <c r="J376" s="60"/>
      <c r="K376" s="60"/>
    </row>
    <row r="377" spans="2:11" x14ac:dyDescent="0.25">
      <c r="B377" s="60"/>
      <c r="C377" s="60"/>
      <c r="D377" s="61"/>
      <c r="E377" s="60"/>
      <c r="F377" s="278"/>
      <c r="G377" s="278"/>
      <c r="H377" s="60"/>
      <c r="I377" s="60"/>
      <c r="J377" s="60"/>
      <c r="K377" s="60"/>
    </row>
    <row r="378" spans="2:11" x14ac:dyDescent="0.25">
      <c r="B378" s="60"/>
      <c r="C378" s="60"/>
      <c r="D378" s="61"/>
      <c r="E378" s="60"/>
      <c r="F378" s="278"/>
      <c r="G378" s="278"/>
      <c r="H378" s="60"/>
      <c r="I378" s="60"/>
      <c r="J378" s="60"/>
      <c r="K378" s="60"/>
    </row>
    <row r="379" spans="2:11" x14ac:dyDescent="0.25">
      <c r="B379" s="60"/>
      <c r="C379" s="60"/>
      <c r="D379" s="61"/>
      <c r="E379" s="60"/>
      <c r="F379" s="278"/>
      <c r="G379" s="278"/>
      <c r="H379" s="60"/>
      <c r="I379" s="60"/>
      <c r="J379" s="60"/>
      <c r="K379" s="60"/>
    </row>
    <row r="380" spans="2:11" x14ac:dyDescent="0.25">
      <c r="B380" s="60"/>
      <c r="C380" s="60"/>
      <c r="D380" s="61"/>
      <c r="E380" s="60"/>
      <c r="F380" s="278"/>
      <c r="G380" s="278"/>
      <c r="H380" s="60"/>
      <c r="I380" s="60"/>
      <c r="J380" s="60"/>
      <c r="K380" s="60"/>
    </row>
    <row r="381" spans="2:11" x14ac:dyDescent="0.25">
      <c r="B381" s="60"/>
      <c r="C381" s="60"/>
      <c r="D381" s="61"/>
      <c r="E381" s="60"/>
      <c r="F381" s="278"/>
      <c r="G381" s="278"/>
      <c r="H381" s="60"/>
      <c r="I381" s="60"/>
      <c r="J381" s="60"/>
      <c r="K381" s="60"/>
    </row>
    <row r="382" spans="2:11" x14ac:dyDescent="0.25">
      <c r="B382" s="60"/>
      <c r="C382" s="60"/>
      <c r="D382" s="61"/>
      <c r="E382" s="60"/>
      <c r="F382" s="278"/>
      <c r="G382" s="278"/>
      <c r="H382" s="60"/>
      <c r="I382" s="60"/>
      <c r="J382" s="60"/>
      <c r="K382" s="60"/>
    </row>
    <row r="383" spans="2:11" x14ac:dyDescent="0.25">
      <c r="B383" s="60"/>
      <c r="C383" s="60"/>
      <c r="D383" s="61"/>
      <c r="E383" s="60"/>
      <c r="F383" s="278"/>
      <c r="G383" s="278"/>
      <c r="H383" s="60"/>
      <c r="I383" s="60"/>
      <c r="J383" s="60"/>
      <c r="K383" s="60"/>
    </row>
    <row r="384" spans="2:11" x14ac:dyDescent="0.25">
      <c r="B384" s="60"/>
      <c r="C384" s="60"/>
      <c r="D384" s="61"/>
      <c r="E384" s="60"/>
      <c r="F384" s="278"/>
      <c r="G384" s="278"/>
      <c r="H384" s="60"/>
      <c r="I384" s="60"/>
      <c r="J384" s="60"/>
      <c r="K384" s="60"/>
    </row>
    <row r="385" spans="2:11" x14ac:dyDescent="0.25">
      <c r="B385" s="60"/>
      <c r="C385" s="60"/>
      <c r="D385" s="61"/>
      <c r="E385" s="60"/>
      <c r="F385" s="278"/>
      <c r="G385" s="278"/>
      <c r="H385" s="60"/>
      <c r="I385" s="60"/>
      <c r="J385" s="60"/>
      <c r="K385" s="60"/>
    </row>
    <row r="386" spans="2:11" x14ac:dyDescent="0.25">
      <c r="B386" s="60"/>
      <c r="C386" s="60"/>
      <c r="D386" s="61"/>
      <c r="E386" s="60"/>
      <c r="F386" s="278"/>
      <c r="G386" s="278"/>
      <c r="H386" s="60"/>
      <c r="I386" s="60"/>
      <c r="J386" s="60"/>
      <c r="K386" s="60"/>
    </row>
    <row r="387" spans="2:11" x14ac:dyDescent="0.25">
      <c r="B387" s="60"/>
      <c r="C387" s="60"/>
      <c r="D387" s="61"/>
      <c r="E387" s="60"/>
      <c r="F387" s="278"/>
      <c r="G387" s="278"/>
      <c r="H387" s="60"/>
      <c r="I387" s="60"/>
      <c r="J387" s="60"/>
      <c r="K387" s="60"/>
    </row>
    <row r="388" spans="2:11" x14ac:dyDescent="0.25">
      <c r="B388" s="60"/>
      <c r="C388" s="60"/>
      <c r="D388" s="61"/>
      <c r="E388" s="60"/>
      <c r="F388" s="278"/>
      <c r="G388" s="278"/>
      <c r="H388" s="60"/>
      <c r="I388" s="60"/>
      <c r="J388" s="60"/>
      <c r="K388" s="60"/>
    </row>
    <row r="389" spans="2:11" x14ac:dyDescent="0.25">
      <c r="B389" s="60"/>
      <c r="C389" s="60"/>
      <c r="D389" s="61"/>
      <c r="E389" s="60"/>
      <c r="F389" s="278"/>
      <c r="G389" s="278"/>
      <c r="H389" s="60"/>
      <c r="I389" s="60"/>
      <c r="J389" s="60"/>
      <c r="K389" s="60"/>
    </row>
    <row r="390" spans="2:11" x14ac:dyDescent="0.25">
      <c r="B390" s="60"/>
      <c r="C390" s="60"/>
      <c r="D390" s="61"/>
      <c r="E390" s="60"/>
      <c r="F390" s="278"/>
      <c r="G390" s="278"/>
      <c r="H390" s="60"/>
      <c r="I390" s="60"/>
      <c r="J390" s="60"/>
      <c r="K390" s="60"/>
    </row>
    <row r="391" spans="2:11" x14ac:dyDescent="0.25">
      <c r="B391" s="60"/>
      <c r="C391" s="60"/>
      <c r="D391" s="61"/>
      <c r="E391" s="60"/>
      <c r="F391" s="278"/>
      <c r="G391" s="278"/>
      <c r="H391" s="60"/>
      <c r="I391" s="60"/>
      <c r="J391" s="60"/>
      <c r="K391" s="60"/>
    </row>
    <row r="392" spans="2:11" x14ac:dyDescent="0.25">
      <c r="B392" s="60"/>
      <c r="C392" s="60"/>
      <c r="D392" s="61"/>
      <c r="E392" s="60"/>
      <c r="F392" s="278"/>
      <c r="G392" s="278"/>
      <c r="H392" s="60"/>
      <c r="I392" s="60"/>
      <c r="J392" s="60"/>
      <c r="K392" s="60"/>
    </row>
    <row r="393" spans="2:11" x14ac:dyDescent="0.25">
      <c r="B393" s="60"/>
      <c r="C393" s="60"/>
      <c r="D393" s="61"/>
      <c r="E393" s="60"/>
      <c r="F393" s="278"/>
      <c r="G393" s="278"/>
      <c r="H393" s="60"/>
      <c r="I393" s="60"/>
      <c r="J393" s="60"/>
      <c r="K393" s="60"/>
    </row>
    <row r="394" spans="2:11" x14ac:dyDescent="0.25">
      <c r="B394" s="60"/>
      <c r="C394" s="60"/>
      <c r="D394" s="61"/>
      <c r="E394" s="60"/>
      <c r="F394" s="278"/>
      <c r="G394" s="278"/>
      <c r="H394" s="60"/>
      <c r="I394" s="60"/>
      <c r="J394" s="60"/>
      <c r="K394" s="60"/>
    </row>
    <row r="395" spans="2:11" x14ac:dyDescent="0.25">
      <c r="B395" s="60"/>
      <c r="C395" s="60"/>
      <c r="D395" s="61"/>
      <c r="E395" s="60"/>
      <c r="F395" s="278"/>
      <c r="G395" s="278"/>
      <c r="H395" s="60"/>
      <c r="I395" s="60"/>
      <c r="J395" s="60"/>
      <c r="K395" s="60"/>
    </row>
    <row r="396" spans="2:11" x14ac:dyDescent="0.25">
      <c r="B396" s="60"/>
      <c r="C396" s="60"/>
      <c r="D396" s="61"/>
      <c r="E396" s="60"/>
      <c r="F396" s="278"/>
      <c r="G396" s="278"/>
      <c r="H396" s="60"/>
      <c r="I396" s="60"/>
      <c r="J396" s="60"/>
      <c r="K396" s="60"/>
    </row>
    <row r="397" spans="2:11" x14ac:dyDescent="0.25">
      <c r="B397" s="60"/>
      <c r="C397" s="60"/>
      <c r="D397" s="60"/>
      <c r="E397" s="60"/>
      <c r="F397" s="278"/>
      <c r="G397" s="278"/>
      <c r="H397" s="60"/>
      <c r="I397" s="60"/>
      <c r="J397" s="60"/>
      <c r="K397" s="60"/>
    </row>
    <row r="398" spans="2:11" x14ac:dyDescent="0.25">
      <c r="B398" s="60"/>
      <c r="C398" s="60"/>
      <c r="D398" s="60"/>
      <c r="E398" s="60"/>
      <c r="F398" s="278"/>
      <c r="G398" s="278"/>
      <c r="H398" s="60"/>
      <c r="I398" s="60"/>
      <c r="J398" s="60"/>
      <c r="K398" s="60"/>
    </row>
    <row r="399" spans="2:11" x14ac:dyDescent="0.25">
      <c r="B399" s="60"/>
      <c r="C399" s="60"/>
      <c r="D399" s="60"/>
      <c r="E399" s="60"/>
      <c r="F399" s="278"/>
      <c r="G399" s="278"/>
      <c r="H399" s="60"/>
      <c r="I399" s="60"/>
      <c r="J399" s="60"/>
      <c r="K399" s="60"/>
    </row>
    <row r="400" spans="2:11" x14ac:dyDescent="0.25">
      <c r="B400" s="60"/>
      <c r="C400" s="60"/>
      <c r="D400" s="60"/>
      <c r="E400" s="60"/>
      <c r="F400" s="278"/>
      <c r="G400" s="278"/>
      <c r="H400" s="60"/>
      <c r="I400" s="60"/>
      <c r="J400" s="60"/>
      <c r="K400" s="60"/>
    </row>
    <row r="401" spans="2:11" x14ac:dyDescent="0.25">
      <c r="B401" s="60"/>
      <c r="C401" s="60"/>
      <c r="D401" s="60"/>
      <c r="E401" s="60"/>
      <c r="F401" s="278"/>
      <c r="G401" s="278"/>
      <c r="H401" s="60"/>
      <c r="I401" s="60"/>
      <c r="J401" s="60"/>
      <c r="K401" s="60"/>
    </row>
    <row r="402" spans="2:11" x14ac:dyDescent="0.25">
      <c r="B402" s="60"/>
      <c r="C402" s="60"/>
      <c r="D402" s="60"/>
      <c r="E402" s="60"/>
      <c r="F402" s="278"/>
      <c r="G402" s="278"/>
      <c r="H402" s="60"/>
      <c r="I402" s="60"/>
      <c r="J402" s="60"/>
      <c r="K402" s="60"/>
    </row>
    <row r="403" spans="2:11" x14ac:dyDescent="0.25">
      <c r="B403" s="60"/>
      <c r="C403" s="60"/>
      <c r="D403" s="60"/>
      <c r="E403" s="60"/>
      <c r="F403" s="278"/>
      <c r="G403" s="278"/>
      <c r="H403" s="60"/>
      <c r="I403" s="60"/>
      <c r="J403" s="60"/>
      <c r="K403" s="60"/>
    </row>
    <row r="404" spans="2:11" x14ac:dyDescent="0.25">
      <c r="B404" s="60"/>
      <c r="C404" s="60"/>
      <c r="D404" s="60"/>
      <c r="E404" s="60"/>
      <c r="F404" s="278"/>
      <c r="G404" s="278"/>
      <c r="H404" s="60"/>
      <c r="I404" s="60"/>
      <c r="J404" s="60"/>
      <c r="K404" s="60"/>
    </row>
    <row r="405" spans="2:11" x14ac:dyDescent="0.25">
      <c r="B405" s="60"/>
      <c r="C405" s="60"/>
      <c r="D405" s="60"/>
      <c r="E405" s="60"/>
      <c r="F405" s="278"/>
      <c r="G405" s="278"/>
      <c r="H405" s="60"/>
      <c r="I405" s="60"/>
      <c r="J405" s="60"/>
      <c r="K405" s="60"/>
    </row>
    <row r="406" spans="2:11" x14ac:dyDescent="0.25">
      <c r="B406" s="60"/>
      <c r="C406" s="60"/>
      <c r="D406" s="60"/>
      <c r="E406" s="60"/>
      <c r="F406" s="278"/>
      <c r="G406" s="278"/>
      <c r="H406" s="60"/>
      <c r="I406" s="60"/>
      <c r="J406" s="60"/>
      <c r="K406" s="60"/>
    </row>
    <row r="407" spans="2:11" x14ac:dyDescent="0.25">
      <c r="B407" s="60"/>
      <c r="C407" s="60"/>
      <c r="D407" s="60"/>
      <c r="E407" s="60"/>
      <c r="F407" s="278"/>
      <c r="G407" s="278"/>
      <c r="H407" s="60"/>
      <c r="I407" s="60"/>
      <c r="J407" s="60"/>
      <c r="K407" s="60"/>
    </row>
    <row r="408" spans="2:11" x14ac:dyDescent="0.25">
      <c r="B408" s="60"/>
      <c r="C408" s="60"/>
      <c r="D408" s="60"/>
      <c r="E408" s="60"/>
      <c r="F408" s="278"/>
      <c r="G408" s="278"/>
      <c r="H408" s="60"/>
      <c r="I408" s="60"/>
      <c r="J408" s="60"/>
      <c r="K408" s="60"/>
    </row>
    <row r="409" spans="2:11" x14ac:dyDescent="0.25">
      <c r="B409" s="60"/>
      <c r="C409" s="60"/>
      <c r="D409" s="60"/>
      <c r="E409" s="60"/>
      <c r="F409" s="278"/>
      <c r="G409" s="278"/>
      <c r="H409" s="60"/>
      <c r="I409" s="60"/>
      <c r="J409" s="60"/>
      <c r="K409" s="60"/>
    </row>
    <row r="410" spans="2:11" x14ac:dyDescent="0.25">
      <c r="B410" s="60"/>
      <c r="C410" s="60"/>
      <c r="D410" s="60"/>
      <c r="E410" s="60"/>
      <c r="F410" s="278"/>
      <c r="G410" s="278"/>
      <c r="H410" s="60"/>
      <c r="I410" s="60"/>
      <c r="J410" s="60"/>
      <c r="K410" s="60"/>
    </row>
    <row r="411" spans="2:11" x14ac:dyDescent="0.25">
      <c r="B411" s="60"/>
      <c r="C411" s="60"/>
      <c r="D411" s="60"/>
      <c r="E411" s="60"/>
      <c r="F411" s="278"/>
      <c r="G411" s="278"/>
      <c r="H411" s="60"/>
      <c r="I411" s="60"/>
      <c r="J411" s="60"/>
      <c r="K411" s="60"/>
    </row>
    <row r="412" spans="2:11" x14ac:dyDescent="0.25">
      <c r="B412" s="60"/>
      <c r="C412" s="60"/>
      <c r="D412" s="60"/>
      <c r="E412" s="60"/>
      <c r="F412" s="278"/>
      <c r="G412" s="278"/>
      <c r="H412" s="60"/>
      <c r="I412" s="60"/>
      <c r="J412" s="60"/>
      <c r="K412" s="60"/>
    </row>
    <row r="413" spans="2:11" x14ac:dyDescent="0.25">
      <c r="B413" s="60"/>
      <c r="C413" s="60"/>
      <c r="D413" s="60"/>
      <c r="E413" s="60"/>
      <c r="F413" s="278"/>
      <c r="G413" s="278"/>
      <c r="H413" s="60"/>
      <c r="I413" s="60"/>
      <c r="J413" s="60"/>
      <c r="K413" s="60"/>
    </row>
    <row r="414" spans="2:11" x14ac:dyDescent="0.25">
      <c r="B414" s="60"/>
      <c r="C414" s="60"/>
      <c r="D414" s="60"/>
      <c r="E414" s="60"/>
      <c r="F414" s="278"/>
      <c r="G414" s="278"/>
      <c r="H414" s="60"/>
      <c r="I414" s="60"/>
      <c r="J414" s="60"/>
      <c r="K414" s="60"/>
    </row>
    <row r="415" spans="2:11" x14ac:dyDescent="0.25">
      <c r="B415" s="60"/>
      <c r="C415" s="60"/>
      <c r="D415" s="60"/>
      <c r="E415" s="60"/>
      <c r="F415" s="278"/>
      <c r="G415" s="278"/>
      <c r="H415" s="60"/>
      <c r="I415" s="60"/>
      <c r="J415" s="60"/>
      <c r="K415" s="60"/>
    </row>
    <row r="416" spans="2:11" x14ac:dyDescent="0.25">
      <c r="B416" s="60"/>
      <c r="C416" s="60"/>
      <c r="D416" s="60"/>
      <c r="E416" s="60"/>
      <c r="F416" s="278"/>
      <c r="G416" s="278"/>
      <c r="H416" s="60"/>
      <c r="I416" s="60"/>
      <c r="J416" s="60"/>
      <c r="K416" s="60"/>
    </row>
    <row r="417" spans="2:11" x14ac:dyDescent="0.25">
      <c r="B417" s="60"/>
      <c r="C417" s="60"/>
      <c r="D417" s="60"/>
      <c r="E417" s="60"/>
      <c r="F417" s="278"/>
      <c r="G417" s="278"/>
      <c r="H417" s="60"/>
      <c r="I417" s="60"/>
      <c r="J417" s="60"/>
      <c r="K417" s="60"/>
    </row>
    <row r="418" spans="2:11" x14ac:dyDescent="0.25">
      <c r="B418" s="60"/>
      <c r="C418" s="60"/>
      <c r="D418" s="60"/>
      <c r="E418" s="60"/>
      <c r="F418" s="278"/>
      <c r="G418" s="278"/>
      <c r="H418" s="60"/>
      <c r="I418" s="60"/>
      <c r="J418" s="60"/>
      <c r="K418" s="60"/>
    </row>
    <row r="419" spans="2:11" x14ac:dyDescent="0.25">
      <c r="B419" s="60"/>
      <c r="C419" s="60"/>
      <c r="D419" s="60"/>
      <c r="E419" s="60"/>
      <c r="F419" s="278"/>
      <c r="G419" s="278"/>
      <c r="H419" s="60"/>
      <c r="I419" s="60"/>
      <c r="J419" s="60"/>
      <c r="K419" s="60"/>
    </row>
    <row r="420" spans="2:11" x14ac:dyDescent="0.25">
      <c r="B420" s="60"/>
      <c r="C420" s="60"/>
      <c r="D420" s="60"/>
      <c r="E420" s="60"/>
      <c r="F420" s="278"/>
      <c r="G420" s="278"/>
      <c r="H420" s="60"/>
      <c r="I420" s="60"/>
      <c r="J420" s="60"/>
      <c r="K420" s="60"/>
    </row>
    <row r="421" spans="2:11" x14ac:dyDescent="0.25">
      <c r="B421" s="60"/>
      <c r="C421" s="60"/>
      <c r="D421" s="60"/>
      <c r="E421" s="60"/>
      <c r="F421" s="278"/>
      <c r="G421" s="278"/>
      <c r="H421" s="60"/>
      <c r="I421" s="60"/>
      <c r="J421" s="60"/>
      <c r="K421" s="60"/>
    </row>
    <row r="422" spans="2:11" x14ac:dyDescent="0.25">
      <c r="B422" s="60"/>
      <c r="C422" s="60"/>
      <c r="D422" s="60"/>
      <c r="E422" s="60"/>
      <c r="F422" s="278"/>
      <c r="G422" s="278"/>
      <c r="H422" s="60"/>
      <c r="I422" s="60"/>
      <c r="J422" s="60"/>
      <c r="K422" s="60"/>
    </row>
    <row r="423" spans="2:11" x14ac:dyDescent="0.25">
      <c r="B423" s="60"/>
      <c r="C423" s="60"/>
      <c r="D423" s="60"/>
      <c r="E423" s="60"/>
      <c r="F423" s="278"/>
      <c r="G423" s="278"/>
      <c r="H423" s="60"/>
      <c r="I423" s="60"/>
      <c r="J423" s="60"/>
      <c r="K423" s="60"/>
    </row>
    <row r="424" spans="2:11" x14ac:dyDescent="0.25">
      <c r="B424" s="60"/>
      <c r="C424" s="60"/>
      <c r="D424" s="60"/>
      <c r="E424" s="60"/>
      <c r="F424" s="278"/>
      <c r="G424" s="278"/>
      <c r="H424" s="60"/>
      <c r="I424" s="60"/>
      <c r="J424" s="60"/>
      <c r="K424" s="60"/>
    </row>
    <row r="425" spans="2:11" x14ac:dyDescent="0.25">
      <c r="B425" s="60"/>
      <c r="C425" s="60"/>
      <c r="D425" s="60"/>
      <c r="E425" s="60"/>
      <c r="F425" s="278"/>
      <c r="G425" s="278"/>
      <c r="H425" s="60"/>
      <c r="I425" s="60"/>
      <c r="J425" s="60"/>
      <c r="K425" s="60"/>
    </row>
    <row r="426" spans="2:11" x14ac:dyDescent="0.25">
      <c r="B426" s="60"/>
      <c r="C426" s="60"/>
      <c r="D426" s="60"/>
      <c r="E426" s="60"/>
      <c r="F426" s="278"/>
      <c r="G426" s="278"/>
      <c r="H426" s="60"/>
      <c r="I426" s="60"/>
      <c r="J426" s="60"/>
      <c r="K426" s="60"/>
    </row>
    <row r="427" spans="2:11" x14ac:dyDescent="0.25">
      <c r="B427" s="60"/>
      <c r="C427" s="60"/>
      <c r="D427" s="60"/>
      <c r="E427" s="60"/>
      <c r="F427" s="278"/>
      <c r="G427" s="278"/>
      <c r="H427" s="60"/>
      <c r="I427" s="60"/>
      <c r="J427" s="60"/>
      <c r="K427" s="60"/>
    </row>
    <row r="428" spans="2:11" x14ac:dyDescent="0.25">
      <c r="B428" s="60"/>
      <c r="C428" s="60"/>
      <c r="D428" s="60"/>
      <c r="E428" s="60"/>
      <c r="F428" s="278"/>
      <c r="G428" s="278"/>
      <c r="H428" s="60"/>
      <c r="I428" s="60"/>
      <c r="J428" s="60"/>
      <c r="K428" s="60"/>
    </row>
    <row r="429" spans="2:11" x14ac:dyDescent="0.25">
      <c r="B429" s="60"/>
      <c r="C429" s="60"/>
      <c r="D429" s="60"/>
      <c r="E429" s="60"/>
      <c r="F429" s="278"/>
      <c r="G429" s="278"/>
      <c r="H429" s="60"/>
      <c r="I429" s="60"/>
      <c r="J429" s="60"/>
      <c r="K429" s="60"/>
    </row>
    <row r="430" spans="2:11" x14ac:dyDescent="0.25">
      <c r="B430" s="60"/>
      <c r="C430" s="60"/>
      <c r="D430" s="60"/>
      <c r="E430" s="60"/>
      <c r="F430" s="278"/>
      <c r="G430" s="278"/>
      <c r="H430" s="60"/>
      <c r="I430" s="60"/>
      <c r="J430" s="60"/>
      <c r="K430" s="60"/>
    </row>
    <row r="431" spans="2:11" x14ac:dyDescent="0.25">
      <c r="B431" s="60"/>
      <c r="C431" s="60"/>
      <c r="D431" s="60"/>
      <c r="E431" s="60"/>
      <c r="F431" s="278"/>
      <c r="G431" s="278"/>
      <c r="H431" s="60"/>
      <c r="I431" s="60"/>
      <c r="J431" s="60"/>
      <c r="K431" s="60"/>
    </row>
    <row r="432" spans="2:11" x14ac:dyDescent="0.25">
      <c r="B432" s="60"/>
      <c r="C432" s="60"/>
      <c r="D432" s="60"/>
      <c r="E432" s="60"/>
      <c r="F432" s="278"/>
      <c r="G432" s="278"/>
      <c r="H432" s="60"/>
      <c r="I432" s="60"/>
      <c r="J432" s="60"/>
      <c r="K432" s="60"/>
    </row>
    <row r="433" spans="2:11" x14ac:dyDescent="0.25">
      <c r="B433" s="60"/>
      <c r="C433" s="60"/>
      <c r="D433" s="60"/>
      <c r="E433" s="60"/>
      <c r="F433" s="278"/>
      <c r="G433" s="278"/>
      <c r="H433" s="60"/>
      <c r="I433" s="60"/>
      <c r="J433" s="60"/>
      <c r="K433" s="60"/>
    </row>
    <row r="434" spans="2:11" x14ac:dyDescent="0.25">
      <c r="B434" s="60"/>
      <c r="C434" s="60"/>
      <c r="D434" s="60"/>
      <c r="E434" s="60"/>
      <c r="F434" s="278"/>
      <c r="G434" s="278"/>
      <c r="H434" s="60"/>
      <c r="I434" s="60"/>
      <c r="J434" s="60"/>
      <c r="K434" s="60"/>
    </row>
    <row r="435" spans="2:11" x14ac:dyDescent="0.25">
      <c r="B435" s="60"/>
      <c r="C435" s="60"/>
      <c r="D435" s="60"/>
      <c r="E435" s="60"/>
      <c r="F435" s="278"/>
      <c r="G435" s="278"/>
      <c r="H435" s="60"/>
      <c r="I435" s="60"/>
      <c r="J435" s="60"/>
      <c r="K435" s="60"/>
    </row>
    <row r="436" spans="2:11" x14ac:dyDescent="0.25">
      <c r="B436" s="60"/>
      <c r="C436" s="60"/>
      <c r="D436" s="60"/>
      <c r="E436" s="60"/>
      <c r="F436" s="60"/>
      <c r="G436" s="60"/>
      <c r="H436" s="60"/>
      <c r="I436" s="60"/>
      <c r="J436" s="60"/>
      <c r="K436" s="60"/>
    </row>
    <row r="437" spans="2:11" x14ac:dyDescent="0.25">
      <c r="B437" s="60"/>
      <c r="C437" s="60"/>
      <c r="D437" s="60"/>
      <c r="E437" s="60"/>
      <c r="F437" s="60"/>
      <c r="G437" s="60"/>
      <c r="H437" s="60"/>
      <c r="I437" s="60"/>
      <c r="J437" s="60"/>
      <c r="K437" s="60"/>
    </row>
    <row r="438" spans="2:11" x14ac:dyDescent="0.25">
      <c r="B438" s="60"/>
      <c r="C438" s="60"/>
      <c r="D438" s="60"/>
      <c r="E438" s="60"/>
      <c r="F438" s="60"/>
      <c r="G438" s="60"/>
      <c r="H438" s="60"/>
      <c r="I438" s="60"/>
      <c r="J438" s="60"/>
      <c r="K438" s="60"/>
    </row>
    <row r="439" spans="2:11" x14ac:dyDescent="0.25">
      <c r="B439" s="60"/>
      <c r="C439" s="60"/>
      <c r="D439" s="60"/>
      <c r="E439" s="60"/>
      <c r="F439" s="60"/>
      <c r="G439" s="60"/>
      <c r="H439" s="60"/>
      <c r="I439" s="60"/>
      <c r="J439" s="60"/>
      <c r="K439" s="60"/>
    </row>
    <row r="440" spans="2:11" x14ac:dyDescent="0.25">
      <c r="B440" s="60"/>
      <c r="C440" s="60"/>
      <c r="D440" s="60"/>
      <c r="E440" s="60"/>
      <c r="F440" s="60"/>
      <c r="G440" s="60"/>
      <c r="H440" s="60"/>
      <c r="I440" s="60"/>
      <c r="J440" s="60"/>
      <c r="K440" s="60"/>
    </row>
    <row r="441" spans="2:11" x14ac:dyDescent="0.25">
      <c r="B441" s="60"/>
      <c r="C441" s="60"/>
      <c r="D441" s="60"/>
      <c r="E441" s="60"/>
      <c r="F441" s="60"/>
      <c r="G441" s="60"/>
      <c r="H441" s="60"/>
      <c r="I441" s="60"/>
      <c r="J441" s="60"/>
      <c r="K441" s="60"/>
    </row>
    <row r="442" spans="2:11" x14ac:dyDescent="0.25">
      <c r="B442" s="60"/>
      <c r="C442" s="60"/>
      <c r="D442" s="60"/>
      <c r="E442" s="60"/>
      <c r="F442" s="60"/>
      <c r="G442" s="60"/>
      <c r="H442" s="60"/>
      <c r="I442" s="60"/>
      <c r="J442" s="60"/>
      <c r="K442" s="60"/>
    </row>
    <row r="443" spans="2:11" x14ac:dyDescent="0.25">
      <c r="B443" s="60"/>
      <c r="C443" s="60"/>
      <c r="D443" s="60"/>
      <c r="E443" s="60"/>
      <c r="F443" s="60"/>
      <c r="G443" s="60"/>
      <c r="H443" s="60"/>
      <c r="I443" s="60"/>
      <c r="J443" s="60"/>
      <c r="K443" s="60"/>
    </row>
  </sheetData>
  <mergeCells count="29">
    <mergeCell ref="B235:L237"/>
    <mergeCell ref="B154:L154"/>
    <mergeCell ref="B243:L243"/>
    <mergeCell ref="B216:L216"/>
    <mergeCell ref="B220:L220"/>
    <mergeCell ref="B224:L224"/>
    <mergeCell ref="B228:L228"/>
    <mergeCell ref="B232:L232"/>
    <mergeCell ref="L198:L199"/>
    <mergeCell ref="B203:L203"/>
    <mergeCell ref="B207:L207"/>
    <mergeCell ref="B210:L210"/>
    <mergeCell ref="B213:L213"/>
    <mergeCell ref="B185:L185"/>
    <mergeCell ref="L186:L187"/>
    <mergeCell ref="B190:L190"/>
    <mergeCell ref="B194:L194"/>
    <mergeCell ref="B197:L197"/>
    <mergeCell ref="B168:L168"/>
    <mergeCell ref="B171:L171"/>
    <mergeCell ref="B175:L175"/>
    <mergeCell ref="B178:L178"/>
    <mergeCell ref="B182:L182"/>
    <mergeCell ref="B162:L162"/>
    <mergeCell ref="B165:L165"/>
    <mergeCell ref="B40:R40"/>
    <mergeCell ref="B87:R87"/>
    <mergeCell ref="B4:R4"/>
    <mergeCell ref="B13:R13"/>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8DD1-CC78-461B-9B9A-6E95F1FE7041}">
  <sheetPr>
    <tabColor theme="7"/>
  </sheetPr>
  <dimension ref="B3:O74"/>
  <sheetViews>
    <sheetView topLeftCell="A55" zoomScale="70" zoomScaleNormal="70" workbookViewId="0">
      <selection activeCell="L98" sqref="L98"/>
    </sheetView>
  </sheetViews>
  <sheetFormatPr baseColWidth="10" defaultColWidth="11.44140625" defaultRowHeight="13.2" x14ac:dyDescent="0.25"/>
  <cols>
    <col min="1" max="1" width="11.44140625" style="297"/>
    <col min="2" max="2" width="11.44140625" style="297" customWidth="1"/>
    <col min="3" max="11" width="11.44140625" style="297"/>
    <col min="12" max="12" width="62.6640625" style="297" customWidth="1"/>
    <col min="13" max="16384" width="11.44140625" style="297"/>
  </cols>
  <sheetData>
    <row r="3" spans="2:12" ht="15.6" x14ac:dyDescent="0.3">
      <c r="B3" s="298"/>
    </row>
    <row r="5" spans="2:12" ht="30" x14ac:dyDescent="0.25">
      <c r="B5" s="303" t="s">
        <v>501</v>
      </c>
    </row>
    <row r="6" spans="2:12" x14ac:dyDescent="0.25">
      <c r="B6" s="299"/>
    </row>
    <row r="7" spans="2:12" ht="18" x14ac:dyDescent="0.35">
      <c r="B7" s="302" t="s">
        <v>502</v>
      </c>
    </row>
    <row r="8" spans="2:12" ht="15.6" x14ac:dyDescent="0.3">
      <c r="B8" s="502"/>
    </row>
    <row r="9" spans="2:12" ht="15.6" x14ac:dyDescent="0.3">
      <c r="B9" s="502" t="s">
        <v>503</v>
      </c>
    </row>
    <row r="10" spans="2:12" ht="13.8" thickBot="1" x14ac:dyDescent="0.3">
      <c r="B10" s="299"/>
    </row>
    <row r="11" spans="2:12" ht="18.600000000000001" thickBot="1" x14ac:dyDescent="0.4">
      <c r="B11" s="662" t="s">
        <v>522</v>
      </c>
      <c r="C11" s="663"/>
      <c r="D11" s="663"/>
      <c r="E11" s="663"/>
      <c r="F11" s="663"/>
      <c r="G11" s="663"/>
      <c r="H11" s="663"/>
      <c r="I11" s="663"/>
      <c r="J11" s="663"/>
      <c r="K11" s="663"/>
      <c r="L11" s="664"/>
    </row>
    <row r="12" spans="2:12" ht="15.6" x14ac:dyDescent="0.3">
      <c r="B12" s="503" t="s">
        <v>518</v>
      </c>
      <c r="C12" s="504"/>
      <c r="D12" s="504"/>
      <c r="E12" s="504"/>
      <c r="F12" s="304"/>
      <c r="G12" s="304"/>
      <c r="H12" s="304"/>
      <c r="I12" s="304"/>
      <c r="J12" s="304"/>
      <c r="K12" s="304"/>
      <c r="L12" s="305"/>
    </row>
    <row r="13" spans="2:12" ht="15.6" x14ac:dyDescent="0.3">
      <c r="B13" s="505" t="s">
        <v>504</v>
      </c>
      <c r="C13" s="506"/>
      <c r="D13" s="506"/>
      <c r="E13" s="506"/>
      <c r="L13" s="306"/>
    </row>
    <row r="14" spans="2:12" ht="15.6" x14ac:dyDescent="0.3">
      <c r="B14" s="505" t="s">
        <v>505</v>
      </c>
      <c r="C14" s="506"/>
      <c r="D14" s="506"/>
      <c r="E14" s="506"/>
      <c r="L14" s="306"/>
    </row>
    <row r="15" spans="2:12" ht="15.6" x14ac:dyDescent="0.3">
      <c r="B15" s="505" t="s">
        <v>506</v>
      </c>
      <c r="C15" s="506"/>
      <c r="D15" s="506"/>
      <c r="E15" s="506"/>
      <c r="L15" s="306"/>
    </row>
    <row r="16" spans="2:12" ht="15.6" x14ac:dyDescent="0.3">
      <c r="B16" s="507" t="s">
        <v>507</v>
      </c>
      <c r="C16" s="506"/>
      <c r="D16" s="506"/>
      <c r="E16" s="506"/>
      <c r="L16" s="306"/>
    </row>
    <row r="17" spans="2:12" ht="15.6" x14ac:dyDescent="0.3">
      <c r="B17" s="505" t="s">
        <v>508</v>
      </c>
      <c r="C17" s="506"/>
      <c r="D17" s="506"/>
      <c r="E17" s="506"/>
      <c r="L17" s="306"/>
    </row>
    <row r="18" spans="2:12" ht="15.6" x14ac:dyDescent="0.3">
      <c r="B18" s="505" t="s">
        <v>509</v>
      </c>
      <c r="C18" s="506"/>
      <c r="D18" s="506"/>
      <c r="E18" s="506"/>
      <c r="L18" s="306"/>
    </row>
    <row r="19" spans="2:12" ht="15.6" x14ac:dyDescent="0.3">
      <c r="B19" s="507" t="s">
        <v>510</v>
      </c>
      <c r="C19" s="506"/>
      <c r="D19" s="506"/>
      <c r="E19" s="506"/>
      <c r="L19" s="306"/>
    </row>
    <row r="20" spans="2:12" ht="15.6" x14ac:dyDescent="0.3">
      <c r="B20" s="505" t="s">
        <v>511</v>
      </c>
      <c r="C20" s="506"/>
      <c r="D20" s="506"/>
      <c r="E20" s="506"/>
      <c r="L20" s="306"/>
    </row>
    <row r="21" spans="2:12" ht="15.6" x14ac:dyDescent="0.3">
      <c r="B21" s="505" t="s">
        <v>512</v>
      </c>
      <c r="C21" s="506"/>
      <c r="D21" s="506"/>
      <c r="E21" s="506"/>
      <c r="L21" s="306"/>
    </row>
    <row r="22" spans="2:12" ht="15.6" x14ac:dyDescent="0.3">
      <c r="B22" s="505" t="s">
        <v>513</v>
      </c>
      <c r="C22" s="506"/>
      <c r="D22" s="506"/>
      <c r="E22" s="506"/>
      <c r="L22" s="306"/>
    </row>
    <row r="23" spans="2:12" ht="15.6" x14ac:dyDescent="0.3">
      <c r="B23" s="507" t="s">
        <v>514</v>
      </c>
      <c r="C23" s="506"/>
      <c r="D23" s="506"/>
      <c r="E23" s="506"/>
      <c r="L23" s="306"/>
    </row>
    <row r="24" spans="2:12" ht="15.6" x14ac:dyDescent="0.3">
      <c r="B24" s="505" t="s">
        <v>515</v>
      </c>
      <c r="C24" s="506"/>
      <c r="D24" s="506"/>
      <c r="E24" s="506"/>
      <c r="L24" s="306"/>
    </row>
    <row r="25" spans="2:12" ht="15.6" x14ac:dyDescent="0.3">
      <c r="B25" s="505" t="s">
        <v>516</v>
      </c>
      <c r="C25" s="506"/>
      <c r="D25" s="506"/>
      <c r="E25" s="506"/>
      <c r="L25" s="306"/>
    </row>
    <row r="26" spans="2:12" ht="16.2" thickBot="1" x14ac:dyDescent="0.35">
      <c r="B26" s="508" t="s">
        <v>517</v>
      </c>
      <c r="C26" s="509"/>
      <c r="D26" s="509"/>
      <c r="E26" s="509"/>
      <c r="F26" s="307"/>
      <c r="G26" s="307"/>
      <c r="H26" s="307"/>
      <c r="I26" s="307"/>
      <c r="J26" s="307"/>
      <c r="K26" s="307"/>
      <c r="L26" s="308"/>
    </row>
    <row r="27" spans="2:12" ht="13.8" thickBot="1" x14ac:dyDescent="0.3">
      <c r="B27" s="301"/>
    </row>
    <row r="28" spans="2:12" ht="18.600000000000001" thickBot="1" x14ac:dyDescent="0.4">
      <c r="B28" s="662" t="s">
        <v>523</v>
      </c>
      <c r="C28" s="663"/>
      <c r="D28" s="663"/>
      <c r="E28" s="663"/>
      <c r="F28" s="663"/>
      <c r="G28" s="663"/>
      <c r="H28" s="663"/>
      <c r="I28" s="663"/>
      <c r="J28" s="663"/>
      <c r="K28" s="663"/>
      <c r="L28" s="664"/>
    </row>
    <row r="29" spans="2:12" x14ac:dyDescent="0.25">
      <c r="B29" s="665" t="s">
        <v>869</v>
      </c>
      <c r="C29" s="666"/>
      <c r="D29" s="666"/>
      <c r="E29" s="666"/>
      <c r="F29" s="666"/>
      <c r="G29" s="666"/>
      <c r="H29" s="666"/>
      <c r="I29" s="666"/>
      <c r="J29" s="666"/>
      <c r="K29" s="666"/>
      <c r="L29" s="667"/>
    </row>
    <row r="30" spans="2:12" ht="18" customHeight="1" x14ac:dyDescent="0.25">
      <c r="B30" s="668"/>
      <c r="C30" s="669"/>
      <c r="D30" s="669"/>
      <c r="E30" s="669"/>
      <c r="F30" s="669"/>
      <c r="G30" s="669"/>
      <c r="H30" s="669"/>
      <c r="I30" s="669"/>
      <c r="J30" s="669"/>
      <c r="K30" s="669"/>
      <c r="L30" s="670"/>
    </row>
    <row r="31" spans="2:12" ht="15.6" x14ac:dyDescent="0.3">
      <c r="B31" s="507"/>
      <c r="C31" s="506" t="s">
        <v>870</v>
      </c>
      <c r="D31" s="506"/>
      <c r="E31" s="506"/>
      <c r="F31" s="506"/>
      <c r="G31" s="506"/>
      <c r="H31" s="506"/>
      <c r="I31" s="506"/>
      <c r="J31" s="506"/>
      <c r="K31" s="506"/>
      <c r="L31" s="510"/>
    </row>
    <row r="32" spans="2:12" ht="15.6" x14ac:dyDescent="0.3">
      <c r="B32" s="507"/>
      <c r="C32" s="506" t="s">
        <v>871</v>
      </c>
      <c r="D32" s="506"/>
      <c r="E32" s="506"/>
      <c r="F32" s="506"/>
      <c r="G32" s="506"/>
      <c r="H32" s="506"/>
      <c r="I32" s="506"/>
      <c r="J32" s="506"/>
      <c r="K32" s="506"/>
      <c r="L32" s="510"/>
    </row>
    <row r="33" spans="2:12" ht="15.6" x14ac:dyDescent="0.3">
      <c r="B33" s="507"/>
      <c r="C33" s="506" t="s">
        <v>872</v>
      </c>
      <c r="D33" s="506"/>
      <c r="E33" s="506"/>
      <c r="F33" s="506"/>
      <c r="G33" s="506"/>
      <c r="H33" s="506"/>
      <c r="I33" s="506"/>
      <c r="J33" s="506"/>
      <c r="K33" s="506"/>
      <c r="L33" s="510"/>
    </row>
    <row r="34" spans="2:12" ht="15.6" x14ac:dyDescent="0.3">
      <c r="B34" s="507"/>
      <c r="C34" s="506"/>
      <c r="D34" s="506"/>
      <c r="E34" s="506"/>
      <c r="F34" s="506"/>
      <c r="G34" s="506"/>
      <c r="H34" s="506"/>
      <c r="I34" s="506"/>
      <c r="J34" s="506"/>
      <c r="K34" s="506"/>
      <c r="L34" s="510"/>
    </row>
    <row r="35" spans="2:12" ht="12.75" customHeight="1" x14ac:dyDescent="0.25">
      <c r="B35" s="668" t="s">
        <v>873</v>
      </c>
      <c r="C35" s="669"/>
      <c r="D35" s="669"/>
      <c r="E35" s="669"/>
      <c r="F35" s="669"/>
      <c r="G35" s="669"/>
      <c r="H35" s="669"/>
      <c r="I35" s="669"/>
      <c r="J35" s="669"/>
      <c r="K35" s="669"/>
      <c r="L35" s="670"/>
    </row>
    <row r="36" spans="2:12" ht="17.25" customHeight="1" x14ac:dyDescent="0.25">
      <c r="B36" s="668"/>
      <c r="C36" s="669"/>
      <c r="D36" s="669"/>
      <c r="E36" s="669"/>
      <c r="F36" s="669"/>
      <c r="G36" s="669"/>
      <c r="H36" s="669"/>
      <c r="I36" s="669"/>
      <c r="J36" s="669"/>
      <c r="K36" s="669"/>
      <c r="L36" s="670"/>
    </row>
    <row r="37" spans="2:12" ht="15.6" x14ac:dyDescent="0.3">
      <c r="B37" s="507"/>
      <c r="C37" s="506" t="s">
        <v>874</v>
      </c>
      <c r="D37" s="506"/>
      <c r="E37" s="506"/>
      <c r="F37" s="506"/>
      <c r="G37" s="506"/>
      <c r="H37" s="506"/>
      <c r="I37" s="506"/>
      <c r="J37" s="506"/>
      <c r="K37" s="506"/>
      <c r="L37" s="510"/>
    </row>
    <row r="38" spans="2:12" ht="15.6" x14ac:dyDescent="0.3">
      <c r="B38" s="507"/>
      <c r="C38" s="506" t="s">
        <v>875</v>
      </c>
      <c r="D38" s="506"/>
      <c r="E38" s="506"/>
      <c r="F38" s="506"/>
      <c r="G38" s="506"/>
      <c r="H38" s="506"/>
      <c r="I38" s="506"/>
      <c r="J38" s="506"/>
      <c r="K38" s="506"/>
      <c r="L38" s="510"/>
    </row>
    <row r="39" spans="2:12" ht="15.6" x14ac:dyDescent="0.3">
      <c r="B39" s="507"/>
      <c r="C39" s="506" t="s">
        <v>872</v>
      </c>
      <c r="D39" s="506"/>
      <c r="E39" s="506"/>
      <c r="F39" s="506"/>
      <c r="G39" s="506"/>
      <c r="H39" s="506"/>
      <c r="I39" s="506"/>
      <c r="J39" s="506"/>
      <c r="K39" s="506"/>
      <c r="L39" s="510"/>
    </row>
    <row r="40" spans="2:12" ht="15.6" x14ac:dyDescent="0.3">
      <c r="B40" s="507"/>
      <c r="C40" s="506"/>
      <c r="D40" s="506"/>
      <c r="E40" s="506"/>
      <c r="F40" s="506"/>
      <c r="G40" s="506"/>
      <c r="H40" s="506"/>
      <c r="I40" s="506"/>
      <c r="J40" s="506"/>
      <c r="K40" s="506"/>
      <c r="L40" s="510"/>
    </row>
    <row r="41" spans="2:12" x14ac:dyDescent="0.25">
      <c r="B41" s="668" t="s">
        <v>876</v>
      </c>
      <c r="C41" s="669"/>
      <c r="D41" s="669"/>
      <c r="E41" s="669"/>
      <c r="F41" s="669"/>
      <c r="G41" s="669"/>
      <c r="H41" s="669"/>
      <c r="I41" s="669"/>
      <c r="J41" s="669"/>
      <c r="K41" s="669"/>
      <c r="L41" s="670"/>
    </row>
    <row r="42" spans="2:12" ht="18" customHeight="1" x14ac:dyDescent="0.25">
      <c r="B42" s="668"/>
      <c r="C42" s="669"/>
      <c r="D42" s="669"/>
      <c r="E42" s="669"/>
      <c r="F42" s="669"/>
      <c r="G42" s="669"/>
      <c r="H42" s="669"/>
      <c r="I42" s="669"/>
      <c r="J42" s="669"/>
      <c r="K42" s="669"/>
      <c r="L42" s="670"/>
    </row>
    <row r="43" spans="2:12" ht="15.6" x14ac:dyDescent="0.3">
      <c r="B43" s="507"/>
      <c r="C43" s="506" t="s">
        <v>877</v>
      </c>
      <c r="D43" s="506"/>
      <c r="E43" s="506"/>
      <c r="F43" s="506"/>
      <c r="G43" s="506"/>
      <c r="H43" s="506"/>
      <c r="I43" s="506"/>
      <c r="J43" s="506"/>
      <c r="K43" s="506"/>
      <c r="L43" s="510"/>
    </row>
    <row r="44" spans="2:12" ht="15.6" x14ac:dyDescent="0.3">
      <c r="B44" s="507"/>
      <c r="C44" s="506" t="s">
        <v>878</v>
      </c>
      <c r="D44" s="506"/>
      <c r="E44" s="506"/>
      <c r="F44" s="506"/>
      <c r="G44" s="506"/>
      <c r="H44" s="506"/>
      <c r="I44" s="506"/>
      <c r="J44" s="506"/>
      <c r="K44" s="506"/>
      <c r="L44" s="510"/>
    </row>
    <row r="45" spans="2:12" ht="15.6" x14ac:dyDescent="0.3">
      <c r="B45" s="507"/>
      <c r="C45" s="506" t="s">
        <v>879</v>
      </c>
      <c r="D45" s="506"/>
      <c r="E45" s="506"/>
      <c r="F45" s="506"/>
      <c r="G45" s="506"/>
      <c r="H45" s="506"/>
      <c r="I45" s="506"/>
      <c r="J45" s="506"/>
      <c r="K45" s="506"/>
      <c r="L45" s="510"/>
    </row>
    <row r="46" spans="2:12" ht="15.6" x14ac:dyDescent="0.3">
      <c r="B46" s="507"/>
      <c r="C46" s="506"/>
      <c r="D46" s="506"/>
      <c r="E46" s="506"/>
      <c r="F46" s="506"/>
      <c r="G46" s="506"/>
      <c r="H46" s="506"/>
      <c r="I46" s="506"/>
      <c r="J46" s="506"/>
      <c r="K46" s="506"/>
      <c r="L46" s="510"/>
    </row>
    <row r="47" spans="2:12" x14ac:dyDescent="0.25">
      <c r="B47" s="668" t="s">
        <v>880</v>
      </c>
      <c r="C47" s="669"/>
      <c r="D47" s="669"/>
      <c r="E47" s="669"/>
      <c r="F47" s="669"/>
      <c r="G47" s="669"/>
      <c r="H47" s="669"/>
      <c r="I47" s="669"/>
      <c r="J47" s="669"/>
      <c r="K47" s="669"/>
      <c r="L47" s="670"/>
    </row>
    <row r="48" spans="2:12" ht="19.5" customHeight="1" x14ac:dyDescent="0.25">
      <c r="B48" s="668"/>
      <c r="C48" s="669"/>
      <c r="D48" s="669"/>
      <c r="E48" s="669"/>
      <c r="F48" s="669"/>
      <c r="G48" s="669"/>
      <c r="H48" s="669"/>
      <c r="I48" s="669"/>
      <c r="J48" s="669"/>
      <c r="K48" s="669"/>
      <c r="L48" s="670"/>
    </row>
    <row r="49" spans="2:15" ht="15.6" x14ac:dyDescent="0.3">
      <c r="B49" s="507"/>
      <c r="C49" s="506" t="s">
        <v>877</v>
      </c>
      <c r="D49" s="506"/>
      <c r="E49" s="506"/>
      <c r="F49" s="506"/>
      <c r="G49" s="506"/>
      <c r="H49" s="506"/>
      <c r="I49" s="506"/>
      <c r="J49" s="506"/>
      <c r="K49" s="506"/>
      <c r="L49" s="510"/>
    </row>
    <row r="50" spans="2:15" ht="15.6" x14ac:dyDescent="0.3">
      <c r="B50" s="507"/>
      <c r="C50" s="506" t="s">
        <v>878</v>
      </c>
      <c r="D50" s="506"/>
      <c r="E50" s="506"/>
      <c r="F50" s="506"/>
      <c r="G50" s="506"/>
      <c r="H50" s="506"/>
      <c r="I50" s="506"/>
      <c r="J50" s="506"/>
      <c r="K50" s="506"/>
      <c r="L50" s="510"/>
    </row>
    <row r="51" spans="2:15" ht="16.2" thickBot="1" x14ac:dyDescent="0.35">
      <c r="B51" s="511"/>
      <c r="C51" s="509" t="s">
        <v>881</v>
      </c>
      <c r="D51" s="509"/>
      <c r="E51" s="509"/>
      <c r="F51" s="509"/>
      <c r="G51" s="509"/>
      <c r="H51" s="509"/>
      <c r="I51" s="509"/>
      <c r="J51" s="509"/>
      <c r="K51" s="509"/>
      <c r="L51" s="512"/>
    </row>
    <row r="52" spans="2:15" x14ac:dyDescent="0.25">
      <c r="B52" s="301"/>
    </row>
    <row r="53" spans="2:15" x14ac:dyDescent="0.25">
      <c r="B53" s="301"/>
    </row>
    <row r="54" spans="2:15" ht="13.8" thickBot="1" x14ac:dyDescent="0.3"/>
    <row r="55" spans="2:15" ht="18.600000000000001" thickBot="1" x14ac:dyDescent="0.4">
      <c r="B55" s="662" t="s">
        <v>524</v>
      </c>
      <c r="C55" s="663"/>
      <c r="D55" s="663"/>
      <c r="E55" s="663"/>
      <c r="F55" s="663"/>
      <c r="G55" s="663"/>
      <c r="H55" s="663"/>
      <c r="I55" s="663"/>
      <c r="J55" s="663"/>
      <c r="K55" s="663"/>
      <c r="L55" s="664"/>
      <c r="O55" s="300"/>
    </row>
    <row r="56" spans="2:15" ht="15.6" x14ac:dyDescent="0.25">
      <c r="B56" s="671" t="s">
        <v>882</v>
      </c>
      <c r="C56" s="672"/>
      <c r="D56" s="672"/>
      <c r="E56" s="672"/>
      <c r="F56" s="672"/>
      <c r="G56" s="672"/>
      <c r="H56" s="672"/>
      <c r="I56" s="672"/>
      <c r="J56" s="672"/>
      <c r="K56" s="672"/>
      <c r="L56" s="673"/>
    </row>
    <row r="57" spans="2:15" ht="15.6" x14ac:dyDescent="0.3">
      <c r="B57" s="507"/>
      <c r="C57" s="506" t="s">
        <v>883</v>
      </c>
      <c r="D57" s="506"/>
      <c r="E57" s="506"/>
      <c r="F57" s="506"/>
      <c r="G57" s="506"/>
      <c r="H57" s="506"/>
      <c r="I57" s="506"/>
      <c r="J57" s="506"/>
      <c r="K57" s="506"/>
      <c r="L57" s="510"/>
    </row>
    <row r="58" spans="2:15" ht="15.6" x14ac:dyDescent="0.3">
      <c r="B58" s="507"/>
      <c r="C58" s="506" t="s">
        <v>884</v>
      </c>
      <c r="D58" s="506"/>
      <c r="E58" s="506"/>
      <c r="F58" s="506"/>
      <c r="G58" s="506"/>
      <c r="H58" s="506"/>
      <c r="I58" s="506"/>
      <c r="J58" s="506"/>
      <c r="K58" s="506"/>
      <c r="L58" s="510"/>
    </row>
    <row r="59" spans="2:15" ht="15.6" x14ac:dyDescent="0.3">
      <c r="B59" s="507"/>
      <c r="C59" s="513" t="s">
        <v>528</v>
      </c>
      <c r="D59" s="506"/>
      <c r="E59" s="506"/>
      <c r="F59" s="506"/>
      <c r="G59" s="506"/>
      <c r="H59" s="506"/>
      <c r="I59" s="506"/>
      <c r="J59" s="506"/>
      <c r="K59" s="506"/>
      <c r="L59" s="510"/>
    </row>
    <row r="60" spans="2:15" ht="15.6" x14ac:dyDescent="0.3">
      <c r="B60" s="507"/>
      <c r="C60" s="506" t="s">
        <v>885</v>
      </c>
      <c r="D60" s="506"/>
      <c r="E60" s="506"/>
      <c r="F60" s="506"/>
      <c r="G60" s="506"/>
      <c r="H60" s="506"/>
      <c r="I60" s="506"/>
      <c r="J60" s="506"/>
      <c r="K60" s="506"/>
      <c r="L60" s="510"/>
    </row>
    <row r="61" spans="2:15" ht="15.6" x14ac:dyDescent="0.3">
      <c r="B61" s="507"/>
      <c r="C61" s="506"/>
      <c r="D61" s="506"/>
      <c r="E61" s="506"/>
      <c r="F61" s="506"/>
      <c r="G61" s="506"/>
      <c r="H61" s="506"/>
      <c r="I61" s="506"/>
      <c r="J61" s="506"/>
      <c r="K61" s="506"/>
      <c r="L61" s="510"/>
    </row>
    <row r="62" spans="2:15" x14ac:dyDescent="0.25">
      <c r="B62" s="668" t="s">
        <v>886</v>
      </c>
      <c r="C62" s="674"/>
      <c r="D62" s="674"/>
      <c r="E62" s="674"/>
      <c r="F62" s="674"/>
      <c r="G62" s="674"/>
      <c r="H62" s="674"/>
      <c r="I62" s="674"/>
      <c r="J62" s="674"/>
      <c r="K62" s="674"/>
      <c r="L62" s="675"/>
    </row>
    <row r="63" spans="2:15" ht="24" customHeight="1" x14ac:dyDescent="0.25">
      <c r="B63" s="676"/>
      <c r="C63" s="674"/>
      <c r="D63" s="674"/>
      <c r="E63" s="674"/>
      <c r="F63" s="674"/>
      <c r="G63" s="674"/>
      <c r="H63" s="674"/>
      <c r="I63" s="674"/>
      <c r="J63" s="674"/>
      <c r="K63" s="674"/>
      <c r="L63" s="675"/>
    </row>
    <row r="64" spans="2:15" ht="15.6" x14ac:dyDescent="0.3">
      <c r="B64" s="507"/>
      <c r="C64" s="506"/>
      <c r="D64" s="506"/>
      <c r="E64" s="506"/>
      <c r="F64" s="506"/>
      <c r="G64" s="506"/>
      <c r="H64" s="506"/>
      <c r="I64" s="506"/>
      <c r="J64" s="506"/>
      <c r="K64" s="506"/>
      <c r="L64" s="510"/>
    </row>
    <row r="65" spans="2:15" ht="15.6" x14ac:dyDescent="0.25">
      <c r="B65" s="676" t="s">
        <v>887</v>
      </c>
      <c r="C65" s="674"/>
      <c r="D65" s="674"/>
      <c r="E65" s="674"/>
      <c r="F65" s="674"/>
      <c r="G65" s="674"/>
      <c r="H65" s="674"/>
      <c r="I65" s="674"/>
      <c r="J65" s="674"/>
      <c r="K65" s="674"/>
      <c r="L65" s="675"/>
    </row>
    <row r="66" spans="2:15" ht="15.6" x14ac:dyDescent="0.25">
      <c r="B66" s="514"/>
      <c r="C66" s="515" t="s">
        <v>888</v>
      </c>
      <c r="D66" s="516"/>
      <c r="E66" s="516"/>
      <c r="F66" s="516"/>
      <c r="G66" s="516"/>
      <c r="H66" s="516"/>
      <c r="I66" s="516"/>
      <c r="J66" s="516"/>
      <c r="K66" s="516"/>
      <c r="L66" s="517"/>
    </row>
    <row r="67" spans="2:15" ht="15.6" x14ac:dyDescent="0.3">
      <c r="B67" s="518"/>
      <c r="C67" s="506" t="s">
        <v>526</v>
      </c>
      <c r="D67" s="506"/>
      <c r="E67" s="506"/>
      <c r="F67" s="506"/>
      <c r="G67" s="506"/>
      <c r="H67" s="506"/>
      <c r="I67" s="506"/>
      <c r="J67" s="506"/>
      <c r="K67" s="506"/>
      <c r="L67" s="510"/>
      <c r="O67" s="300"/>
    </row>
    <row r="68" spans="2:15" ht="16.2" thickBot="1" x14ac:dyDescent="0.35">
      <c r="B68" s="519"/>
      <c r="C68" s="509" t="s">
        <v>885</v>
      </c>
      <c r="D68" s="509"/>
      <c r="E68" s="509"/>
      <c r="F68" s="509"/>
      <c r="G68" s="509"/>
      <c r="H68" s="509"/>
      <c r="I68" s="509"/>
      <c r="J68" s="509"/>
      <c r="K68" s="509"/>
      <c r="L68" s="512"/>
      <c r="O68" s="300"/>
    </row>
    <row r="69" spans="2:15" x14ac:dyDescent="0.25">
      <c r="O69" s="300"/>
    </row>
    <row r="70" spans="2:15" ht="13.8" thickBot="1" x14ac:dyDescent="0.3">
      <c r="O70" s="300"/>
    </row>
    <row r="71" spans="2:15" ht="18.600000000000001" thickBot="1" x14ac:dyDescent="0.4">
      <c r="B71" s="662" t="s">
        <v>525</v>
      </c>
      <c r="C71" s="663"/>
      <c r="D71" s="663"/>
      <c r="E71" s="663"/>
      <c r="F71" s="663"/>
      <c r="G71" s="663"/>
      <c r="H71" s="663"/>
      <c r="I71" s="663"/>
      <c r="J71" s="663"/>
      <c r="K71" s="663"/>
      <c r="L71" s="664"/>
    </row>
    <row r="72" spans="2:15" ht="15.6" x14ac:dyDescent="0.3">
      <c r="B72" s="520" t="s">
        <v>521</v>
      </c>
      <c r="C72" s="504"/>
      <c r="D72" s="504"/>
      <c r="E72" s="504"/>
      <c r="F72" s="304"/>
      <c r="G72" s="304"/>
      <c r="H72" s="304"/>
      <c r="I72" s="304"/>
      <c r="J72" s="304"/>
      <c r="K72" s="304"/>
      <c r="L72" s="305"/>
    </row>
    <row r="73" spans="2:15" ht="15.6" x14ac:dyDescent="0.3">
      <c r="B73" s="521" t="s">
        <v>519</v>
      </c>
      <c r="C73" s="506"/>
      <c r="D73" s="506"/>
      <c r="E73" s="506"/>
      <c r="L73" s="306"/>
    </row>
    <row r="74" spans="2:15" ht="16.2" thickBot="1" x14ac:dyDescent="0.35">
      <c r="B74" s="522" t="s">
        <v>520</v>
      </c>
      <c r="C74" s="509"/>
      <c r="D74" s="509"/>
      <c r="E74" s="509"/>
      <c r="F74" s="307"/>
      <c r="G74" s="307"/>
      <c r="H74" s="307"/>
      <c r="I74" s="307"/>
      <c r="J74" s="307"/>
      <c r="K74" s="307"/>
      <c r="L74" s="308"/>
    </row>
  </sheetData>
  <mergeCells count="11">
    <mergeCell ref="B11:L11"/>
    <mergeCell ref="B28:L28"/>
    <mergeCell ref="B55:L55"/>
    <mergeCell ref="B71:L71"/>
    <mergeCell ref="B29:L30"/>
    <mergeCell ref="B35:L36"/>
    <mergeCell ref="B41:L42"/>
    <mergeCell ref="B47:L48"/>
    <mergeCell ref="B56:L56"/>
    <mergeCell ref="B62:L63"/>
    <mergeCell ref="B65:L6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3AA0-BEF5-4F89-8652-93FFAAFF3C7A}">
  <sheetPr>
    <tabColor theme="8"/>
  </sheetPr>
  <dimension ref="A1:H158"/>
  <sheetViews>
    <sheetView topLeftCell="A149" zoomScale="70" zoomScaleNormal="70" workbookViewId="0">
      <selection activeCell="O59" sqref="N59:O59"/>
    </sheetView>
  </sheetViews>
  <sheetFormatPr baseColWidth="10" defaultColWidth="11.44140625" defaultRowHeight="13.2" x14ac:dyDescent="0.25"/>
  <cols>
    <col min="1" max="1" width="64.33203125" style="58" customWidth="1"/>
    <col min="2" max="2" width="24.109375" style="58" customWidth="1"/>
    <col min="3" max="3" width="34.88671875" style="58" customWidth="1"/>
    <col min="4" max="4" width="20.6640625" style="58" customWidth="1"/>
    <col min="5" max="5" width="19.109375" style="58" customWidth="1"/>
    <col min="6" max="7" width="20.33203125" style="58" customWidth="1"/>
    <col min="8" max="8" width="20.5546875" style="58" customWidth="1"/>
    <col min="9" max="16384" width="11.44140625" style="58"/>
  </cols>
  <sheetData>
    <row r="1" spans="1:8" ht="22.8" x14ac:dyDescent="0.25">
      <c r="A1" s="575" t="s">
        <v>622</v>
      </c>
      <c r="B1" s="575"/>
      <c r="C1" s="575"/>
      <c r="D1" s="575"/>
      <c r="E1" s="575"/>
      <c r="F1" s="575"/>
      <c r="G1" s="575"/>
      <c r="H1" s="575"/>
    </row>
    <row r="3" spans="1:8" ht="15.6" x14ac:dyDescent="0.3">
      <c r="A3" s="439" t="s">
        <v>623</v>
      </c>
    </row>
    <row r="4" spans="1:8" ht="15.6" x14ac:dyDescent="0.3">
      <c r="A4" s="439"/>
    </row>
    <row r="5" spans="1:8" ht="15.6" x14ac:dyDescent="0.3">
      <c r="A5" s="441" t="s">
        <v>624</v>
      </c>
    </row>
    <row r="6" spans="1:8" ht="15.6" x14ac:dyDescent="0.25">
      <c r="A6" s="534" t="s">
        <v>891</v>
      </c>
    </row>
    <row r="7" spans="1:8" ht="15.6" x14ac:dyDescent="0.25">
      <c r="A7" s="534" t="s">
        <v>892</v>
      </c>
    </row>
    <row r="8" spans="1:8" ht="15.6" x14ac:dyDescent="0.3">
      <c r="A8" s="439"/>
    </row>
    <row r="9" spans="1:8" ht="15.6" x14ac:dyDescent="0.3">
      <c r="A9" s="441" t="s">
        <v>625</v>
      </c>
    </row>
    <row r="10" spans="1:8" ht="15.6" x14ac:dyDescent="0.25">
      <c r="A10" s="534" t="s">
        <v>626</v>
      </c>
    </row>
    <row r="11" spans="1:8" ht="15.6" x14ac:dyDescent="0.25">
      <c r="A11" s="535" t="s">
        <v>682</v>
      </c>
    </row>
    <row r="12" spans="1:8" ht="15.6" x14ac:dyDescent="0.3">
      <c r="A12" s="439" t="s">
        <v>681</v>
      </c>
    </row>
    <row r="13" spans="1:8" ht="15.6" x14ac:dyDescent="0.25">
      <c r="A13" s="534" t="s">
        <v>627</v>
      </c>
    </row>
    <row r="14" spans="1:8" ht="15.6" x14ac:dyDescent="0.25">
      <c r="A14" s="535" t="s">
        <v>683</v>
      </c>
    </row>
    <row r="15" spans="1:8" ht="15.6" x14ac:dyDescent="0.25">
      <c r="A15" s="535" t="s">
        <v>684</v>
      </c>
    </row>
    <row r="16" spans="1:8" ht="15.6" x14ac:dyDescent="0.25">
      <c r="A16" s="535"/>
    </row>
    <row r="17" spans="1:8" ht="13.8" thickBot="1" x14ac:dyDescent="0.3"/>
    <row r="18" spans="1:8" ht="25.5" customHeight="1" thickBot="1" x14ac:dyDescent="0.3">
      <c r="A18" s="756" t="s">
        <v>666</v>
      </c>
      <c r="B18" s="757"/>
      <c r="C18" s="757"/>
      <c r="D18" s="757"/>
      <c r="E18" s="757"/>
      <c r="F18" s="757"/>
      <c r="G18" s="757"/>
      <c r="H18" s="758"/>
    </row>
    <row r="19" spans="1:8" ht="13.8" thickBot="1" x14ac:dyDescent="0.3">
      <c r="A19" s="1"/>
      <c r="B19" s="1"/>
      <c r="C19" s="1"/>
      <c r="D19" s="1"/>
      <c r="E19" s="1"/>
      <c r="F19" s="1"/>
      <c r="G19" s="1"/>
      <c r="H19" s="1"/>
    </row>
    <row r="20" spans="1:8" ht="20.399999999999999" x14ac:dyDescent="0.25">
      <c r="A20" s="329" t="s">
        <v>621</v>
      </c>
      <c r="B20" s="330"/>
      <c r="C20" s="330"/>
      <c r="D20" s="331"/>
      <c r="E20" s="330"/>
      <c r="F20" s="330"/>
      <c r="G20" s="330"/>
      <c r="H20" s="332" t="str">
        <f>B23</f>
        <v>ref-001</v>
      </c>
    </row>
    <row r="21" spans="1:8" ht="13.8" x14ac:dyDescent="0.25">
      <c r="A21" s="333" t="s">
        <v>551</v>
      </c>
      <c r="B21" s="314"/>
      <c r="C21" s="314"/>
      <c r="D21" s="314"/>
      <c r="E21" s="314"/>
      <c r="F21" s="314"/>
      <c r="G21" s="314"/>
      <c r="H21" s="334"/>
    </row>
    <row r="22" spans="1:8" ht="13.8" x14ac:dyDescent="0.25">
      <c r="A22" s="335" t="s">
        <v>552</v>
      </c>
      <c r="B22" s="754" t="s">
        <v>628</v>
      </c>
      <c r="C22" s="754"/>
      <c r="D22" s="754"/>
      <c r="E22" s="754"/>
      <c r="F22" s="754"/>
      <c r="G22" s="754"/>
      <c r="H22" s="755"/>
    </row>
    <row r="23" spans="1:8" ht="13.8" x14ac:dyDescent="0.25">
      <c r="A23" s="336" t="s">
        <v>553</v>
      </c>
      <c r="B23" s="759" t="s">
        <v>554</v>
      </c>
      <c r="C23" s="759"/>
      <c r="D23" s="759"/>
      <c r="E23" s="759"/>
      <c r="F23" s="759"/>
      <c r="G23" s="759"/>
      <c r="H23" s="760"/>
    </row>
    <row r="24" spans="1:8" ht="13.8" x14ac:dyDescent="0.25">
      <c r="A24" s="335" t="s">
        <v>555</v>
      </c>
      <c r="B24" s="761">
        <v>45491</v>
      </c>
      <c r="C24" s="762"/>
      <c r="D24" s="762"/>
      <c r="E24" s="762"/>
      <c r="F24" s="762"/>
      <c r="G24" s="762"/>
      <c r="H24" s="763"/>
    </row>
    <row r="25" spans="1:8" ht="13.8" x14ac:dyDescent="0.25">
      <c r="A25" s="338" t="s">
        <v>556</v>
      </c>
      <c r="B25" s="770">
        <v>45491</v>
      </c>
      <c r="C25" s="691"/>
      <c r="D25" s="691"/>
      <c r="E25" s="691"/>
      <c r="F25" s="691"/>
      <c r="G25" s="691"/>
      <c r="H25" s="692"/>
    </row>
    <row r="26" spans="1:8" ht="13.8" x14ac:dyDescent="0.25">
      <c r="A26" s="339"/>
      <c r="B26" s="340"/>
      <c r="C26" s="340"/>
      <c r="D26" s="340"/>
      <c r="E26" s="340"/>
      <c r="F26" s="340"/>
      <c r="G26" s="340"/>
      <c r="H26" s="341"/>
    </row>
    <row r="27" spans="1:8" ht="13.8" x14ac:dyDescent="0.25">
      <c r="A27" s="333" t="s">
        <v>557</v>
      </c>
      <c r="B27" s="315" t="s">
        <v>558</v>
      </c>
      <c r="C27" s="315" t="s">
        <v>559</v>
      </c>
      <c r="D27" s="315" t="s">
        <v>560</v>
      </c>
      <c r="E27" s="315" t="s">
        <v>561</v>
      </c>
      <c r="F27" s="315" t="s">
        <v>562</v>
      </c>
      <c r="G27" s="315" t="s">
        <v>563</v>
      </c>
      <c r="H27" s="342" t="s">
        <v>564</v>
      </c>
    </row>
    <row r="28" spans="1:8" ht="13.8" x14ac:dyDescent="0.25">
      <c r="A28" s="338" t="s">
        <v>565</v>
      </c>
      <c r="B28" s="1" t="s">
        <v>630</v>
      </c>
      <c r="C28" s="317" t="s">
        <v>631</v>
      </c>
      <c r="D28" s="317" t="s">
        <v>632</v>
      </c>
      <c r="E28" s="317" t="s">
        <v>633</v>
      </c>
      <c r="F28" s="317" t="s">
        <v>634</v>
      </c>
      <c r="G28" s="317" t="s">
        <v>635</v>
      </c>
      <c r="H28" s="355" t="s">
        <v>636</v>
      </c>
    </row>
    <row r="29" spans="1:8" ht="13.8" x14ac:dyDescent="0.25">
      <c r="A29" s="336" t="s">
        <v>566</v>
      </c>
      <c r="B29" s="316" t="s">
        <v>629</v>
      </c>
      <c r="C29" s="317" t="s">
        <v>631</v>
      </c>
      <c r="D29" s="318" t="s">
        <v>632</v>
      </c>
      <c r="E29" s="317" t="s">
        <v>633</v>
      </c>
      <c r="F29" s="317" t="s">
        <v>634</v>
      </c>
      <c r="G29" s="318" t="s">
        <v>635</v>
      </c>
      <c r="H29" s="356" t="s">
        <v>637</v>
      </c>
    </row>
    <row r="30" spans="1:8" ht="13.8" x14ac:dyDescent="0.25">
      <c r="A30" s="336" t="s">
        <v>567</v>
      </c>
      <c r="B30" s="319"/>
      <c r="C30" s="320"/>
      <c r="D30" s="316"/>
      <c r="E30" s="320"/>
      <c r="F30" s="320"/>
      <c r="G30" s="320"/>
      <c r="H30" s="343"/>
    </row>
    <row r="31" spans="1:8" ht="13.8" x14ac:dyDescent="0.25">
      <c r="A31" s="335" t="s">
        <v>568</v>
      </c>
      <c r="B31" s="321"/>
      <c r="C31" s="318"/>
      <c r="D31" s="322"/>
      <c r="E31" s="318"/>
      <c r="F31" s="318"/>
      <c r="G31" s="318"/>
      <c r="H31" s="337"/>
    </row>
    <row r="32" spans="1:8" ht="13.8" x14ac:dyDescent="0.25">
      <c r="A32" s="338" t="s">
        <v>569</v>
      </c>
      <c r="B32" s="319"/>
      <c r="C32" s="320"/>
      <c r="D32" s="320"/>
      <c r="E32" s="320"/>
      <c r="F32" s="320"/>
      <c r="G32" s="320"/>
      <c r="H32" s="343"/>
    </row>
    <row r="33" spans="1:8" ht="13.8" x14ac:dyDescent="0.25">
      <c r="A33" s="344"/>
      <c r="B33" s="345"/>
      <c r="C33" s="345"/>
      <c r="D33" s="345"/>
      <c r="E33" s="345"/>
      <c r="F33" s="345"/>
      <c r="G33" s="345"/>
      <c r="H33" s="346"/>
    </row>
    <row r="34" spans="1:8" ht="13.8" x14ac:dyDescent="0.25">
      <c r="A34" s="333" t="s">
        <v>570</v>
      </c>
      <c r="B34" s="323"/>
      <c r="C34" s="323"/>
      <c r="D34" s="323"/>
      <c r="E34" s="323"/>
      <c r="F34" s="323"/>
      <c r="G34" s="323"/>
      <c r="H34" s="347"/>
    </row>
    <row r="35" spans="1:8" ht="13.8" x14ac:dyDescent="0.25">
      <c r="A35" s="336" t="s">
        <v>571</v>
      </c>
      <c r="B35" s="771" t="s">
        <v>638</v>
      </c>
      <c r="C35" s="771"/>
      <c r="D35" s="771"/>
      <c r="E35" s="771"/>
      <c r="F35" s="771"/>
      <c r="G35" s="771"/>
      <c r="H35" s="772"/>
    </row>
    <row r="36" spans="1:8" ht="13.8" x14ac:dyDescent="0.25">
      <c r="A36" s="335" t="s">
        <v>572</v>
      </c>
      <c r="B36" s="754" t="s">
        <v>639</v>
      </c>
      <c r="C36" s="754"/>
      <c r="D36" s="754"/>
      <c r="E36" s="754"/>
      <c r="F36" s="754"/>
      <c r="G36" s="754"/>
      <c r="H36" s="755"/>
    </row>
    <row r="37" spans="1:8" ht="13.8" x14ac:dyDescent="0.25">
      <c r="A37" s="335" t="s">
        <v>573</v>
      </c>
      <c r="B37" s="771" t="s">
        <v>640</v>
      </c>
      <c r="C37" s="771"/>
      <c r="D37" s="771"/>
      <c r="E37" s="771"/>
      <c r="F37" s="771"/>
      <c r="G37" s="771"/>
      <c r="H37" s="772"/>
    </row>
    <row r="38" spans="1:8" ht="13.8" x14ac:dyDescent="0.25">
      <c r="A38" s="338" t="s">
        <v>574</v>
      </c>
      <c r="B38" s="689" t="s">
        <v>641</v>
      </c>
      <c r="C38" s="689"/>
      <c r="D38" s="689"/>
      <c r="E38" s="689"/>
      <c r="F38" s="689"/>
      <c r="G38" s="689"/>
      <c r="H38" s="690"/>
    </row>
    <row r="39" spans="1:8" ht="13.8" x14ac:dyDescent="0.25">
      <c r="A39" s="336" t="s">
        <v>575</v>
      </c>
      <c r="B39" s="771" t="s">
        <v>642</v>
      </c>
      <c r="C39" s="771"/>
      <c r="D39" s="771"/>
      <c r="E39" s="771"/>
      <c r="F39" s="771"/>
      <c r="G39" s="771"/>
      <c r="H39" s="772"/>
    </row>
    <row r="40" spans="1:8" ht="13.8" x14ac:dyDescent="0.25">
      <c r="A40" s="335" t="s">
        <v>576</v>
      </c>
      <c r="B40" s="754" t="s">
        <v>643</v>
      </c>
      <c r="C40" s="754"/>
      <c r="D40" s="754"/>
      <c r="E40" s="754"/>
      <c r="F40" s="754"/>
      <c r="G40" s="754"/>
      <c r="H40" s="755"/>
    </row>
    <row r="41" spans="1:8" ht="13.8" x14ac:dyDescent="0.25">
      <c r="A41" s="348"/>
      <c r="B41" s="340"/>
      <c r="C41" s="340"/>
      <c r="D41" s="340"/>
      <c r="E41" s="340"/>
      <c r="F41" s="340"/>
      <c r="G41" s="340"/>
      <c r="H41" s="341"/>
    </row>
    <row r="42" spans="1:8" ht="13.8" x14ac:dyDescent="0.25">
      <c r="A42" s="349" t="s">
        <v>577</v>
      </c>
      <c r="B42" s="695" t="s">
        <v>578</v>
      </c>
      <c r="C42" s="695"/>
      <c r="D42" s="695"/>
      <c r="E42" s="738" t="s">
        <v>579</v>
      </c>
      <c r="F42" s="738"/>
      <c r="G42" s="738"/>
      <c r="H42" s="739"/>
    </row>
    <row r="43" spans="1:8" ht="14.25" customHeight="1" x14ac:dyDescent="0.25">
      <c r="A43" s="743" t="s">
        <v>580</v>
      </c>
      <c r="B43" s="694" t="s">
        <v>644</v>
      </c>
      <c r="C43" s="694"/>
      <c r="D43" s="694"/>
      <c r="E43" s="691" t="s">
        <v>678</v>
      </c>
      <c r="F43" s="691"/>
      <c r="G43" s="691"/>
      <c r="H43" s="692"/>
    </row>
    <row r="44" spans="1:8" ht="14.25" customHeight="1" x14ac:dyDescent="0.25">
      <c r="A44" s="744"/>
      <c r="B44" s="767" t="s">
        <v>646</v>
      </c>
      <c r="C44" s="768"/>
      <c r="D44" s="769"/>
      <c r="E44" s="691" t="s">
        <v>645</v>
      </c>
      <c r="F44" s="691"/>
      <c r="G44" s="691"/>
      <c r="H44" s="692"/>
    </row>
    <row r="45" spans="1:8" ht="13.8" x14ac:dyDescent="0.25">
      <c r="A45" s="338" t="s">
        <v>581</v>
      </c>
      <c r="B45" s="785" t="s">
        <v>647</v>
      </c>
      <c r="C45" s="785"/>
      <c r="D45" s="785"/>
      <c r="E45" s="746" t="s">
        <v>648</v>
      </c>
      <c r="F45" s="746"/>
      <c r="G45" s="746"/>
      <c r="H45" s="747"/>
    </row>
    <row r="46" spans="1:8" ht="27.6" x14ac:dyDescent="0.25">
      <c r="A46" s="338" t="s">
        <v>582</v>
      </c>
      <c r="B46" s="694"/>
      <c r="C46" s="694"/>
      <c r="D46" s="694"/>
      <c r="E46" s="691"/>
      <c r="F46" s="691"/>
      <c r="G46" s="691"/>
      <c r="H46" s="692"/>
    </row>
    <row r="47" spans="1:8" ht="13.8" x14ac:dyDescent="0.25">
      <c r="A47" s="338" t="s">
        <v>583</v>
      </c>
      <c r="B47" s="693" t="s">
        <v>649</v>
      </c>
      <c r="C47" s="693"/>
      <c r="D47" s="693"/>
      <c r="E47" s="689" t="s">
        <v>650</v>
      </c>
      <c r="F47" s="689"/>
      <c r="G47" s="689"/>
      <c r="H47" s="690"/>
    </row>
    <row r="48" spans="1:8" ht="27.6" x14ac:dyDescent="0.25">
      <c r="A48" s="350" t="s">
        <v>584</v>
      </c>
      <c r="B48" s="742"/>
      <c r="C48" s="742"/>
      <c r="D48" s="742"/>
      <c r="E48" s="691"/>
      <c r="F48" s="691"/>
      <c r="G48" s="691"/>
      <c r="H48" s="692"/>
    </row>
    <row r="49" spans="1:8" ht="13.8" x14ac:dyDescent="0.25">
      <c r="A49" s="338" t="s">
        <v>585</v>
      </c>
      <c r="B49" s="693"/>
      <c r="C49" s="693"/>
      <c r="D49" s="693"/>
      <c r="E49" s="689"/>
      <c r="F49" s="689"/>
      <c r="G49" s="689"/>
      <c r="H49" s="690"/>
    </row>
    <row r="50" spans="1:8" ht="13.8" x14ac:dyDescent="0.25">
      <c r="A50" s="344"/>
      <c r="B50" s="345"/>
      <c r="C50" s="345"/>
      <c r="D50" s="345"/>
      <c r="E50" s="345"/>
      <c r="F50" s="345"/>
      <c r="G50" s="345"/>
      <c r="H50" s="346"/>
    </row>
    <row r="51" spans="1:8" ht="13.8" x14ac:dyDescent="0.25">
      <c r="A51" s="349" t="s">
        <v>586</v>
      </c>
      <c r="B51" s="695" t="s">
        <v>578</v>
      </c>
      <c r="C51" s="695"/>
      <c r="D51" s="695"/>
      <c r="E51" s="738" t="s">
        <v>579</v>
      </c>
      <c r="F51" s="738"/>
      <c r="G51" s="738"/>
      <c r="H51" s="739"/>
    </row>
    <row r="52" spans="1:8" ht="13.8" x14ac:dyDescent="0.25">
      <c r="A52" s="338" t="s">
        <v>587</v>
      </c>
      <c r="B52" s="740"/>
      <c r="C52" s="740"/>
      <c r="D52" s="740"/>
      <c r="E52" s="740"/>
      <c r="F52" s="740"/>
      <c r="G52" s="740"/>
      <c r="H52" s="357"/>
    </row>
    <row r="53" spans="1:8" ht="13.8" x14ac:dyDescent="0.25">
      <c r="A53" s="338" t="s">
        <v>588</v>
      </c>
      <c r="B53" s="741"/>
      <c r="C53" s="741"/>
      <c r="D53" s="741"/>
      <c r="E53" s="741"/>
      <c r="F53" s="741"/>
      <c r="G53" s="741"/>
      <c r="H53" s="358"/>
    </row>
    <row r="54" spans="1:8" ht="27.6" x14ac:dyDescent="0.25">
      <c r="A54" s="338" t="s">
        <v>589</v>
      </c>
      <c r="B54" s="740"/>
      <c r="C54" s="740"/>
      <c r="D54" s="740"/>
      <c r="E54" s="740"/>
      <c r="F54" s="740"/>
      <c r="G54" s="740"/>
      <c r="H54" s="357"/>
    </row>
    <row r="55" spans="1:8" ht="13.8" x14ac:dyDescent="0.25">
      <c r="A55" s="338" t="s">
        <v>590</v>
      </c>
      <c r="B55" s="740"/>
      <c r="C55" s="740"/>
      <c r="D55" s="740"/>
      <c r="E55" s="740"/>
      <c r="F55" s="740"/>
      <c r="G55" s="740"/>
      <c r="H55" s="357"/>
    </row>
    <row r="56" spans="1:8" ht="13.8" x14ac:dyDescent="0.25">
      <c r="A56" s="338" t="s">
        <v>591</v>
      </c>
      <c r="B56" s="741"/>
      <c r="C56" s="741"/>
      <c r="D56" s="741"/>
      <c r="E56" s="741"/>
      <c r="F56" s="741"/>
      <c r="G56" s="741"/>
      <c r="H56" s="358"/>
    </row>
    <row r="57" spans="1:8" ht="27.6" x14ac:dyDescent="0.25">
      <c r="A57" s="338" t="s">
        <v>592</v>
      </c>
      <c r="B57" s="740"/>
      <c r="C57" s="740"/>
      <c r="D57" s="740"/>
      <c r="E57" s="740"/>
      <c r="F57" s="740"/>
      <c r="G57" s="740"/>
      <c r="H57" s="357"/>
    </row>
    <row r="58" spans="1:8" ht="13.8" x14ac:dyDescent="0.25">
      <c r="A58" s="338" t="s">
        <v>593</v>
      </c>
      <c r="B58" s="741"/>
      <c r="C58" s="741"/>
      <c r="D58" s="741"/>
      <c r="E58" s="741"/>
      <c r="F58" s="741"/>
      <c r="G58" s="741"/>
      <c r="H58" s="358"/>
    </row>
    <row r="59" spans="1:8" ht="13.8" x14ac:dyDescent="0.25">
      <c r="A59" s="338" t="s">
        <v>594</v>
      </c>
      <c r="B59" s="740"/>
      <c r="C59" s="740"/>
      <c r="D59" s="740"/>
      <c r="E59" s="740"/>
      <c r="F59" s="740"/>
      <c r="G59" s="740"/>
      <c r="H59" s="357"/>
    </row>
    <row r="60" spans="1:8" ht="27.6" x14ac:dyDescent="0.25">
      <c r="A60" s="338" t="s">
        <v>595</v>
      </c>
      <c r="B60" s="741"/>
      <c r="C60" s="741"/>
      <c r="D60" s="741"/>
      <c r="E60" s="741"/>
      <c r="F60" s="741"/>
      <c r="G60" s="741"/>
      <c r="H60" s="358"/>
    </row>
    <row r="61" spans="1:8" ht="13.8" x14ac:dyDescent="0.25">
      <c r="A61" s="339"/>
      <c r="B61" s="340"/>
      <c r="C61" s="340"/>
      <c r="D61" s="340"/>
      <c r="E61" s="340"/>
      <c r="F61" s="340"/>
      <c r="G61" s="340"/>
      <c r="H61" s="341"/>
    </row>
    <row r="62" spans="1:8" ht="13.8" x14ac:dyDescent="0.25">
      <c r="A62" s="349" t="s">
        <v>596</v>
      </c>
      <c r="B62" s="695" t="s">
        <v>578</v>
      </c>
      <c r="C62" s="695"/>
      <c r="D62" s="695"/>
      <c r="E62" s="696" t="s">
        <v>597</v>
      </c>
      <c r="F62" s="696"/>
      <c r="G62" s="696"/>
      <c r="H62" s="697"/>
    </row>
    <row r="63" spans="1:8" ht="13.8" x14ac:dyDescent="0.25">
      <c r="A63" s="336" t="s">
        <v>598</v>
      </c>
      <c r="B63" s="731" t="s">
        <v>651</v>
      </c>
      <c r="C63" s="731"/>
      <c r="D63" s="731"/>
      <c r="E63" s="732" t="s">
        <v>652</v>
      </c>
      <c r="F63" s="732"/>
      <c r="G63" s="732"/>
      <c r="H63" s="733"/>
    </row>
    <row r="64" spans="1:8" ht="13.8" x14ac:dyDescent="0.25">
      <c r="A64" s="335" t="s">
        <v>599</v>
      </c>
      <c r="B64" s="734"/>
      <c r="C64" s="734"/>
      <c r="D64" s="734"/>
      <c r="E64" s="735"/>
      <c r="F64" s="735"/>
      <c r="G64" s="735"/>
      <c r="H64" s="736"/>
    </row>
    <row r="65" spans="1:8" ht="13.8" x14ac:dyDescent="0.25">
      <c r="A65" s="339"/>
      <c r="B65" s="340"/>
      <c r="C65" s="340"/>
      <c r="D65" s="340"/>
      <c r="E65" s="340"/>
      <c r="F65" s="340"/>
      <c r="G65" s="340"/>
      <c r="H65" s="341"/>
    </row>
    <row r="66" spans="1:8" ht="13.8" x14ac:dyDescent="0.25">
      <c r="A66" s="349" t="s">
        <v>600</v>
      </c>
      <c r="B66" s="737" t="s">
        <v>601</v>
      </c>
      <c r="C66" s="737"/>
      <c r="D66" s="737"/>
      <c r="E66" s="738" t="s">
        <v>597</v>
      </c>
      <c r="F66" s="738"/>
      <c r="G66" s="738"/>
      <c r="H66" s="739"/>
    </row>
    <row r="67" spans="1:8" ht="14.25" customHeight="1" x14ac:dyDescent="0.25">
      <c r="A67" s="698" t="s">
        <v>602</v>
      </c>
      <c r="B67" s="700" t="s">
        <v>653</v>
      </c>
      <c r="C67" s="701"/>
      <c r="D67" s="702"/>
      <c r="E67" s="706" t="s">
        <v>654</v>
      </c>
      <c r="F67" s="707"/>
      <c r="G67" s="707"/>
      <c r="H67" s="708"/>
    </row>
    <row r="68" spans="1:8" ht="14.25" customHeight="1" x14ac:dyDescent="0.25">
      <c r="A68" s="699"/>
      <c r="B68" s="703"/>
      <c r="C68" s="704"/>
      <c r="D68" s="705"/>
      <c r="E68" s="709"/>
      <c r="F68" s="710"/>
      <c r="G68" s="710"/>
      <c r="H68" s="711"/>
    </row>
    <row r="69" spans="1:8" ht="14.25" customHeight="1" x14ac:dyDescent="0.25">
      <c r="A69" s="698" t="s">
        <v>603</v>
      </c>
      <c r="B69" s="713" t="s">
        <v>655</v>
      </c>
      <c r="C69" s="714"/>
      <c r="D69" s="715"/>
      <c r="E69" s="722" t="s">
        <v>656</v>
      </c>
      <c r="F69" s="723"/>
      <c r="G69" s="723"/>
      <c r="H69" s="724"/>
    </row>
    <row r="70" spans="1:8" ht="14.25" customHeight="1" x14ac:dyDescent="0.25">
      <c r="A70" s="712"/>
      <c r="B70" s="716"/>
      <c r="C70" s="717"/>
      <c r="D70" s="718"/>
      <c r="E70" s="725"/>
      <c r="F70" s="726"/>
      <c r="G70" s="726"/>
      <c r="H70" s="727"/>
    </row>
    <row r="71" spans="1:8" ht="14.25" customHeight="1" x14ac:dyDescent="0.25">
      <c r="A71" s="712"/>
      <c r="B71" s="716"/>
      <c r="C71" s="717"/>
      <c r="D71" s="718"/>
      <c r="E71" s="725"/>
      <c r="F71" s="726"/>
      <c r="G71" s="726"/>
      <c r="H71" s="727"/>
    </row>
    <row r="72" spans="1:8" ht="14.25" customHeight="1" x14ac:dyDescent="0.25">
      <c r="A72" s="699"/>
      <c r="B72" s="719"/>
      <c r="C72" s="720"/>
      <c r="D72" s="721"/>
      <c r="E72" s="728"/>
      <c r="F72" s="729"/>
      <c r="G72" s="729"/>
      <c r="H72" s="730"/>
    </row>
    <row r="73" spans="1:8" ht="13.8" x14ac:dyDescent="0.25">
      <c r="A73" s="335" t="s">
        <v>604</v>
      </c>
      <c r="B73" s="693"/>
      <c r="C73" s="693"/>
      <c r="D73" s="693"/>
      <c r="E73" s="689"/>
      <c r="F73" s="689"/>
      <c r="G73" s="689"/>
      <c r="H73" s="690"/>
    </row>
    <row r="74" spans="1:8" ht="13.8" x14ac:dyDescent="0.25">
      <c r="A74" s="338" t="s">
        <v>605</v>
      </c>
      <c r="B74" s="694"/>
      <c r="C74" s="694"/>
      <c r="D74" s="694"/>
      <c r="E74" s="691"/>
      <c r="F74" s="691"/>
      <c r="G74" s="691"/>
      <c r="H74" s="692"/>
    </row>
    <row r="75" spans="1:8" ht="13.8" x14ac:dyDescent="0.25">
      <c r="A75" s="339"/>
      <c r="B75" s="324"/>
      <c r="C75" s="324"/>
      <c r="D75" s="324"/>
      <c r="E75" s="340"/>
      <c r="F75" s="340"/>
      <c r="G75" s="340"/>
      <c r="H75" s="341"/>
    </row>
    <row r="76" spans="1:8" ht="13.8" x14ac:dyDescent="0.25">
      <c r="A76" s="349" t="s">
        <v>606</v>
      </c>
      <c r="B76" s="695" t="s">
        <v>607</v>
      </c>
      <c r="C76" s="695"/>
      <c r="D76" s="695"/>
      <c r="E76" s="696" t="s">
        <v>597</v>
      </c>
      <c r="F76" s="696"/>
      <c r="G76" s="696"/>
      <c r="H76" s="697"/>
    </row>
    <row r="77" spans="1:8" ht="13.8" x14ac:dyDescent="0.25">
      <c r="A77" s="338" t="s">
        <v>608</v>
      </c>
      <c r="B77" s="686" t="s">
        <v>657</v>
      </c>
      <c r="C77" s="686"/>
      <c r="D77" s="686"/>
      <c r="E77" s="687" t="s">
        <v>660</v>
      </c>
      <c r="F77" s="687"/>
      <c r="G77" s="687"/>
      <c r="H77" s="688"/>
    </row>
    <row r="78" spans="1:8" ht="13.8" x14ac:dyDescent="0.25">
      <c r="A78" s="338" t="s">
        <v>609</v>
      </c>
      <c r="B78" s="686" t="s">
        <v>658</v>
      </c>
      <c r="C78" s="686"/>
      <c r="D78" s="686"/>
      <c r="E78" s="689" t="s">
        <v>661</v>
      </c>
      <c r="F78" s="689"/>
      <c r="G78" s="689"/>
      <c r="H78" s="690"/>
    </row>
    <row r="79" spans="1:8" ht="13.8" x14ac:dyDescent="0.25">
      <c r="A79" s="350" t="s">
        <v>610</v>
      </c>
      <c r="B79" s="686" t="s">
        <v>659</v>
      </c>
      <c r="C79" s="686"/>
      <c r="D79" s="686"/>
      <c r="E79" s="691" t="s">
        <v>662</v>
      </c>
      <c r="F79" s="691"/>
      <c r="G79" s="691"/>
      <c r="H79" s="692"/>
    </row>
    <row r="80" spans="1:8" ht="13.8" x14ac:dyDescent="0.25">
      <c r="A80" s="351"/>
      <c r="B80" s="325"/>
      <c r="C80" s="326"/>
      <c r="D80" s="326"/>
      <c r="E80" s="327"/>
      <c r="F80" s="327"/>
      <c r="G80" s="327"/>
      <c r="H80" s="352"/>
    </row>
    <row r="81" spans="1:8" ht="13.8" x14ac:dyDescent="0.25">
      <c r="A81" s="353" t="s">
        <v>611</v>
      </c>
      <c r="B81" s="328" t="s">
        <v>612</v>
      </c>
      <c r="C81" s="328" t="s">
        <v>562</v>
      </c>
      <c r="D81" s="677" t="s">
        <v>613</v>
      </c>
      <c r="E81" s="677"/>
      <c r="F81" s="678" t="s">
        <v>614</v>
      </c>
      <c r="G81" s="678"/>
      <c r="H81" s="679"/>
    </row>
    <row r="82" spans="1:8" ht="28.5" customHeight="1" x14ac:dyDescent="0.25">
      <c r="A82" s="336" t="s">
        <v>615</v>
      </c>
      <c r="B82" s="680" t="s">
        <v>663</v>
      </c>
      <c r="C82" s="680"/>
      <c r="D82" s="680"/>
      <c r="E82" s="680"/>
      <c r="F82" s="680"/>
      <c r="G82" s="680"/>
      <c r="H82" s="681"/>
    </row>
    <row r="83" spans="1:8" ht="13.8" x14ac:dyDescent="0.25">
      <c r="A83" s="335" t="s">
        <v>616</v>
      </c>
      <c r="B83" s="682"/>
      <c r="C83" s="682"/>
      <c r="D83" s="682"/>
      <c r="E83" s="682"/>
      <c r="F83" s="682"/>
      <c r="G83" s="682"/>
      <c r="H83" s="683"/>
    </row>
    <row r="84" spans="1:8" ht="13.8" x14ac:dyDescent="0.25">
      <c r="A84" s="336" t="s">
        <v>617</v>
      </c>
      <c r="B84" s="682"/>
      <c r="C84" s="682"/>
      <c r="D84" s="682"/>
      <c r="E84" s="682"/>
      <c r="F84" s="682"/>
      <c r="G84" s="682"/>
      <c r="H84" s="683"/>
    </row>
    <row r="85" spans="1:8" ht="14.4" thickBot="1" x14ac:dyDescent="0.3">
      <c r="A85" s="354" t="s">
        <v>618</v>
      </c>
      <c r="B85" s="684"/>
      <c r="C85" s="684"/>
      <c r="D85" s="684"/>
      <c r="E85" s="684"/>
      <c r="F85" s="684"/>
      <c r="G85" s="684"/>
      <c r="H85" s="685"/>
    </row>
    <row r="90" spans="1:8" ht="13.8" thickBot="1" x14ac:dyDescent="0.3"/>
    <row r="91" spans="1:8" ht="23.4" thickBot="1" x14ac:dyDescent="0.3">
      <c r="A91" s="756" t="s">
        <v>665</v>
      </c>
      <c r="B91" s="757"/>
      <c r="C91" s="757"/>
      <c r="D91" s="757"/>
      <c r="E91" s="757"/>
      <c r="F91" s="757"/>
      <c r="G91" s="757"/>
      <c r="H91" s="758"/>
    </row>
    <row r="92" spans="1:8" ht="13.8" thickBot="1" x14ac:dyDescent="0.3">
      <c r="A92" s="1"/>
      <c r="B92" s="1"/>
      <c r="C92" s="1"/>
      <c r="D92" s="1"/>
      <c r="E92" s="1"/>
      <c r="F92" s="1"/>
      <c r="G92" s="1"/>
      <c r="H92" s="1"/>
    </row>
    <row r="93" spans="1:8" ht="20.399999999999999" x14ac:dyDescent="0.25">
      <c r="A93" s="329" t="s">
        <v>621</v>
      </c>
      <c r="B93" s="330"/>
      <c r="C93" s="330"/>
      <c r="D93" s="331"/>
      <c r="E93" s="330"/>
      <c r="F93" s="330"/>
      <c r="G93" s="330"/>
      <c r="H93" s="332" t="str">
        <f>B96</f>
        <v>ref-002</v>
      </c>
    </row>
    <row r="94" spans="1:8" ht="13.8" x14ac:dyDescent="0.25">
      <c r="A94" s="333" t="s">
        <v>551</v>
      </c>
      <c r="B94" s="314"/>
      <c r="C94" s="314"/>
      <c r="D94" s="314"/>
      <c r="E94" s="314"/>
      <c r="F94" s="314"/>
      <c r="G94" s="314"/>
      <c r="H94" s="334"/>
    </row>
    <row r="95" spans="1:8" ht="13.8" x14ac:dyDescent="0.25">
      <c r="A95" s="335" t="s">
        <v>552</v>
      </c>
      <c r="B95" s="754" t="s">
        <v>668</v>
      </c>
      <c r="C95" s="754"/>
      <c r="D95" s="754"/>
      <c r="E95" s="754"/>
      <c r="F95" s="754"/>
      <c r="G95" s="754"/>
      <c r="H95" s="755"/>
    </row>
    <row r="96" spans="1:8" ht="13.8" x14ac:dyDescent="0.25">
      <c r="A96" s="336" t="s">
        <v>553</v>
      </c>
      <c r="B96" s="759" t="s">
        <v>667</v>
      </c>
      <c r="C96" s="759"/>
      <c r="D96" s="759"/>
      <c r="E96" s="759"/>
      <c r="F96" s="759"/>
      <c r="G96" s="759"/>
      <c r="H96" s="760"/>
    </row>
    <row r="97" spans="1:8" ht="13.8" x14ac:dyDescent="0.25">
      <c r="A97" s="335" t="s">
        <v>555</v>
      </c>
      <c r="B97" s="761">
        <v>45491</v>
      </c>
      <c r="C97" s="762"/>
      <c r="D97" s="762"/>
      <c r="E97" s="762"/>
      <c r="F97" s="762"/>
      <c r="G97" s="762"/>
      <c r="H97" s="763"/>
    </row>
    <row r="98" spans="1:8" ht="13.8" x14ac:dyDescent="0.25">
      <c r="A98" s="338" t="s">
        <v>556</v>
      </c>
      <c r="B98" s="764">
        <v>45491</v>
      </c>
      <c r="C98" s="765"/>
      <c r="D98" s="765"/>
      <c r="E98" s="765"/>
      <c r="F98" s="765"/>
      <c r="G98" s="765"/>
      <c r="H98" s="766"/>
    </row>
    <row r="99" spans="1:8" ht="13.8" x14ac:dyDescent="0.25">
      <c r="A99" s="339"/>
      <c r="B99" s="340"/>
      <c r="C99" s="340"/>
      <c r="D99" s="340"/>
      <c r="E99" s="340"/>
      <c r="F99" s="340"/>
      <c r="G99" s="340"/>
      <c r="H99" s="341"/>
    </row>
    <row r="100" spans="1:8" ht="13.8" x14ac:dyDescent="0.25">
      <c r="A100" s="333" t="s">
        <v>557</v>
      </c>
      <c r="B100" s="315" t="s">
        <v>558</v>
      </c>
      <c r="C100" s="315" t="s">
        <v>559</v>
      </c>
      <c r="D100" s="315" t="s">
        <v>560</v>
      </c>
      <c r="E100" s="315" t="s">
        <v>561</v>
      </c>
      <c r="F100" s="315" t="s">
        <v>562</v>
      </c>
      <c r="G100" s="315" t="s">
        <v>563</v>
      </c>
      <c r="H100" s="342" t="s">
        <v>564</v>
      </c>
    </row>
    <row r="101" spans="1:8" ht="13.8" x14ac:dyDescent="0.25">
      <c r="A101" s="338" t="s">
        <v>565</v>
      </c>
      <c r="B101" s="1" t="s">
        <v>630</v>
      </c>
      <c r="C101" s="317" t="s">
        <v>631</v>
      </c>
      <c r="D101" s="317" t="s">
        <v>632</v>
      </c>
      <c r="E101" s="317" t="s">
        <v>633</v>
      </c>
      <c r="F101" s="317" t="s">
        <v>634</v>
      </c>
      <c r="G101" s="317" t="s">
        <v>635</v>
      </c>
      <c r="H101" s="355" t="s">
        <v>636</v>
      </c>
    </row>
    <row r="102" spans="1:8" ht="13.8" x14ac:dyDescent="0.25">
      <c r="A102" s="336" t="s">
        <v>566</v>
      </c>
      <c r="B102" s="316" t="s">
        <v>629</v>
      </c>
      <c r="C102" s="317" t="s">
        <v>631</v>
      </c>
      <c r="D102" s="318" t="s">
        <v>632</v>
      </c>
      <c r="E102" s="317" t="s">
        <v>633</v>
      </c>
      <c r="F102" s="317" t="s">
        <v>634</v>
      </c>
      <c r="G102" s="318" t="s">
        <v>635</v>
      </c>
      <c r="H102" s="356" t="s">
        <v>637</v>
      </c>
    </row>
    <row r="103" spans="1:8" ht="13.8" x14ac:dyDescent="0.25">
      <c r="A103" s="336" t="s">
        <v>567</v>
      </c>
      <c r="B103" s="319"/>
      <c r="C103" s="320"/>
      <c r="D103" s="316"/>
      <c r="E103" s="320"/>
      <c r="F103" s="320"/>
      <c r="G103" s="320"/>
      <c r="H103" s="343"/>
    </row>
    <row r="104" spans="1:8" ht="13.8" x14ac:dyDescent="0.25">
      <c r="A104" s="335" t="s">
        <v>568</v>
      </c>
      <c r="B104" s="321"/>
      <c r="C104" s="318"/>
      <c r="D104" s="322"/>
      <c r="E104" s="318"/>
      <c r="F104" s="318"/>
      <c r="G104" s="318"/>
      <c r="H104" s="337"/>
    </row>
    <row r="105" spans="1:8" ht="13.8" x14ac:dyDescent="0.25">
      <c r="A105" s="338" t="s">
        <v>569</v>
      </c>
      <c r="B105" s="319"/>
      <c r="C105" s="320"/>
      <c r="D105" s="320"/>
      <c r="E105" s="320"/>
      <c r="F105" s="320"/>
      <c r="G105" s="320"/>
      <c r="H105" s="343"/>
    </row>
    <row r="106" spans="1:8" ht="13.8" x14ac:dyDescent="0.25">
      <c r="A106" s="344"/>
      <c r="B106" s="345"/>
      <c r="C106" s="345"/>
      <c r="D106" s="345"/>
      <c r="E106" s="345"/>
      <c r="F106" s="345"/>
      <c r="G106" s="345"/>
      <c r="H106" s="346"/>
    </row>
    <row r="107" spans="1:8" ht="13.8" x14ac:dyDescent="0.25">
      <c r="A107" s="333" t="s">
        <v>570</v>
      </c>
      <c r="B107" s="323"/>
      <c r="C107" s="323"/>
      <c r="D107" s="323"/>
      <c r="E107" s="323"/>
      <c r="F107" s="323"/>
      <c r="G107" s="323"/>
      <c r="H107" s="347"/>
    </row>
    <row r="108" spans="1:8" ht="13.8" x14ac:dyDescent="0.25">
      <c r="A108" s="336" t="s">
        <v>571</v>
      </c>
      <c r="B108" s="750" t="s">
        <v>669</v>
      </c>
      <c r="C108" s="750"/>
      <c r="D108" s="750"/>
      <c r="E108" s="750"/>
      <c r="F108" s="750"/>
      <c r="G108" s="750"/>
      <c r="H108" s="751"/>
    </row>
    <row r="109" spans="1:8" ht="13.8" x14ac:dyDescent="0.25">
      <c r="A109" s="335" t="s">
        <v>572</v>
      </c>
      <c r="B109" s="748" t="s">
        <v>670</v>
      </c>
      <c r="C109" s="748"/>
      <c r="D109" s="748"/>
      <c r="E109" s="748"/>
      <c r="F109" s="748"/>
      <c r="G109" s="748"/>
      <c r="H109" s="749"/>
    </row>
    <row r="110" spans="1:8" ht="13.8" x14ac:dyDescent="0.25">
      <c r="A110" s="335" t="s">
        <v>573</v>
      </c>
      <c r="B110" s="750" t="s">
        <v>671</v>
      </c>
      <c r="C110" s="750"/>
      <c r="D110" s="750"/>
      <c r="E110" s="750"/>
      <c r="F110" s="750"/>
      <c r="G110" s="750"/>
      <c r="H110" s="751"/>
    </row>
    <row r="111" spans="1:8" ht="13.8" x14ac:dyDescent="0.25">
      <c r="A111" s="338" t="s">
        <v>574</v>
      </c>
      <c r="B111" s="746" t="s">
        <v>672</v>
      </c>
      <c r="C111" s="746"/>
      <c r="D111" s="746"/>
      <c r="E111" s="746"/>
      <c r="F111" s="746"/>
      <c r="G111" s="746"/>
      <c r="H111" s="747"/>
    </row>
    <row r="112" spans="1:8" ht="14.25" customHeight="1" x14ac:dyDescent="0.25">
      <c r="A112" s="336" t="s">
        <v>575</v>
      </c>
      <c r="B112" s="752" t="s">
        <v>673</v>
      </c>
      <c r="C112" s="752"/>
      <c r="D112" s="752"/>
      <c r="E112" s="752"/>
      <c r="F112" s="752"/>
      <c r="G112" s="752"/>
      <c r="H112" s="753"/>
    </row>
    <row r="113" spans="1:8" ht="13.8" x14ac:dyDescent="0.25">
      <c r="A113" s="335" t="s">
        <v>576</v>
      </c>
      <c r="B113" s="754"/>
      <c r="C113" s="754"/>
      <c r="D113" s="754"/>
      <c r="E113" s="754"/>
      <c r="F113" s="754"/>
      <c r="G113" s="754"/>
      <c r="H113" s="755"/>
    </row>
    <row r="114" spans="1:8" ht="13.8" x14ac:dyDescent="0.25">
      <c r="A114" s="348"/>
      <c r="B114" s="340"/>
      <c r="C114" s="340"/>
      <c r="D114" s="340"/>
      <c r="E114" s="340"/>
      <c r="F114" s="340"/>
      <c r="G114" s="340"/>
      <c r="H114" s="341"/>
    </row>
    <row r="115" spans="1:8" ht="13.8" x14ac:dyDescent="0.25">
      <c r="A115" s="349" t="s">
        <v>577</v>
      </c>
      <c r="B115" s="695" t="s">
        <v>578</v>
      </c>
      <c r="C115" s="695"/>
      <c r="D115" s="695"/>
      <c r="E115" s="738" t="s">
        <v>579</v>
      </c>
      <c r="F115" s="738"/>
      <c r="G115" s="738"/>
      <c r="H115" s="739"/>
    </row>
    <row r="116" spans="1:8" x14ac:dyDescent="0.25">
      <c r="A116" s="743" t="s">
        <v>674</v>
      </c>
      <c r="B116" s="773" t="s">
        <v>674</v>
      </c>
      <c r="C116" s="774"/>
      <c r="D116" s="775"/>
      <c r="E116" s="779" t="s">
        <v>677</v>
      </c>
      <c r="F116" s="780"/>
      <c r="G116" s="780"/>
      <c r="H116" s="781"/>
    </row>
    <row r="117" spans="1:8" x14ac:dyDescent="0.25">
      <c r="A117" s="744"/>
      <c r="B117" s="776"/>
      <c r="C117" s="777"/>
      <c r="D117" s="778"/>
      <c r="E117" s="782"/>
      <c r="F117" s="783"/>
      <c r="G117" s="783"/>
      <c r="H117" s="784"/>
    </row>
    <row r="118" spans="1:8" ht="27.6" x14ac:dyDescent="0.25">
      <c r="A118" s="338" t="s">
        <v>675</v>
      </c>
      <c r="B118" s="745" t="s">
        <v>675</v>
      </c>
      <c r="C118" s="745"/>
      <c r="D118" s="745"/>
      <c r="E118" s="746" t="s">
        <v>650</v>
      </c>
      <c r="F118" s="746"/>
      <c r="G118" s="746"/>
      <c r="H118" s="747"/>
    </row>
    <row r="119" spans="1:8" ht="13.8" x14ac:dyDescent="0.25">
      <c r="A119" s="338" t="s">
        <v>676</v>
      </c>
      <c r="B119" s="694" t="s">
        <v>676</v>
      </c>
      <c r="C119" s="694"/>
      <c r="D119" s="694"/>
      <c r="E119" s="691" t="s">
        <v>650</v>
      </c>
      <c r="F119" s="691"/>
      <c r="G119" s="691"/>
      <c r="H119" s="692"/>
    </row>
    <row r="120" spans="1:8" ht="13.8" x14ac:dyDescent="0.25">
      <c r="A120" s="338"/>
      <c r="B120" s="693"/>
      <c r="C120" s="693"/>
      <c r="D120" s="693"/>
      <c r="E120" s="689"/>
      <c r="F120" s="689"/>
      <c r="G120" s="689"/>
      <c r="H120" s="690"/>
    </row>
    <row r="121" spans="1:8" ht="13.8" x14ac:dyDescent="0.25">
      <c r="A121" s="350"/>
      <c r="B121" s="742"/>
      <c r="C121" s="742"/>
      <c r="D121" s="742"/>
      <c r="E121" s="691"/>
      <c r="F121" s="691"/>
      <c r="G121" s="691"/>
      <c r="H121" s="692"/>
    </row>
    <row r="122" spans="1:8" ht="13.8" x14ac:dyDescent="0.25">
      <c r="A122" s="338"/>
      <c r="B122" s="693"/>
      <c r="C122" s="693"/>
      <c r="D122" s="693"/>
      <c r="E122" s="689"/>
      <c r="F122" s="689"/>
      <c r="G122" s="689"/>
      <c r="H122" s="690"/>
    </row>
    <row r="123" spans="1:8" ht="13.8" x14ac:dyDescent="0.25">
      <c r="A123" s="344"/>
      <c r="B123" s="345"/>
      <c r="C123" s="345"/>
      <c r="D123" s="345"/>
      <c r="E123" s="345"/>
      <c r="F123" s="345"/>
      <c r="G123" s="345"/>
      <c r="H123" s="346"/>
    </row>
    <row r="124" spans="1:8" ht="13.8" x14ac:dyDescent="0.25">
      <c r="A124" s="349" t="s">
        <v>586</v>
      </c>
      <c r="B124" s="695" t="s">
        <v>578</v>
      </c>
      <c r="C124" s="695"/>
      <c r="D124" s="695"/>
      <c r="E124" s="738" t="s">
        <v>579</v>
      </c>
      <c r="F124" s="738"/>
      <c r="G124" s="738"/>
      <c r="H124" s="739"/>
    </row>
    <row r="125" spans="1:8" ht="13.8" x14ac:dyDescent="0.25">
      <c r="A125" s="338" t="s">
        <v>587</v>
      </c>
      <c r="B125" s="740"/>
      <c r="C125" s="740"/>
      <c r="D125" s="740"/>
      <c r="E125" s="740"/>
      <c r="F125" s="740"/>
      <c r="G125" s="740"/>
      <c r="H125" s="357"/>
    </row>
    <row r="126" spans="1:8" ht="13.8" x14ac:dyDescent="0.25">
      <c r="A126" s="338" t="s">
        <v>588</v>
      </c>
      <c r="B126" s="741"/>
      <c r="C126" s="741"/>
      <c r="D126" s="741"/>
      <c r="E126" s="741"/>
      <c r="F126" s="741"/>
      <c r="G126" s="741"/>
      <c r="H126" s="358"/>
    </row>
    <row r="127" spans="1:8" ht="27.6" x14ac:dyDescent="0.25">
      <c r="A127" s="338" t="s">
        <v>589</v>
      </c>
      <c r="B127" s="740"/>
      <c r="C127" s="740"/>
      <c r="D127" s="740"/>
      <c r="E127" s="740"/>
      <c r="F127" s="740"/>
      <c r="G127" s="740"/>
      <c r="H127" s="357"/>
    </row>
    <row r="128" spans="1:8" ht="13.8" x14ac:dyDescent="0.25">
      <c r="A128" s="338" t="s">
        <v>590</v>
      </c>
      <c r="B128" s="740"/>
      <c r="C128" s="740"/>
      <c r="D128" s="740"/>
      <c r="E128" s="740"/>
      <c r="F128" s="740"/>
      <c r="G128" s="740"/>
      <c r="H128" s="357"/>
    </row>
    <row r="129" spans="1:8" ht="13.8" x14ac:dyDescent="0.25">
      <c r="A129" s="338" t="s">
        <v>591</v>
      </c>
      <c r="B129" s="741"/>
      <c r="C129" s="741"/>
      <c r="D129" s="741"/>
      <c r="E129" s="741"/>
      <c r="F129" s="741"/>
      <c r="G129" s="741"/>
      <c r="H129" s="358"/>
    </row>
    <row r="130" spans="1:8" ht="27.6" x14ac:dyDescent="0.25">
      <c r="A130" s="338" t="s">
        <v>592</v>
      </c>
      <c r="B130" s="740"/>
      <c r="C130" s="740"/>
      <c r="D130" s="740"/>
      <c r="E130" s="740"/>
      <c r="F130" s="740"/>
      <c r="G130" s="740"/>
      <c r="H130" s="357"/>
    </row>
    <row r="131" spans="1:8" ht="13.8" x14ac:dyDescent="0.25">
      <c r="A131" s="338" t="s">
        <v>593</v>
      </c>
      <c r="B131" s="741"/>
      <c r="C131" s="741"/>
      <c r="D131" s="741"/>
      <c r="E131" s="741"/>
      <c r="F131" s="741"/>
      <c r="G131" s="741"/>
      <c r="H131" s="358"/>
    </row>
    <row r="132" spans="1:8" ht="13.8" x14ac:dyDescent="0.25">
      <c r="A132" s="338" t="s">
        <v>594</v>
      </c>
      <c r="B132" s="740"/>
      <c r="C132" s="740"/>
      <c r="D132" s="740"/>
      <c r="E132" s="740"/>
      <c r="F132" s="740"/>
      <c r="G132" s="740"/>
      <c r="H132" s="357"/>
    </row>
    <row r="133" spans="1:8" ht="27.6" x14ac:dyDescent="0.25">
      <c r="A133" s="338" t="s">
        <v>595</v>
      </c>
      <c r="B133" s="741"/>
      <c r="C133" s="741"/>
      <c r="D133" s="741"/>
      <c r="E133" s="741"/>
      <c r="F133" s="741"/>
      <c r="G133" s="741"/>
      <c r="H133" s="358"/>
    </row>
    <row r="134" spans="1:8" ht="13.8" x14ac:dyDescent="0.25">
      <c r="A134" s="339"/>
      <c r="B134" s="340"/>
      <c r="C134" s="340"/>
      <c r="D134" s="340"/>
      <c r="E134" s="340"/>
      <c r="F134" s="340"/>
      <c r="G134" s="340"/>
      <c r="H134" s="341"/>
    </row>
    <row r="135" spans="1:8" ht="13.8" x14ac:dyDescent="0.25">
      <c r="A135" s="349" t="s">
        <v>596</v>
      </c>
      <c r="B135" s="695" t="s">
        <v>578</v>
      </c>
      <c r="C135" s="695"/>
      <c r="D135" s="695"/>
      <c r="E135" s="696" t="s">
        <v>597</v>
      </c>
      <c r="F135" s="696"/>
      <c r="G135" s="696"/>
      <c r="H135" s="697"/>
    </row>
    <row r="136" spans="1:8" ht="13.8" x14ac:dyDescent="0.25">
      <c r="A136" s="336" t="s">
        <v>598</v>
      </c>
      <c r="B136" s="731" t="s">
        <v>679</v>
      </c>
      <c r="C136" s="731"/>
      <c r="D136" s="731"/>
      <c r="E136" s="732" t="s">
        <v>680</v>
      </c>
      <c r="F136" s="732"/>
      <c r="G136" s="732"/>
      <c r="H136" s="733"/>
    </row>
    <row r="137" spans="1:8" ht="13.8" x14ac:dyDescent="0.25">
      <c r="A137" s="335" t="s">
        <v>599</v>
      </c>
      <c r="B137" s="734"/>
      <c r="C137" s="734"/>
      <c r="D137" s="734"/>
      <c r="E137" s="735"/>
      <c r="F137" s="735"/>
      <c r="G137" s="735"/>
      <c r="H137" s="736"/>
    </row>
    <row r="138" spans="1:8" ht="13.8" x14ac:dyDescent="0.25">
      <c r="A138" s="339"/>
      <c r="B138" s="340"/>
      <c r="C138" s="340"/>
      <c r="D138" s="340"/>
      <c r="E138" s="340"/>
      <c r="F138" s="340"/>
      <c r="G138" s="340"/>
      <c r="H138" s="341"/>
    </row>
    <row r="139" spans="1:8" ht="13.8" x14ac:dyDescent="0.25">
      <c r="A139" s="349" t="s">
        <v>600</v>
      </c>
      <c r="B139" s="737" t="s">
        <v>601</v>
      </c>
      <c r="C139" s="737"/>
      <c r="D139" s="737"/>
      <c r="E139" s="738" t="s">
        <v>597</v>
      </c>
      <c r="F139" s="738"/>
      <c r="G139" s="738"/>
      <c r="H139" s="739"/>
    </row>
    <row r="140" spans="1:8" x14ac:dyDescent="0.25">
      <c r="A140" s="698" t="s">
        <v>602</v>
      </c>
      <c r="B140" s="700" t="s">
        <v>653</v>
      </c>
      <c r="C140" s="701"/>
      <c r="D140" s="702"/>
      <c r="E140" s="706" t="s">
        <v>654</v>
      </c>
      <c r="F140" s="707"/>
      <c r="G140" s="707"/>
      <c r="H140" s="708"/>
    </row>
    <row r="141" spans="1:8" x14ac:dyDescent="0.25">
      <c r="A141" s="699"/>
      <c r="B141" s="703"/>
      <c r="C141" s="704"/>
      <c r="D141" s="705"/>
      <c r="E141" s="709"/>
      <c r="F141" s="710"/>
      <c r="G141" s="710"/>
      <c r="H141" s="711"/>
    </row>
    <row r="142" spans="1:8" x14ac:dyDescent="0.25">
      <c r="A142" s="698" t="s">
        <v>603</v>
      </c>
      <c r="B142" s="713" t="s">
        <v>655</v>
      </c>
      <c r="C142" s="714"/>
      <c r="D142" s="715"/>
      <c r="E142" s="722" t="s">
        <v>656</v>
      </c>
      <c r="F142" s="723"/>
      <c r="G142" s="723"/>
      <c r="H142" s="724"/>
    </row>
    <row r="143" spans="1:8" x14ac:dyDescent="0.25">
      <c r="A143" s="712"/>
      <c r="B143" s="716"/>
      <c r="C143" s="717"/>
      <c r="D143" s="718"/>
      <c r="E143" s="725"/>
      <c r="F143" s="726"/>
      <c r="G143" s="726"/>
      <c r="H143" s="727"/>
    </row>
    <row r="144" spans="1:8" x14ac:dyDescent="0.25">
      <c r="A144" s="712"/>
      <c r="B144" s="716"/>
      <c r="C144" s="717"/>
      <c r="D144" s="718"/>
      <c r="E144" s="725"/>
      <c r="F144" s="726"/>
      <c r="G144" s="726"/>
      <c r="H144" s="727"/>
    </row>
    <row r="145" spans="1:8" x14ac:dyDescent="0.25">
      <c r="A145" s="699"/>
      <c r="B145" s="719"/>
      <c r="C145" s="720"/>
      <c r="D145" s="721"/>
      <c r="E145" s="728"/>
      <c r="F145" s="729"/>
      <c r="G145" s="729"/>
      <c r="H145" s="730"/>
    </row>
    <row r="146" spans="1:8" ht="13.8" x14ac:dyDescent="0.25">
      <c r="A146" s="335" t="s">
        <v>604</v>
      </c>
      <c r="B146" s="693"/>
      <c r="C146" s="693"/>
      <c r="D146" s="693"/>
      <c r="E146" s="689"/>
      <c r="F146" s="689"/>
      <c r="G146" s="689"/>
      <c r="H146" s="690"/>
    </row>
    <row r="147" spans="1:8" ht="13.8" x14ac:dyDescent="0.25">
      <c r="A147" s="338" t="s">
        <v>605</v>
      </c>
      <c r="B147" s="694"/>
      <c r="C147" s="694"/>
      <c r="D147" s="694"/>
      <c r="E147" s="691"/>
      <c r="F147" s="691"/>
      <c r="G147" s="691"/>
      <c r="H147" s="692"/>
    </row>
    <row r="148" spans="1:8" ht="13.8" x14ac:dyDescent="0.25">
      <c r="A148" s="339"/>
      <c r="B148" s="324"/>
      <c r="C148" s="324"/>
      <c r="D148" s="324"/>
      <c r="E148" s="340"/>
      <c r="F148" s="340"/>
      <c r="G148" s="340"/>
      <c r="H148" s="341"/>
    </row>
    <row r="149" spans="1:8" ht="13.8" x14ac:dyDescent="0.25">
      <c r="A149" s="349" t="s">
        <v>606</v>
      </c>
      <c r="B149" s="695" t="s">
        <v>607</v>
      </c>
      <c r="C149" s="695"/>
      <c r="D149" s="695"/>
      <c r="E149" s="696" t="s">
        <v>597</v>
      </c>
      <c r="F149" s="696"/>
      <c r="G149" s="696"/>
      <c r="H149" s="697"/>
    </row>
    <row r="150" spans="1:8" ht="13.8" x14ac:dyDescent="0.25">
      <c r="A150" s="338" t="s">
        <v>608</v>
      </c>
      <c r="B150" s="686" t="s">
        <v>657</v>
      </c>
      <c r="C150" s="686"/>
      <c r="D150" s="686"/>
      <c r="E150" s="687" t="s">
        <v>660</v>
      </c>
      <c r="F150" s="687"/>
      <c r="G150" s="687"/>
      <c r="H150" s="688"/>
    </row>
    <row r="151" spans="1:8" ht="13.8" x14ac:dyDescent="0.25">
      <c r="A151" s="338" t="s">
        <v>609</v>
      </c>
      <c r="B151" s="686" t="s">
        <v>658</v>
      </c>
      <c r="C151" s="686"/>
      <c r="D151" s="686"/>
      <c r="E151" s="689" t="s">
        <v>661</v>
      </c>
      <c r="F151" s="689"/>
      <c r="G151" s="689"/>
      <c r="H151" s="690"/>
    </row>
    <row r="152" spans="1:8" ht="13.8" x14ac:dyDescent="0.25">
      <c r="A152" s="350" t="s">
        <v>610</v>
      </c>
      <c r="B152" s="686" t="s">
        <v>659</v>
      </c>
      <c r="C152" s="686"/>
      <c r="D152" s="686"/>
      <c r="E152" s="691" t="s">
        <v>662</v>
      </c>
      <c r="F152" s="691"/>
      <c r="G152" s="691"/>
      <c r="H152" s="692"/>
    </row>
    <row r="153" spans="1:8" ht="13.8" x14ac:dyDescent="0.25">
      <c r="A153" s="351"/>
      <c r="B153" s="325"/>
      <c r="C153" s="326"/>
      <c r="D153" s="326"/>
      <c r="E153" s="327"/>
      <c r="F153" s="327"/>
      <c r="G153" s="327"/>
      <c r="H153" s="352"/>
    </row>
    <row r="154" spans="1:8" ht="13.8" x14ac:dyDescent="0.25">
      <c r="A154" s="353" t="s">
        <v>611</v>
      </c>
      <c r="B154" s="328" t="s">
        <v>612</v>
      </c>
      <c r="C154" s="328" t="s">
        <v>562</v>
      </c>
      <c r="D154" s="677" t="s">
        <v>613</v>
      </c>
      <c r="E154" s="677"/>
      <c r="F154" s="678" t="s">
        <v>614</v>
      </c>
      <c r="G154" s="678"/>
      <c r="H154" s="679"/>
    </row>
    <row r="155" spans="1:8" ht="13.8" x14ac:dyDescent="0.25">
      <c r="A155" s="336" t="s">
        <v>615</v>
      </c>
      <c r="B155" s="680" t="s">
        <v>663</v>
      </c>
      <c r="C155" s="680"/>
      <c r="D155" s="680"/>
      <c r="E155" s="680"/>
      <c r="F155" s="680"/>
      <c r="G155" s="680"/>
      <c r="H155" s="681"/>
    </row>
    <row r="156" spans="1:8" ht="13.8" x14ac:dyDescent="0.25">
      <c r="A156" s="335" t="s">
        <v>616</v>
      </c>
      <c r="B156" s="682"/>
      <c r="C156" s="682"/>
      <c r="D156" s="682"/>
      <c r="E156" s="682"/>
      <c r="F156" s="682"/>
      <c r="G156" s="682"/>
      <c r="H156" s="683"/>
    </row>
    <row r="157" spans="1:8" ht="13.8" x14ac:dyDescent="0.25">
      <c r="A157" s="336" t="s">
        <v>617</v>
      </c>
      <c r="B157" s="682"/>
      <c r="C157" s="682"/>
      <c r="D157" s="682"/>
      <c r="E157" s="682"/>
      <c r="F157" s="682"/>
      <c r="G157" s="682"/>
      <c r="H157" s="683"/>
    </row>
    <row r="158" spans="1:8" ht="14.4" thickBot="1" x14ac:dyDescent="0.3">
      <c r="A158" s="354" t="s">
        <v>618</v>
      </c>
      <c r="B158" s="684"/>
      <c r="C158" s="684"/>
      <c r="D158" s="684"/>
      <c r="E158" s="684"/>
      <c r="F158" s="684"/>
      <c r="G158" s="684"/>
      <c r="H158" s="685"/>
    </row>
  </sheetData>
  <mergeCells count="153">
    <mergeCell ref="A18:H18"/>
    <mergeCell ref="B22:H22"/>
    <mergeCell ref="B23:H23"/>
    <mergeCell ref="B24:H24"/>
    <mergeCell ref="B25:H25"/>
    <mergeCell ref="B35:H35"/>
    <mergeCell ref="B116:D117"/>
    <mergeCell ref="E116:H117"/>
    <mergeCell ref="A1:H1"/>
    <mergeCell ref="B43:D43"/>
    <mergeCell ref="E43:H43"/>
    <mergeCell ref="B45:D45"/>
    <mergeCell ref="E45:H45"/>
    <mergeCell ref="B46:D46"/>
    <mergeCell ref="E46:H46"/>
    <mergeCell ref="B36:H36"/>
    <mergeCell ref="B37:H37"/>
    <mergeCell ref="B38:H38"/>
    <mergeCell ref="B39:H39"/>
    <mergeCell ref="B40:H40"/>
    <mergeCell ref="B42:D42"/>
    <mergeCell ref="E42:H42"/>
    <mergeCell ref="B51:D51"/>
    <mergeCell ref="E51:H51"/>
    <mergeCell ref="B52:D52"/>
    <mergeCell ref="B53:D53"/>
    <mergeCell ref="B47:D47"/>
    <mergeCell ref="E47:H47"/>
    <mergeCell ref="B48:D48"/>
    <mergeCell ref="E48:H48"/>
    <mergeCell ref="B49:D49"/>
    <mergeCell ref="E49:H49"/>
    <mergeCell ref="B57:D57"/>
    <mergeCell ref="B58:D58"/>
    <mergeCell ref="B59:D59"/>
    <mergeCell ref="E57:G57"/>
    <mergeCell ref="E58:G58"/>
    <mergeCell ref="E59:G59"/>
    <mergeCell ref="B54:D54"/>
    <mergeCell ref="B55:D55"/>
    <mergeCell ref="B56:D56"/>
    <mergeCell ref="E55:G55"/>
    <mergeCell ref="E56:G56"/>
    <mergeCell ref="E66:H66"/>
    <mergeCell ref="E67:H68"/>
    <mergeCell ref="B67:D68"/>
    <mergeCell ref="B60:D60"/>
    <mergeCell ref="B62:D62"/>
    <mergeCell ref="E62:H62"/>
    <mergeCell ref="B63:D63"/>
    <mergeCell ref="E63:H63"/>
    <mergeCell ref="E60:G60"/>
    <mergeCell ref="A43:A44"/>
    <mergeCell ref="B44:D44"/>
    <mergeCell ref="E44:H44"/>
    <mergeCell ref="E52:G52"/>
    <mergeCell ref="E53:G53"/>
    <mergeCell ref="E54:G54"/>
    <mergeCell ref="B82:H85"/>
    <mergeCell ref="B79:D79"/>
    <mergeCell ref="E79:H79"/>
    <mergeCell ref="D81:E81"/>
    <mergeCell ref="F81:H81"/>
    <mergeCell ref="B76:D76"/>
    <mergeCell ref="E76:H76"/>
    <mergeCell ref="B77:D77"/>
    <mergeCell ref="E77:H77"/>
    <mergeCell ref="B78:D78"/>
    <mergeCell ref="E78:H78"/>
    <mergeCell ref="B73:D73"/>
    <mergeCell ref="E73:H73"/>
    <mergeCell ref="B74:D74"/>
    <mergeCell ref="E74:H74"/>
    <mergeCell ref="B64:D64"/>
    <mergeCell ref="E64:H64"/>
    <mergeCell ref="B66:D66"/>
    <mergeCell ref="A91:H91"/>
    <mergeCell ref="B95:H95"/>
    <mergeCell ref="B96:H96"/>
    <mergeCell ref="B97:H97"/>
    <mergeCell ref="B98:H98"/>
    <mergeCell ref="B108:H108"/>
    <mergeCell ref="A67:A68"/>
    <mergeCell ref="E69:H72"/>
    <mergeCell ref="B69:D72"/>
    <mergeCell ref="A69:A72"/>
    <mergeCell ref="A116:A117"/>
    <mergeCell ref="B118:D118"/>
    <mergeCell ref="E118:H118"/>
    <mergeCell ref="B109:H109"/>
    <mergeCell ref="B110:H110"/>
    <mergeCell ref="B111:H111"/>
    <mergeCell ref="B112:H112"/>
    <mergeCell ref="B113:H113"/>
    <mergeCell ref="B115:D115"/>
    <mergeCell ref="E115:H115"/>
    <mergeCell ref="B122:D122"/>
    <mergeCell ref="E122:H122"/>
    <mergeCell ref="B124:D124"/>
    <mergeCell ref="E124:H124"/>
    <mergeCell ref="B125:D125"/>
    <mergeCell ref="E125:G125"/>
    <mergeCell ref="B119:D119"/>
    <mergeCell ref="E119:H119"/>
    <mergeCell ref="B120:D120"/>
    <mergeCell ref="E120:H120"/>
    <mergeCell ref="B121:D121"/>
    <mergeCell ref="E121:H121"/>
    <mergeCell ref="B129:D129"/>
    <mergeCell ref="E129:G129"/>
    <mergeCell ref="B130:D130"/>
    <mergeCell ref="E130:G130"/>
    <mergeCell ref="B131:D131"/>
    <mergeCell ref="E131:G131"/>
    <mergeCell ref="B126:D126"/>
    <mergeCell ref="E126:G126"/>
    <mergeCell ref="B127:D127"/>
    <mergeCell ref="E127:G127"/>
    <mergeCell ref="B128:D128"/>
    <mergeCell ref="E128:G128"/>
    <mergeCell ref="B136:D136"/>
    <mergeCell ref="E136:H136"/>
    <mergeCell ref="B137:D137"/>
    <mergeCell ref="E137:H137"/>
    <mergeCell ref="B139:D139"/>
    <mergeCell ref="E139:H139"/>
    <mergeCell ref="B132:D132"/>
    <mergeCell ref="E132:G132"/>
    <mergeCell ref="B133:D133"/>
    <mergeCell ref="E133:G133"/>
    <mergeCell ref="B135:D135"/>
    <mergeCell ref="E135:H135"/>
    <mergeCell ref="B146:D146"/>
    <mergeCell ref="E146:H146"/>
    <mergeCell ref="B147:D147"/>
    <mergeCell ref="E147:H147"/>
    <mergeCell ref="B149:D149"/>
    <mergeCell ref="E149:H149"/>
    <mergeCell ref="A140:A141"/>
    <mergeCell ref="B140:D141"/>
    <mergeCell ref="E140:H141"/>
    <mergeCell ref="A142:A145"/>
    <mergeCell ref="B142:D145"/>
    <mergeCell ref="E142:H145"/>
    <mergeCell ref="D154:E154"/>
    <mergeCell ref="F154:H154"/>
    <mergeCell ref="B155:H158"/>
    <mergeCell ref="B150:D150"/>
    <mergeCell ref="E150:H150"/>
    <mergeCell ref="B151:D151"/>
    <mergeCell ref="E151:H151"/>
    <mergeCell ref="B152:D152"/>
    <mergeCell ref="E152:H152"/>
  </mergeCells>
  <hyperlinks>
    <hyperlink ref="H28" r:id="rId1" xr:uid="{66FF5583-0B55-4B31-9640-9A84E9444028}"/>
    <hyperlink ref="H29" r:id="rId2" xr:uid="{A7C5C6E9-8A43-4B39-A174-5500B06CC7A5}"/>
    <hyperlink ref="H101" r:id="rId3" xr:uid="{FC97D39A-35E3-414D-A320-0030F2BD13C7}"/>
    <hyperlink ref="H102" r:id="rId4" xr:uid="{7CFA4239-2D94-4305-9987-6676360A9A60}"/>
  </hyperlinks>
  <pageMargins left="0.7" right="0.7" top="0.75" bottom="0.75" header="0.3" footer="0.3"/>
  <pageSetup paperSize="9" scale="34" orientation="portrait" r:id="rId5"/>
  <legacy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F1763-89D5-4EC4-915B-A0049597DBC6}">
  <sheetPr>
    <tabColor theme="8"/>
  </sheetPr>
  <dimension ref="A2:Q245"/>
  <sheetViews>
    <sheetView zoomScale="70" zoomScaleNormal="70" workbookViewId="0">
      <selection activeCell="J119" sqref="J119"/>
    </sheetView>
  </sheetViews>
  <sheetFormatPr baseColWidth="10" defaultColWidth="11.44140625" defaultRowHeight="13.2" x14ac:dyDescent="0.25"/>
  <cols>
    <col min="1" max="1" width="21.5546875" style="58" customWidth="1"/>
    <col min="2" max="2" width="22.44140625" style="58" customWidth="1"/>
    <col min="3" max="3" width="35.109375" style="58" customWidth="1"/>
    <col min="4" max="4" width="30.33203125" style="58" customWidth="1"/>
    <col min="5" max="5" width="33.5546875" style="58" customWidth="1"/>
    <col min="6" max="6" width="44.88671875" style="58" customWidth="1"/>
    <col min="7" max="7" width="44.44140625" style="58" customWidth="1"/>
    <col min="8" max="8" width="11.44140625" style="58"/>
    <col min="9" max="9" width="13.5546875" style="58" customWidth="1"/>
    <col min="10" max="10" width="17.6640625" style="58" customWidth="1"/>
    <col min="11" max="11" width="53.33203125" style="58" customWidth="1"/>
    <col min="12" max="12" width="26" style="58" customWidth="1"/>
    <col min="13" max="13" width="17.5546875" style="58" customWidth="1"/>
    <col min="14" max="14" width="13.33203125" style="58" customWidth="1"/>
    <col min="15" max="16384" width="11.44140625" style="58"/>
  </cols>
  <sheetData>
    <row r="2" spans="1:17" ht="22.8" x14ac:dyDescent="0.25">
      <c r="A2" s="575" t="s">
        <v>689</v>
      </c>
      <c r="B2" s="575"/>
      <c r="C2" s="575"/>
      <c r="D2" s="575"/>
      <c r="E2" s="575"/>
      <c r="F2" s="575"/>
      <c r="G2" s="575"/>
      <c r="H2" s="575"/>
      <c r="I2" s="575"/>
      <c r="J2" s="575"/>
      <c r="K2" s="575"/>
      <c r="L2" s="524"/>
      <c r="M2" s="524"/>
      <c r="N2" s="524"/>
      <c r="O2" s="524"/>
      <c r="P2" s="524"/>
      <c r="Q2" s="524"/>
    </row>
    <row r="4" spans="1:17" x14ac:dyDescent="0.25">
      <c r="A4" s="1"/>
      <c r="B4" s="1"/>
    </row>
    <row r="18" spans="1:17" ht="22.8" x14ac:dyDescent="0.25">
      <c r="A18" s="575" t="s">
        <v>690</v>
      </c>
      <c r="B18" s="575"/>
      <c r="C18" s="575"/>
      <c r="D18" s="575"/>
      <c r="E18" s="575"/>
      <c r="F18" s="575"/>
      <c r="G18" s="575"/>
      <c r="H18" s="575"/>
      <c r="I18" s="575"/>
      <c r="J18" s="575"/>
      <c r="K18" s="575"/>
      <c r="L18" s="524"/>
      <c r="M18" s="524"/>
      <c r="N18" s="524"/>
      <c r="O18" s="524"/>
      <c r="P18" s="524"/>
      <c r="Q18" s="524"/>
    </row>
    <row r="22" spans="1:17" x14ac:dyDescent="0.25">
      <c r="C22" s="57"/>
      <c r="D22" s="57"/>
    </row>
    <row r="23" spans="1:17" x14ac:dyDescent="0.25">
      <c r="C23" s="359"/>
      <c r="D23" s="359"/>
    </row>
    <row r="24" spans="1:17" x14ac:dyDescent="0.25">
      <c r="C24" s="360"/>
      <c r="D24" s="360"/>
    </row>
    <row r="25" spans="1:17" x14ac:dyDescent="0.25">
      <c r="C25" s="360"/>
      <c r="D25" s="360"/>
    </row>
    <row r="27" spans="1:17" x14ac:dyDescent="0.25">
      <c r="C27" s="57"/>
      <c r="D27" s="57"/>
    </row>
    <row r="28" spans="1:17" x14ac:dyDescent="0.25">
      <c r="C28" s="359"/>
      <c r="D28" s="359"/>
    </row>
    <row r="29" spans="1:17" x14ac:dyDescent="0.25">
      <c r="C29" s="360"/>
      <c r="D29" s="360"/>
    </row>
    <row r="30" spans="1:17" x14ac:dyDescent="0.25">
      <c r="C30" s="359"/>
      <c r="D30" s="359"/>
    </row>
    <row r="31" spans="1:17" x14ac:dyDescent="0.25">
      <c r="C31" s="359"/>
      <c r="D31" s="359"/>
    </row>
    <row r="32" spans="1:17" x14ac:dyDescent="0.25">
      <c r="C32" s="359"/>
      <c r="D32" s="359"/>
    </row>
    <row r="33" spans="3:4" x14ac:dyDescent="0.25">
      <c r="C33" s="360"/>
      <c r="D33" s="360"/>
    </row>
    <row r="34" spans="3:4" x14ac:dyDescent="0.25">
      <c r="C34" s="359"/>
      <c r="D34" s="359"/>
    </row>
    <row r="35" spans="3:4" x14ac:dyDescent="0.25">
      <c r="C35" s="359"/>
      <c r="D35" s="359"/>
    </row>
    <row r="37" spans="3:4" x14ac:dyDescent="0.25">
      <c r="C37" s="57"/>
      <c r="D37" s="57"/>
    </row>
    <row r="39" spans="3:4" x14ac:dyDescent="0.25">
      <c r="C39" s="57"/>
      <c r="D39" s="57"/>
    </row>
    <row r="40" spans="3:4" x14ac:dyDescent="0.25">
      <c r="C40" s="359"/>
      <c r="D40" s="359"/>
    </row>
    <row r="41" spans="3:4" x14ac:dyDescent="0.25">
      <c r="C41" s="360"/>
      <c r="D41" s="360"/>
    </row>
    <row r="42" spans="3:4" x14ac:dyDescent="0.25">
      <c r="C42" s="360"/>
      <c r="D42" s="360"/>
    </row>
    <row r="43" spans="3:4" x14ac:dyDescent="0.25">
      <c r="C43" s="360"/>
      <c r="D43" s="360"/>
    </row>
    <row r="45" spans="3:4" ht="15.6" x14ac:dyDescent="0.3">
      <c r="C45" s="441" t="s">
        <v>686</v>
      </c>
      <c r="D45" s="57"/>
    </row>
    <row r="46" spans="3:4" ht="15.6" x14ac:dyDescent="0.3">
      <c r="C46" s="523" t="s">
        <v>687</v>
      </c>
      <c r="D46" s="106"/>
    </row>
    <row r="47" spans="3:4" ht="15.6" x14ac:dyDescent="0.3">
      <c r="C47" s="523" t="s">
        <v>688</v>
      </c>
      <c r="D47" s="106"/>
    </row>
    <row r="48" spans="3:4" ht="15.6" x14ac:dyDescent="0.3">
      <c r="C48" s="501"/>
      <c r="D48" s="1"/>
    </row>
    <row r="55" spans="1:17" ht="22.8" x14ac:dyDescent="0.25">
      <c r="A55" s="575" t="s">
        <v>691</v>
      </c>
      <c r="B55" s="575"/>
      <c r="C55" s="575"/>
      <c r="D55" s="575"/>
      <c r="E55" s="575"/>
      <c r="F55" s="575"/>
      <c r="G55" s="575"/>
      <c r="H55" s="575"/>
      <c r="I55" s="575"/>
      <c r="J55" s="575"/>
      <c r="K55" s="575"/>
      <c r="L55" s="524"/>
      <c r="M55" s="524"/>
      <c r="N55" s="524"/>
      <c r="O55" s="524"/>
      <c r="P55" s="524"/>
      <c r="Q55" s="524"/>
    </row>
    <row r="56" spans="1:17" ht="12.75" customHeight="1" thickBot="1" x14ac:dyDescent="0.3"/>
    <row r="57" spans="1:17" ht="16.2" thickBot="1" x14ac:dyDescent="0.3">
      <c r="C57" s="530" t="s">
        <v>699</v>
      </c>
      <c r="D57" s="529" t="s">
        <v>578</v>
      </c>
      <c r="E57" s="803" t="s">
        <v>700</v>
      </c>
      <c r="F57" s="804"/>
      <c r="G57" s="804"/>
      <c r="H57" s="804"/>
      <c r="I57" s="804"/>
      <c r="J57" s="804"/>
      <c r="K57" s="525"/>
      <c r="L57" s="525"/>
      <c r="M57" s="525"/>
      <c r="N57" s="525"/>
    </row>
    <row r="58" spans="1:17" ht="15.6" x14ac:dyDescent="0.25">
      <c r="C58" s="789" t="s">
        <v>692</v>
      </c>
      <c r="D58" s="531" t="s">
        <v>701</v>
      </c>
      <c r="E58" s="795" t="s">
        <v>723</v>
      </c>
      <c r="F58" s="795"/>
      <c r="G58" s="795"/>
      <c r="H58" s="795"/>
      <c r="I58" s="795"/>
      <c r="J58" s="796"/>
      <c r="K58" s="526"/>
      <c r="L58" s="526"/>
      <c r="M58" s="526"/>
      <c r="N58" s="526"/>
    </row>
    <row r="59" spans="1:17" ht="15.6" x14ac:dyDescent="0.25">
      <c r="C59" s="790"/>
      <c r="D59" s="797" t="s">
        <v>702</v>
      </c>
      <c r="E59" s="799" t="s">
        <v>712</v>
      </c>
      <c r="F59" s="799"/>
      <c r="G59" s="799"/>
      <c r="H59" s="799"/>
      <c r="I59" s="799"/>
      <c r="J59" s="800"/>
      <c r="K59" s="528"/>
      <c r="L59" s="528"/>
      <c r="M59" s="528"/>
      <c r="N59" s="528"/>
    </row>
    <row r="60" spans="1:17" ht="15.6" x14ac:dyDescent="0.25">
      <c r="C60" s="790"/>
      <c r="D60" s="797"/>
      <c r="E60" s="799" t="s">
        <v>713</v>
      </c>
      <c r="F60" s="799"/>
      <c r="G60" s="799"/>
      <c r="H60" s="799"/>
      <c r="I60" s="799"/>
      <c r="J60" s="800"/>
      <c r="K60" s="528"/>
      <c r="L60" s="528"/>
      <c r="M60" s="528"/>
      <c r="N60" s="528"/>
    </row>
    <row r="61" spans="1:17" ht="15.6" x14ac:dyDescent="0.25">
      <c r="C61" s="790"/>
      <c r="D61" s="797"/>
      <c r="E61" s="799" t="s">
        <v>714</v>
      </c>
      <c r="F61" s="799"/>
      <c r="G61" s="799"/>
      <c r="H61" s="799"/>
      <c r="I61" s="799"/>
      <c r="J61" s="800"/>
      <c r="K61" s="528"/>
      <c r="L61" s="528"/>
      <c r="M61" s="528"/>
      <c r="N61" s="528"/>
    </row>
    <row r="62" spans="1:17" ht="15.6" x14ac:dyDescent="0.25">
      <c r="C62" s="790"/>
      <c r="D62" s="797"/>
      <c r="E62" s="799" t="s">
        <v>715</v>
      </c>
      <c r="F62" s="799"/>
      <c r="G62" s="799"/>
      <c r="H62" s="799"/>
      <c r="I62" s="799"/>
      <c r="J62" s="800"/>
      <c r="K62" s="528"/>
      <c r="L62" s="528"/>
      <c r="M62" s="528"/>
      <c r="N62" s="528"/>
    </row>
    <row r="63" spans="1:17" ht="15.6" x14ac:dyDescent="0.25">
      <c r="C63" s="790"/>
      <c r="D63" s="798" t="s">
        <v>703</v>
      </c>
      <c r="E63" s="799" t="s">
        <v>716</v>
      </c>
      <c r="F63" s="799"/>
      <c r="G63" s="799"/>
      <c r="H63" s="799"/>
      <c r="I63" s="799"/>
      <c r="J63" s="800"/>
      <c r="K63" s="528"/>
      <c r="L63" s="528"/>
      <c r="M63" s="528"/>
      <c r="N63" s="528"/>
    </row>
    <row r="64" spans="1:17" ht="15.6" x14ac:dyDescent="0.25">
      <c r="C64" s="790"/>
      <c r="D64" s="798"/>
      <c r="E64" s="799" t="s">
        <v>717</v>
      </c>
      <c r="F64" s="799"/>
      <c r="G64" s="799"/>
      <c r="H64" s="799"/>
      <c r="I64" s="799"/>
      <c r="J64" s="800"/>
      <c r="K64" s="528"/>
      <c r="L64" s="528"/>
      <c r="M64" s="528"/>
      <c r="N64" s="528"/>
    </row>
    <row r="65" spans="3:14" ht="15.6" x14ac:dyDescent="0.25">
      <c r="C65" s="790"/>
      <c r="D65" s="798"/>
      <c r="E65" s="799" t="s">
        <v>718</v>
      </c>
      <c r="F65" s="799"/>
      <c r="G65" s="799"/>
      <c r="H65" s="799"/>
      <c r="I65" s="799"/>
      <c r="J65" s="800"/>
      <c r="K65" s="528"/>
      <c r="L65" s="528"/>
      <c r="M65" s="528"/>
      <c r="N65" s="528"/>
    </row>
    <row r="66" spans="3:14" ht="16.2" thickBot="1" x14ac:dyDescent="0.3">
      <c r="C66" s="791"/>
      <c r="D66" s="788"/>
      <c r="E66" s="793" t="s">
        <v>719</v>
      </c>
      <c r="F66" s="793"/>
      <c r="G66" s="793"/>
      <c r="H66" s="793"/>
      <c r="I66" s="793"/>
      <c r="J66" s="794"/>
      <c r="K66" s="528"/>
      <c r="L66" s="528"/>
      <c r="M66" s="528"/>
      <c r="N66" s="528"/>
    </row>
    <row r="67" spans="3:14" ht="16.2" thickBot="1" x14ac:dyDescent="0.3">
      <c r="C67" s="532" t="s">
        <v>704</v>
      </c>
      <c r="D67" s="533" t="s">
        <v>705</v>
      </c>
      <c r="E67" s="801" t="s">
        <v>706</v>
      </c>
      <c r="F67" s="801"/>
      <c r="G67" s="801"/>
      <c r="H67" s="801"/>
      <c r="I67" s="801"/>
      <c r="J67" s="802"/>
      <c r="K67" s="526"/>
      <c r="L67" s="526"/>
      <c r="M67" s="526"/>
      <c r="N67" s="526"/>
    </row>
    <row r="68" spans="3:14" ht="15.6" x14ac:dyDescent="0.25">
      <c r="C68" s="789" t="s">
        <v>693</v>
      </c>
      <c r="D68" s="787" t="s">
        <v>707</v>
      </c>
      <c r="E68" s="795" t="s">
        <v>720</v>
      </c>
      <c r="F68" s="795"/>
      <c r="G68" s="795"/>
      <c r="H68" s="795"/>
      <c r="I68" s="795"/>
      <c r="J68" s="796"/>
      <c r="K68" s="526"/>
      <c r="L68" s="526"/>
      <c r="M68" s="526"/>
      <c r="N68" s="526"/>
    </row>
    <row r="69" spans="3:14" ht="15.6" x14ac:dyDescent="0.25">
      <c r="C69" s="790"/>
      <c r="D69" s="798"/>
      <c r="E69" s="799" t="s">
        <v>721</v>
      </c>
      <c r="F69" s="799"/>
      <c r="G69" s="799"/>
      <c r="H69" s="799"/>
      <c r="I69" s="799"/>
      <c r="J69" s="800"/>
      <c r="K69" s="526"/>
      <c r="L69" s="526"/>
      <c r="M69" s="526"/>
      <c r="N69" s="526"/>
    </row>
    <row r="70" spans="3:14" ht="16.2" thickBot="1" x14ac:dyDescent="0.3">
      <c r="C70" s="791"/>
      <c r="D70" s="788"/>
      <c r="E70" s="793" t="s">
        <v>722</v>
      </c>
      <c r="F70" s="793"/>
      <c r="G70" s="793"/>
      <c r="H70" s="793"/>
      <c r="I70" s="793"/>
      <c r="J70" s="794"/>
      <c r="K70" s="526"/>
      <c r="L70" s="526"/>
      <c r="M70" s="526"/>
      <c r="N70" s="526"/>
    </row>
    <row r="71" spans="3:14" ht="15.6" x14ac:dyDescent="0.25">
      <c r="C71" s="789" t="s">
        <v>694</v>
      </c>
      <c r="D71" s="787" t="s">
        <v>708</v>
      </c>
      <c r="E71" s="795" t="s">
        <v>738</v>
      </c>
      <c r="F71" s="795"/>
      <c r="G71" s="795"/>
      <c r="H71" s="795"/>
      <c r="I71" s="795"/>
      <c r="J71" s="796"/>
      <c r="K71" s="526"/>
      <c r="L71" s="526"/>
      <c r="M71" s="526"/>
      <c r="N71" s="526"/>
    </row>
    <row r="72" spans="3:14" ht="16.2" thickBot="1" x14ac:dyDescent="0.3">
      <c r="C72" s="791"/>
      <c r="D72" s="788"/>
      <c r="E72" s="793" t="s">
        <v>737</v>
      </c>
      <c r="F72" s="793"/>
      <c r="G72" s="793"/>
      <c r="H72" s="793"/>
      <c r="I72" s="793"/>
      <c r="J72" s="794"/>
      <c r="K72" s="526"/>
      <c r="L72" s="526"/>
      <c r="M72" s="526"/>
      <c r="N72" s="526"/>
    </row>
    <row r="73" spans="3:14" ht="15.6" x14ac:dyDescent="0.25">
      <c r="C73" s="789" t="s">
        <v>695</v>
      </c>
      <c r="D73" s="787" t="s">
        <v>709</v>
      </c>
      <c r="E73" s="795" t="s">
        <v>724</v>
      </c>
      <c r="F73" s="795"/>
      <c r="G73" s="795"/>
      <c r="H73" s="795"/>
      <c r="I73" s="795"/>
      <c r="J73" s="796"/>
      <c r="K73" s="526"/>
      <c r="L73" s="526"/>
      <c r="M73" s="526"/>
      <c r="N73" s="526"/>
    </row>
    <row r="74" spans="3:14" ht="15.6" x14ac:dyDescent="0.25">
      <c r="C74" s="790"/>
      <c r="D74" s="798"/>
      <c r="E74" s="799" t="s">
        <v>725</v>
      </c>
      <c r="F74" s="799"/>
      <c r="G74" s="799"/>
      <c r="H74" s="799"/>
      <c r="I74" s="799"/>
      <c r="J74" s="800"/>
      <c r="K74" s="526"/>
      <c r="L74" s="526"/>
      <c r="M74" s="526"/>
      <c r="N74" s="526"/>
    </row>
    <row r="75" spans="3:14" ht="16.2" thickBot="1" x14ac:dyDescent="0.3">
      <c r="C75" s="791"/>
      <c r="D75" s="788"/>
      <c r="E75" s="793" t="s">
        <v>726</v>
      </c>
      <c r="F75" s="793"/>
      <c r="G75" s="793"/>
      <c r="H75" s="793"/>
      <c r="I75" s="793"/>
      <c r="J75" s="794"/>
      <c r="K75" s="526"/>
      <c r="L75" s="526"/>
      <c r="M75" s="526"/>
      <c r="N75" s="526"/>
    </row>
    <row r="76" spans="3:14" ht="15.6" x14ac:dyDescent="0.25">
      <c r="C76" s="789" t="s">
        <v>696</v>
      </c>
      <c r="D76" s="787" t="s">
        <v>710</v>
      </c>
      <c r="E76" s="795" t="s">
        <v>727</v>
      </c>
      <c r="F76" s="795"/>
      <c r="G76" s="795"/>
      <c r="H76" s="795"/>
      <c r="I76" s="795"/>
      <c r="J76" s="796"/>
      <c r="K76" s="526"/>
      <c r="L76" s="526"/>
      <c r="M76" s="526"/>
      <c r="N76" s="526"/>
    </row>
    <row r="77" spans="3:14" ht="15.6" x14ac:dyDescent="0.25">
      <c r="C77" s="790"/>
      <c r="D77" s="798"/>
      <c r="E77" s="799" t="s">
        <v>728</v>
      </c>
      <c r="F77" s="799"/>
      <c r="G77" s="799"/>
      <c r="H77" s="799"/>
      <c r="I77" s="799"/>
      <c r="J77" s="800"/>
      <c r="K77" s="526"/>
      <c r="L77" s="526"/>
      <c r="M77" s="526"/>
      <c r="N77" s="526"/>
    </row>
    <row r="78" spans="3:14" ht="15.6" x14ac:dyDescent="0.25">
      <c r="C78" s="790"/>
      <c r="D78" s="798"/>
      <c r="E78" s="799" t="s">
        <v>729</v>
      </c>
      <c r="F78" s="799"/>
      <c r="G78" s="799"/>
      <c r="H78" s="799"/>
      <c r="I78" s="799"/>
      <c r="J78" s="800"/>
      <c r="K78" s="526"/>
      <c r="L78" s="526"/>
      <c r="M78" s="526"/>
      <c r="N78" s="526"/>
    </row>
    <row r="79" spans="3:14" ht="15.6" x14ac:dyDescent="0.25">
      <c r="C79" s="790"/>
      <c r="D79" s="798"/>
      <c r="E79" s="799" t="s">
        <v>730</v>
      </c>
      <c r="F79" s="799"/>
      <c r="G79" s="799"/>
      <c r="H79" s="799"/>
      <c r="I79" s="799"/>
      <c r="J79" s="800"/>
      <c r="K79" s="526"/>
      <c r="L79" s="526"/>
      <c r="M79" s="526"/>
      <c r="N79" s="526"/>
    </row>
    <row r="80" spans="3:14" ht="12.75" customHeight="1" x14ac:dyDescent="0.25">
      <c r="C80" s="790"/>
      <c r="D80" s="798"/>
      <c r="E80" s="799" t="s">
        <v>731</v>
      </c>
      <c r="F80" s="799"/>
      <c r="G80" s="799"/>
      <c r="H80" s="799"/>
      <c r="I80" s="799"/>
      <c r="J80" s="800"/>
      <c r="K80" s="527"/>
      <c r="L80" s="527"/>
      <c r="M80" s="527"/>
      <c r="N80" s="527"/>
    </row>
    <row r="81" spans="1:17" ht="13.5" customHeight="1" thickBot="1" x14ac:dyDescent="0.3">
      <c r="C81" s="791"/>
      <c r="D81" s="788"/>
      <c r="E81" s="793"/>
      <c r="F81" s="793"/>
      <c r="G81" s="793"/>
      <c r="H81" s="793"/>
      <c r="I81" s="793"/>
      <c r="J81" s="794"/>
      <c r="K81" s="527"/>
      <c r="L81" s="527"/>
      <c r="M81" s="527"/>
      <c r="N81" s="527"/>
    </row>
    <row r="82" spans="1:17" ht="15.6" x14ac:dyDescent="0.25">
      <c r="C82" s="789" t="s">
        <v>697</v>
      </c>
      <c r="D82" s="787" t="s">
        <v>711</v>
      </c>
      <c r="E82" s="795" t="s">
        <v>733</v>
      </c>
      <c r="F82" s="795"/>
      <c r="G82" s="795"/>
      <c r="H82" s="795"/>
      <c r="I82" s="795"/>
      <c r="J82" s="796"/>
      <c r="K82" s="528"/>
      <c r="L82" s="528"/>
      <c r="M82" s="528"/>
      <c r="N82" s="528"/>
    </row>
    <row r="83" spans="1:17" ht="15.6" x14ac:dyDescent="0.25">
      <c r="C83" s="790"/>
      <c r="D83" s="798"/>
      <c r="E83" s="799" t="s">
        <v>732</v>
      </c>
      <c r="F83" s="799"/>
      <c r="G83" s="799"/>
      <c r="H83" s="799"/>
      <c r="I83" s="799"/>
      <c r="J83" s="800"/>
      <c r="K83" s="528"/>
      <c r="L83" s="528"/>
      <c r="M83" s="528"/>
      <c r="N83" s="528"/>
    </row>
    <row r="84" spans="1:17" ht="16.2" thickBot="1" x14ac:dyDescent="0.3">
      <c r="C84" s="791"/>
      <c r="D84" s="788"/>
      <c r="E84" s="793" t="s">
        <v>739</v>
      </c>
      <c r="F84" s="793"/>
      <c r="G84" s="793"/>
      <c r="H84" s="793"/>
      <c r="I84" s="793"/>
      <c r="J84" s="794"/>
      <c r="K84" s="528"/>
      <c r="L84" s="528"/>
      <c r="M84" s="528"/>
      <c r="N84" s="528"/>
    </row>
    <row r="85" spans="1:17" ht="15.6" x14ac:dyDescent="0.25">
      <c r="C85" s="789" t="s">
        <v>698</v>
      </c>
      <c r="D85" s="787" t="s">
        <v>685</v>
      </c>
      <c r="E85" s="795" t="s">
        <v>734</v>
      </c>
      <c r="F85" s="795"/>
      <c r="G85" s="795"/>
      <c r="H85" s="795"/>
      <c r="I85" s="795"/>
      <c r="J85" s="796"/>
      <c r="K85" s="528"/>
      <c r="L85" s="528"/>
      <c r="M85" s="528"/>
      <c r="N85" s="528"/>
    </row>
    <row r="86" spans="1:17" ht="15.6" x14ac:dyDescent="0.25">
      <c r="C86" s="790"/>
      <c r="D86" s="798"/>
      <c r="E86" s="799" t="s">
        <v>736</v>
      </c>
      <c r="F86" s="799"/>
      <c r="G86" s="799"/>
      <c r="H86" s="799"/>
      <c r="I86" s="799"/>
      <c r="J86" s="800"/>
      <c r="K86" s="528"/>
      <c r="L86" s="528"/>
      <c r="M86" s="528"/>
      <c r="N86" s="528"/>
    </row>
    <row r="87" spans="1:17" ht="16.2" thickBot="1" x14ac:dyDescent="0.3">
      <c r="C87" s="791"/>
      <c r="D87" s="788"/>
      <c r="E87" s="793" t="s">
        <v>735</v>
      </c>
      <c r="F87" s="793"/>
      <c r="G87" s="793"/>
      <c r="H87" s="793"/>
      <c r="I87" s="793"/>
      <c r="J87" s="794"/>
      <c r="K87" s="528"/>
      <c r="L87" s="528"/>
      <c r="M87" s="528"/>
      <c r="N87" s="528"/>
    </row>
    <row r="89" spans="1:17" ht="22.8" x14ac:dyDescent="0.25">
      <c r="A89" s="575" t="s">
        <v>889</v>
      </c>
      <c r="B89" s="575"/>
      <c r="C89" s="575"/>
      <c r="D89" s="575"/>
      <c r="E89" s="575"/>
      <c r="F89" s="575"/>
      <c r="G89" s="575"/>
      <c r="H89" s="575"/>
      <c r="I89" s="575"/>
      <c r="J89" s="575"/>
      <c r="K89" s="575"/>
      <c r="M89" s="524"/>
      <c r="N89" s="524"/>
      <c r="O89" s="524"/>
      <c r="P89" s="524"/>
      <c r="Q89" s="524"/>
    </row>
    <row r="91" spans="1:17" ht="15.6" x14ac:dyDescent="0.3">
      <c r="C91" s="501" t="s">
        <v>740</v>
      </c>
    </row>
    <row r="92" spans="1:17" ht="15.6" x14ac:dyDescent="0.3">
      <c r="C92" s="439" t="s">
        <v>741</v>
      </c>
    </row>
    <row r="143" spans="1:17" ht="22.8" x14ac:dyDescent="0.25">
      <c r="A143" s="575" t="s">
        <v>890</v>
      </c>
      <c r="B143" s="575"/>
      <c r="C143" s="575"/>
      <c r="D143" s="575"/>
      <c r="E143" s="575"/>
      <c r="F143" s="575"/>
      <c r="G143" s="575"/>
      <c r="H143" s="575"/>
      <c r="I143" s="575"/>
      <c r="J143" s="575"/>
      <c r="K143" s="575"/>
      <c r="L143" s="524"/>
      <c r="M143" s="524"/>
      <c r="N143" s="524"/>
      <c r="O143" s="524"/>
      <c r="P143" s="524"/>
      <c r="Q143" s="524"/>
    </row>
    <row r="145" spans="1:13" ht="46.8" x14ac:dyDescent="0.25">
      <c r="A145" s="367" t="s">
        <v>757</v>
      </c>
      <c r="B145" s="367" t="s">
        <v>838</v>
      </c>
      <c r="C145" s="367" t="s">
        <v>747</v>
      </c>
      <c r="D145" s="367" t="s">
        <v>748</v>
      </c>
      <c r="E145" s="367" t="s">
        <v>845</v>
      </c>
      <c r="F145" s="367" t="s">
        <v>749</v>
      </c>
      <c r="G145" s="367" t="s">
        <v>846</v>
      </c>
      <c r="H145" s="367" t="s">
        <v>750</v>
      </c>
      <c r="I145" s="367" t="s">
        <v>751</v>
      </c>
      <c r="J145" s="367" t="s">
        <v>752</v>
      </c>
      <c r="K145" s="367" t="s">
        <v>753</v>
      </c>
    </row>
    <row r="146" spans="1:13" ht="15.6" x14ac:dyDescent="0.25">
      <c r="A146" s="368"/>
      <c r="B146" s="368"/>
      <c r="C146" s="368" t="s">
        <v>754</v>
      </c>
      <c r="D146" s="368" t="s">
        <v>755</v>
      </c>
      <c r="E146" s="368" t="s">
        <v>756</v>
      </c>
      <c r="F146" s="368"/>
      <c r="G146" s="368"/>
      <c r="H146" s="368"/>
      <c r="I146" s="368"/>
      <c r="J146" s="368"/>
      <c r="K146" s="368"/>
    </row>
    <row r="147" spans="1:13" ht="93.6" x14ac:dyDescent="0.3">
      <c r="A147" s="792" t="s">
        <v>758</v>
      </c>
      <c r="B147" s="369" t="s">
        <v>760</v>
      </c>
      <c r="C147" s="370" t="s">
        <v>761</v>
      </c>
      <c r="D147" s="370" t="s">
        <v>830</v>
      </c>
      <c r="E147" s="370" t="s">
        <v>759</v>
      </c>
      <c r="F147" s="370" t="s">
        <v>831</v>
      </c>
      <c r="G147" s="370" t="s">
        <v>854</v>
      </c>
      <c r="H147" s="370">
        <v>1</v>
      </c>
      <c r="I147" s="370">
        <v>2</v>
      </c>
      <c r="J147" s="370">
        <f>LEFT(H147,1)*LEFT(I147,1)</f>
        <v>2</v>
      </c>
      <c r="K147" s="371" t="s">
        <v>762</v>
      </c>
    </row>
    <row r="148" spans="1:13" ht="93.6" x14ac:dyDescent="0.25">
      <c r="A148" s="792"/>
      <c r="B148" s="369" t="s">
        <v>763</v>
      </c>
      <c r="C148" s="370" t="s">
        <v>764</v>
      </c>
      <c r="D148" s="370" t="s">
        <v>765</v>
      </c>
      <c r="E148" s="370" t="s">
        <v>766</v>
      </c>
      <c r="F148" s="370" t="s">
        <v>832</v>
      </c>
      <c r="G148" s="370" t="s">
        <v>855</v>
      </c>
      <c r="H148" s="370">
        <v>1</v>
      </c>
      <c r="I148" s="370">
        <v>3</v>
      </c>
      <c r="J148" s="370">
        <f>LEFT(H148,1)*LEFT(I148,1)</f>
        <v>3</v>
      </c>
      <c r="K148" s="372" t="s">
        <v>767</v>
      </c>
    </row>
    <row r="149" spans="1:13" ht="171.6" x14ac:dyDescent="0.3">
      <c r="A149" s="792"/>
      <c r="B149" s="369" t="s">
        <v>768</v>
      </c>
      <c r="C149" s="370" t="s">
        <v>769</v>
      </c>
      <c r="D149" s="370" t="s">
        <v>770</v>
      </c>
      <c r="E149" s="370" t="s">
        <v>771</v>
      </c>
      <c r="F149" s="370" t="s">
        <v>833</v>
      </c>
      <c r="G149" s="370" t="s">
        <v>856</v>
      </c>
      <c r="H149" s="370">
        <v>1</v>
      </c>
      <c r="I149" s="370">
        <v>1</v>
      </c>
      <c r="J149" s="370">
        <f t="shared" ref="J149:J153" si="0">LEFT(H149,1)*LEFT(I149,1)</f>
        <v>1</v>
      </c>
      <c r="K149" s="371" t="s">
        <v>772</v>
      </c>
      <c r="M149" s="58" t="s">
        <v>773</v>
      </c>
    </row>
    <row r="150" spans="1:13" ht="187.2" x14ac:dyDescent="0.3">
      <c r="A150" s="786" t="s">
        <v>829</v>
      </c>
      <c r="B150" s="369" t="s">
        <v>774</v>
      </c>
      <c r="C150" s="370" t="s">
        <v>775</v>
      </c>
      <c r="D150" s="370" t="s">
        <v>776</v>
      </c>
      <c r="E150" s="370" t="s">
        <v>777</v>
      </c>
      <c r="F150" s="370" t="s">
        <v>834</v>
      </c>
      <c r="G150" s="370" t="s">
        <v>857</v>
      </c>
      <c r="H150" s="370">
        <v>3</v>
      </c>
      <c r="I150" s="370">
        <v>2</v>
      </c>
      <c r="J150" s="370">
        <f t="shared" si="0"/>
        <v>6</v>
      </c>
      <c r="K150" s="371" t="s">
        <v>778</v>
      </c>
    </row>
    <row r="151" spans="1:13" ht="156" x14ac:dyDescent="0.3">
      <c r="A151" s="786"/>
      <c r="B151" s="369" t="s">
        <v>779</v>
      </c>
      <c r="C151" s="370" t="s">
        <v>780</v>
      </c>
      <c r="D151" s="370" t="s">
        <v>781</v>
      </c>
      <c r="E151" s="370" t="s">
        <v>782</v>
      </c>
      <c r="F151" s="370" t="s">
        <v>835</v>
      </c>
      <c r="G151" s="370" t="s">
        <v>858</v>
      </c>
      <c r="H151" s="370">
        <v>3</v>
      </c>
      <c r="I151" s="370">
        <v>3</v>
      </c>
      <c r="J151" s="370">
        <f t="shared" si="0"/>
        <v>9</v>
      </c>
      <c r="K151" s="371" t="s">
        <v>783</v>
      </c>
    </row>
    <row r="152" spans="1:13" ht="140.4" x14ac:dyDescent="0.25">
      <c r="A152" s="786" t="s">
        <v>828</v>
      </c>
      <c r="B152" s="369" t="s">
        <v>784</v>
      </c>
      <c r="C152" s="370" t="s">
        <v>785</v>
      </c>
      <c r="D152" s="370" t="s">
        <v>786</v>
      </c>
      <c r="E152" s="370" t="s">
        <v>787</v>
      </c>
      <c r="F152" s="370" t="s">
        <v>836</v>
      </c>
      <c r="G152" s="370" t="s">
        <v>859</v>
      </c>
      <c r="H152" s="370">
        <v>2</v>
      </c>
      <c r="I152" s="370">
        <v>3</v>
      </c>
      <c r="J152" s="370">
        <f t="shared" si="0"/>
        <v>6</v>
      </c>
      <c r="K152" s="372" t="s">
        <v>793</v>
      </c>
    </row>
    <row r="153" spans="1:13" ht="109.2" x14ac:dyDescent="0.25">
      <c r="A153" s="786"/>
      <c r="B153" s="369" t="s">
        <v>788</v>
      </c>
      <c r="C153" s="370" t="s">
        <v>789</v>
      </c>
      <c r="D153" s="370" t="s">
        <v>790</v>
      </c>
      <c r="E153" s="370" t="s">
        <v>791</v>
      </c>
      <c r="F153" s="370" t="s">
        <v>837</v>
      </c>
      <c r="G153" s="374" t="s">
        <v>860</v>
      </c>
      <c r="H153" s="370">
        <v>3</v>
      </c>
      <c r="I153" s="370">
        <v>3</v>
      </c>
      <c r="J153" s="370">
        <f t="shared" si="0"/>
        <v>9</v>
      </c>
      <c r="K153" s="372" t="s">
        <v>792</v>
      </c>
    </row>
    <row r="154" spans="1:13" ht="187.2" x14ac:dyDescent="0.25">
      <c r="A154" s="373" t="s">
        <v>827</v>
      </c>
      <c r="B154" s="369" t="s">
        <v>794</v>
      </c>
      <c r="C154" s="370" t="s">
        <v>795</v>
      </c>
      <c r="D154" s="370" t="s">
        <v>796</v>
      </c>
      <c r="E154" s="370" t="s">
        <v>797</v>
      </c>
      <c r="F154" s="370" t="s">
        <v>839</v>
      </c>
      <c r="G154" s="370" t="s">
        <v>861</v>
      </c>
      <c r="H154" s="370">
        <v>2</v>
      </c>
      <c r="I154" s="370">
        <v>2</v>
      </c>
      <c r="J154" s="370">
        <f t="shared" ref="J154:J159" si="1">LEFT(H154,1)*LEFT(I154,1)</f>
        <v>4</v>
      </c>
      <c r="K154" s="372" t="s">
        <v>798</v>
      </c>
    </row>
    <row r="155" spans="1:13" ht="124.8" x14ac:dyDescent="0.25">
      <c r="A155" s="786" t="s">
        <v>826</v>
      </c>
      <c r="B155" s="369" t="s">
        <v>799</v>
      </c>
      <c r="C155" s="370" t="s">
        <v>800</v>
      </c>
      <c r="D155" s="370" t="s">
        <v>801</v>
      </c>
      <c r="E155" s="370" t="s">
        <v>802</v>
      </c>
      <c r="F155" s="370" t="s">
        <v>840</v>
      </c>
      <c r="G155" s="370" t="s">
        <v>862</v>
      </c>
      <c r="H155" s="370">
        <v>1</v>
      </c>
      <c r="I155" s="370">
        <v>3</v>
      </c>
      <c r="J155" s="370">
        <f t="shared" si="1"/>
        <v>3</v>
      </c>
      <c r="K155" s="372" t="s">
        <v>803</v>
      </c>
    </row>
    <row r="156" spans="1:13" ht="109.2" x14ac:dyDescent="0.25">
      <c r="A156" s="786"/>
      <c r="B156" s="369" t="s">
        <v>804</v>
      </c>
      <c r="C156" s="370" t="s">
        <v>805</v>
      </c>
      <c r="D156" s="370" t="s">
        <v>806</v>
      </c>
      <c r="E156" s="370" t="s">
        <v>807</v>
      </c>
      <c r="F156" s="370" t="s">
        <v>841</v>
      </c>
      <c r="G156" s="370" t="s">
        <v>863</v>
      </c>
      <c r="H156" s="370">
        <v>1</v>
      </c>
      <c r="I156" s="370">
        <v>3</v>
      </c>
      <c r="J156" s="370">
        <f t="shared" si="1"/>
        <v>3</v>
      </c>
      <c r="K156" s="372" t="s">
        <v>808</v>
      </c>
    </row>
    <row r="157" spans="1:13" ht="156" x14ac:dyDescent="0.25">
      <c r="A157" s="786" t="s">
        <v>825</v>
      </c>
      <c r="B157" s="369" t="s">
        <v>809</v>
      </c>
      <c r="C157" s="370" t="s">
        <v>810</v>
      </c>
      <c r="D157" s="370" t="s">
        <v>811</v>
      </c>
      <c r="E157" s="370" t="s">
        <v>812</v>
      </c>
      <c r="F157" s="370" t="s">
        <v>842</v>
      </c>
      <c r="G157" s="370" t="s">
        <v>864</v>
      </c>
      <c r="H157" s="370">
        <v>2</v>
      </c>
      <c r="I157" s="370">
        <v>3</v>
      </c>
      <c r="J157" s="370">
        <f t="shared" si="1"/>
        <v>6</v>
      </c>
      <c r="K157" s="372" t="s">
        <v>813</v>
      </c>
    </row>
    <row r="158" spans="1:13" ht="124.8" x14ac:dyDescent="0.25">
      <c r="A158" s="786"/>
      <c r="B158" s="369" t="s">
        <v>814</v>
      </c>
      <c r="C158" s="370" t="s">
        <v>815</v>
      </c>
      <c r="D158" s="370" t="s">
        <v>817</v>
      </c>
      <c r="E158" s="370" t="s">
        <v>816</v>
      </c>
      <c r="F158" s="370" t="s">
        <v>843</v>
      </c>
      <c r="G158" s="370" t="s">
        <v>865</v>
      </c>
      <c r="H158" s="370">
        <v>2</v>
      </c>
      <c r="I158" s="370">
        <v>3</v>
      </c>
      <c r="J158" s="370">
        <f t="shared" si="1"/>
        <v>6</v>
      </c>
      <c r="K158" s="372" t="s">
        <v>818</v>
      </c>
    </row>
    <row r="159" spans="1:13" ht="156" x14ac:dyDescent="0.25">
      <c r="A159" s="373" t="s">
        <v>824</v>
      </c>
      <c r="B159" s="373" t="s">
        <v>819</v>
      </c>
      <c r="C159" s="370" t="s">
        <v>820</v>
      </c>
      <c r="D159" s="370" t="s">
        <v>821</v>
      </c>
      <c r="E159" s="370" t="s">
        <v>822</v>
      </c>
      <c r="F159" s="370" t="s">
        <v>844</v>
      </c>
      <c r="G159" s="370" t="s">
        <v>866</v>
      </c>
      <c r="H159" s="370">
        <v>2</v>
      </c>
      <c r="I159" s="370">
        <v>2</v>
      </c>
      <c r="J159" s="370">
        <f t="shared" si="1"/>
        <v>4</v>
      </c>
      <c r="K159" s="372" t="s">
        <v>823</v>
      </c>
    </row>
    <row r="237" spans="2:3" ht="13.8" thickBot="1" x14ac:dyDescent="0.3"/>
    <row r="238" spans="2:3" ht="15.6" x14ac:dyDescent="0.25">
      <c r="B238" s="544" t="s">
        <v>916</v>
      </c>
      <c r="C238" s="448" t="s">
        <v>917</v>
      </c>
    </row>
    <row r="239" spans="2:3" ht="31.2" x14ac:dyDescent="0.25">
      <c r="B239" s="542" t="str">
        <f>A150</f>
        <v>Risques liés à la sécurité des données</v>
      </c>
      <c r="C239" s="464">
        <f>AVERAGE(J150:J151)</f>
        <v>7.5</v>
      </c>
    </row>
    <row r="240" spans="2:3" ht="31.2" x14ac:dyDescent="0.25">
      <c r="B240" s="542" t="str">
        <f>A152</f>
        <v>Risques liés à la concurrence</v>
      </c>
      <c r="C240" s="464">
        <f>AVERAGE(J152:J153)</f>
        <v>7.5</v>
      </c>
    </row>
    <row r="241" spans="2:3" ht="15.6" x14ac:dyDescent="0.25">
      <c r="B241" s="542" t="str">
        <f>A157</f>
        <v>Risques financiers</v>
      </c>
      <c r="C241" s="464">
        <f>AVERAGE(J157:J158)</f>
        <v>6</v>
      </c>
    </row>
    <row r="242" spans="2:3" ht="46.8" x14ac:dyDescent="0.25">
      <c r="B242" s="542" t="str">
        <f>A154</f>
        <v>Risques liés à la conformité réglementaire</v>
      </c>
      <c r="C242" s="464">
        <f>AVERAGE(J154)</f>
        <v>4</v>
      </c>
    </row>
    <row r="243" spans="2:3" ht="31.2" x14ac:dyDescent="0.25">
      <c r="B243" s="542" t="str">
        <f>A159</f>
        <v>Risques liés à la maintenance</v>
      </c>
      <c r="C243" s="464">
        <f>AVERAGE(J159)</f>
        <v>4</v>
      </c>
    </row>
    <row r="244" spans="2:3" ht="31.2" x14ac:dyDescent="0.25">
      <c r="B244" s="542" t="str">
        <f>A155</f>
        <v>Risques liés à la gestion de projet</v>
      </c>
      <c r="C244" s="464">
        <f>AVERAGE(J155:J156)</f>
        <v>3</v>
      </c>
    </row>
    <row r="245" spans="2:3" ht="16.2" thickBot="1" x14ac:dyDescent="0.3">
      <c r="B245" s="543" t="str">
        <f>A147</f>
        <v>Risques Technique</v>
      </c>
      <c r="C245" s="457">
        <f>AVERAGE(J147:J149)</f>
        <v>2</v>
      </c>
    </row>
  </sheetData>
  <mergeCells count="56">
    <mergeCell ref="A55:K55"/>
    <mergeCell ref="A18:K18"/>
    <mergeCell ref="E57:J57"/>
    <mergeCell ref="E58:J58"/>
    <mergeCell ref="E59:J59"/>
    <mergeCell ref="C58:C66"/>
    <mergeCell ref="E60:J60"/>
    <mergeCell ref="E61:J61"/>
    <mergeCell ref="E62:J62"/>
    <mergeCell ref="E63:J63"/>
    <mergeCell ref="E64:J64"/>
    <mergeCell ref="E84:J84"/>
    <mergeCell ref="E85:J85"/>
    <mergeCell ref="E86:J86"/>
    <mergeCell ref="E87:J87"/>
    <mergeCell ref="D82:D84"/>
    <mergeCell ref="D85:D87"/>
    <mergeCell ref="E82:J82"/>
    <mergeCell ref="E73:J73"/>
    <mergeCell ref="E83:J83"/>
    <mergeCell ref="E74:J74"/>
    <mergeCell ref="E75:J75"/>
    <mergeCell ref="E76:J76"/>
    <mergeCell ref="E77:J77"/>
    <mergeCell ref="A157:A158"/>
    <mergeCell ref="A2:K2"/>
    <mergeCell ref="D59:D62"/>
    <mergeCell ref="D76:D81"/>
    <mergeCell ref="D63:D66"/>
    <mergeCell ref="D68:D70"/>
    <mergeCell ref="D73:D75"/>
    <mergeCell ref="E78:J78"/>
    <mergeCell ref="E79:J79"/>
    <mergeCell ref="E80:J80"/>
    <mergeCell ref="E81:J81"/>
    <mergeCell ref="E68:J68"/>
    <mergeCell ref="E69:J69"/>
    <mergeCell ref="E65:J65"/>
    <mergeCell ref="E66:J66"/>
    <mergeCell ref="E67:J67"/>
    <mergeCell ref="A150:A151"/>
    <mergeCell ref="A152:A153"/>
    <mergeCell ref="A155:A156"/>
    <mergeCell ref="D71:D72"/>
    <mergeCell ref="C68:C70"/>
    <mergeCell ref="C73:C75"/>
    <mergeCell ref="C76:C81"/>
    <mergeCell ref="C82:C84"/>
    <mergeCell ref="A147:A149"/>
    <mergeCell ref="C85:C87"/>
    <mergeCell ref="A143:K143"/>
    <mergeCell ref="A89:K89"/>
    <mergeCell ref="C71:C72"/>
    <mergeCell ref="E70:J70"/>
    <mergeCell ref="E71:J71"/>
    <mergeCell ref="E72:J72"/>
  </mergeCells>
  <conditionalFormatting sqref="J147">
    <cfRule type="colorScale" priority="9">
      <colorScale>
        <cfvo type="num" val="0"/>
        <cfvo type="num" val="3"/>
        <cfvo type="num" val="8"/>
        <color rgb="FF00B050"/>
        <color rgb="FFFFEB84"/>
        <color rgb="FFFF0000"/>
      </colorScale>
    </cfRule>
    <cfRule type="colorScale" priority="10">
      <colorScale>
        <cfvo type="num" val="0"/>
        <cfvo type="num" val="3"/>
        <cfvo type="num" val="8"/>
        <color rgb="FF00B050"/>
        <color rgb="FFFFEB84"/>
        <color rgb="FFFF0000"/>
      </colorScale>
    </cfRule>
  </conditionalFormatting>
  <conditionalFormatting sqref="J148">
    <cfRule type="colorScale" priority="7">
      <colorScale>
        <cfvo type="num" val="0"/>
        <cfvo type="num" val="3"/>
        <cfvo type="num" val="8"/>
        <color rgb="FF00B050"/>
        <color rgb="FFFFEB84"/>
        <color rgb="FFFF0000"/>
      </colorScale>
    </cfRule>
    <cfRule type="colorScale" priority="8">
      <colorScale>
        <cfvo type="num" val="0"/>
        <cfvo type="num" val="3"/>
        <cfvo type="num" val="8"/>
        <color rgb="FF00B050"/>
        <color rgb="FFFFEB84"/>
        <color rgb="FFFF0000"/>
      </colorScale>
    </cfRule>
  </conditionalFormatting>
  <conditionalFormatting sqref="J149:J154">
    <cfRule type="colorScale" priority="5">
      <colorScale>
        <cfvo type="num" val="0"/>
        <cfvo type="num" val="3"/>
        <cfvo type="num" val="8"/>
        <color rgb="FF00B050"/>
        <color rgb="FFFFEB84"/>
        <color rgb="FFFF0000"/>
      </colorScale>
    </cfRule>
    <cfRule type="colorScale" priority="6">
      <colorScale>
        <cfvo type="num" val="0"/>
        <cfvo type="num" val="3"/>
        <cfvo type="num" val="8"/>
        <color rgb="FF00B050"/>
        <color rgb="FFFFEB84"/>
        <color rgb="FFFF0000"/>
      </colorScale>
    </cfRule>
  </conditionalFormatting>
  <conditionalFormatting sqref="J155:J159">
    <cfRule type="colorScale" priority="1">
      <colorScale>
        <cfvo type="num" val="0"/>
        <cfvo type="num" val="3"/>
        <cfvo type="num" val="8"/>
        <color rgb="FF00B050"/>
        <color rgb="FFFFEB84"/>
        <color rgb="FFFF0000"/>
      </colorScale>
    </cfRule>
    <cfRule type="colorScale" priority="2">
      <colorScale>
        <cfvo type="num" val="0"/>
        <cfvo type="num" val="3"/>
        <cfvo type="num" val="8"/>
        <color rgb="FF00B050"/>
        <color rgb="FFFFEB84"/>
        <color rgb="FFFF0000"/>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ORGANISATION DE CET EXCEL</vt:lpstr>
      <vt:lpstr>I. Retour de l'équipe produit</vt:lpstr>
      <vt:lpstr>II.Expression des besoins</vt:lpstr>
      <vt:lpstr>III. Chiffrage &amp; Rentabilité</vt:lpstr>
      <vt:lpstr>IV. Planification des Sprints</vt:lpstr>
      <vt:lpstr>V. Organisation du projet</vt:lpstr>
      <vt:lpstr>VI. Registre de traitements</vt:lpstr>
      <vt:lpstr>VII. Analyse des risques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Elodie Frau</cp:lastModifiedBy>
  <dcterms:created xsi:type="dcterms:W3CDTF">2025-01-23T10:27:30Z</dcterms:created>
  <dcterms:modified xsi:type="dcterms:W3CDTF">2025-02-05T09:14:15Z</dcterms:modified>
</cp:coreProperties>
</file>