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na\Documents\GitHub\itusolar-back\"/>
    </mc:Choice>
  </mc:AlternateContent>
  <xr:revisionPtr revIDLastSave="0" documentId="13_ncr:1_{37B969DA-39CD-47A9-B32F-861770F6EE33}" xr6:coauthVersionLast="47" xr6:coauthVersionMax="47" xr10:uidLastSave="{00000000-0000-0000-0000-000000000000}"/>
  <bookViews>
    <workbookView xWindow="4520" yWindow="2670" windowWidth="19460" windowHeight="10950" activeTab="2" xr2:uid="{5EE73C15-01B8-4D50-AD70-C663627333CD}"/>
  </bookViews>
  <sheets>
    <sheet name="Details" sheetId="2" r:id="rId1"/>
    <sheet name="Donnees" sheetId="1" r:id="rId2"/>
    <sheet name="Sim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3" l="1"/>
  <c r="U23" i="3"/>
  <c r="U24" i="3"/>
  <c r="U25" i="3"/>
  <c r="U21" i="3"/>
  <c r="T22" i="3"/>
  <c r="T23" i="3"/>
  <c r="T24" i="3"/>
  <c r="T25" i="3"/>
  <c r="T21" i="3"/>
  <c r="S21" i="3"/>
  <c r="S22" i="3"/>
  <c r="S23" i="3"/>
  <c r="S24" i="3"/>
  <c r="S25" i="3"/>
  <c r="R22" i="3"/>
  <c r="R23" i="3"/>
  <c r="R24" i="3"/>
  <c r="R25" i="3"/>
  <c r="R21" i="3"/>
  <c r="O22" i="3"/>
  <c r="P21" i="3"/>
  <c r="K24" i="3"/>
  <c r="Q22" i="3"/>
  <c r="Q23" i="3"/>
  <c r="Q24" i="3"/>
  <c r="Q25" i="3"/>
  <c r="Q21" i="3"/>
  <c r="O21" i="3"/>
  <c r="L21" i="3"/>
  <c r="N21" i="3"/>
  <c r="M22" i="3"/>
  <c r="M23" i="3"/>
  <c r="M24" i="3"/>
  <c r="M21" i="3"/>
  <c r="I24" i="3" a="1"/>
  <c r="I24" i="3" s="1"/>
  <c r="I22" i="3" a="1"/>
  <c r="I22" i="3" s="1"/>
  <c r="I23" i="3" a="1"/>
  <c r="I23" i="3"/>
  <c r="I21" i="3" a="1"/>
  <c r="I21" i="3" s="1"/>
  <c r="H22" i="3"/>
  <c r="H23" i="3"/>
  <c r="H24" i="3"/>
  <c r="H21" i="3"/>
  <c r="C6" i="1"/>
  <c r="I5" i="1"/>
  <c r="I6" i="1"/>
  <c r="I7" i="1"/>
  <c r="I8" i="1"/>
  <c r="I9" i="1"/>
  <c r="I10" i="1"/>
  <c r="I11" i="1"/>
  <c r="I12" i="1"/>
  <c r="I13" i="1"/>
  <c r="I14" i="1"/>
  <c r="I15" i="1"/>
  <c r="I4" i="1"/>
  <c r="H6" i="1"/>
  <c r="H7" i="1"/>
  <c r="H8" i="1"/>
  <c r="H9" i="1"/>
  <c r="H10" i="1"/>
  <c r="H11" i="1"/>
  <c r="H12" i="1"/>
  <c r="H13" i="1"/>
  <c r="H14" i="1"/>
  <c r="H15" i="1"/>
  <c r="F6" i="1"/>
  <c r="F7" i="1"/>
  <c r="F8" i="1"/>
  <c r="F9" i="1"/>
  <c r="F10" i="1"/>
  <c r="F11" i="1"/>
  <c r="F12" i="1"/>
  <c r="F13" i="1"/>
  <c r="F14" i="1"/>
  <c r="F15" i="1"/>
  <c r="E6" i="1"/>
  <c r="E7" i="1"/>
  <c r="E8" i="1"/>
  <c r="E9" i="1"/>
  <c r="E10" i="1"/>
  <c r="E11" i="1"/>
  <c r="E12" i="1"/>
  <c r="E13" i="1"/>
  <c r="E14" i="1"/>
  <c r="E15" i="1"/>
  <c r="B7" i="1"/>
  <c r="B8" i="1" s="1"/>
  <c r="B9" i="1" s="1"/>
  <c r="B10" i="1" s="1"/>
  <c r="B11" i="1" s="1"/>
  <c r="B12" i="1" s="1"/>
  <c r="B13" i="1" s="1"/>
  <c r="B14" i="1" s="1"/>
  <c r="B15" i="1" s="1"/>
  <c r="B6" i="1"/>
  <c r="H5" i="1"/>
  <c r="F5" i="1"/>
  <c r="E5" i="1"/>
  <c r="E4" i="1"/>
  <c r="F4" i="1"/>
  <c r="G21" i="3"/>
  <c r="G13" i="3"/>
  <c r="D25" i="3"/>
  <c r="D29" i="3" s="1"/>
  <c r="C25" i="3"/>
  <c r="D24" i="3" s="1"/>
  <c r="D23" i="3"/>
  <c r="C24" i="3" s="1"/>
  <c r="C23" i="3"/>
  <c r="D22" i="3"/>
  <c r="C22" i="3"/>
  <c r="D21" i="3"/>
  <c r="C21" i="3"/>
  <c r="C29" i="3" s="1"/>
  <c r="D16" i="3"/>
  <c r="C16" i="3"/>
  <c r="D15" i="3"/>
  <c r="C15" i="3"/>
  <c r="D14" i="3"/>
  <c r="C14" i="3"/>
  <c r="C13" i="3"/>
  <c r="D13" i="3"/>
  <c r="F8" i="3"/>
  <c r="F7" i="3"/>
  <c r="E9" i="3"/>
  <c r="I9" i="3" s="1"/>
  <c r="E25" i="3" s="1"/>
  <c r="H25" i="3" s="1"/>
  <c r="D9" i="3"/>
  <c r="E8" i="3"/>
  <c r="I8" i="3" s="1"/>
  <c r="E23" i="3" s="1"/>
  <c r="E7" i="3"/>
  <c r="I7" i="3" s="1"/>
  <c r="E21" i="3" s="1"/>
  <c r="D8" i="3"/>
  <c r="D7" i="3"/>
  <c r="K3" i="3"/>
  <c r="J7" i="3" s="1"/>
  <c r="J5" i="2"/>
  <c r="J13" i="2"/>
  <c r="J12" i="2"/>
  <c r="J11" i="2"/>
  <c r="J10" i="2"/>
  <c r="J9" i="2"/>
  <c r="J8" i="2"/>
  <c r="J7" i="2"/>
  <c r="J6" i="2"/>
  <c r="J4" i="2"/>
  <c r="J3" i="2"/>
  <c r="F6" i="2"/>
  <c r="F5" i="2"/>
  <c r="F4" i="2"/>
  <c r="F3" i="2"/>
  <c r="I25" i="3" l="1" a="1"/>
  <c r="I25" i="3" s="1"/>
  <c r="M25" i="3"/>
  <c r="N22" i="3"/>
  <c r="E22" i="3"/>
  <c r="F24" i="3"/>
  <c r="E14" i="3"/>
  <c r="E15" i="3"/>
  <c r="E16" i="3"/>
  <c r="E13" i="3"/>
  <c r="C19" i="1"/>
  <c r="F29" i="3" s="1"/>
  <c r="F25" i="3"/>
  <c r="J9" i="3"/>
  <c r="J8" i="3"/>
  <c r="F16" i="3"/>
  <c r="F23" i="3"/>
  <c r="F13" i="3"/>
  <c r="F15" i="3"/>
  <c r="F22" i="3"/>
  <c r="F21" i="3"/>
  <c r="F14" i="3"/>
  <c r="P22" i="3" l="1"/>
  <c r="L22" i="3" s="1"/>
  <c r="J21" i="3"/>
  <c r="K21" i="3" s="1"/>
  <c r="J24" i="3"/>
  <c r="J25" i="3"/>
  <c r="K25" i="3" s="1"/>
  <c r="J23" i="3"/>
  <c r="K23" i="3" s="1"/>
  <c r="J22" i="3"/>
  <c r="K22" i="3" s="1"/>
  <c r="N23" i="3" l="1"/>
  <c r="O23" i="3" l="1"/>
  <c r="P23" i="3" s="1"/>
  <c r="L23" i="3" l="1"/>
  <c r="L24" i="3" l="1"/>
  <c r="N25" i="3" s="1"/>
  <c r="O25" i="3" s="1"/>
  <c r="P25" i="3" s="1"/>
  <c r="N24" i="3"/>
  <c r="O24" i="3" s="1"/>
  <c r="P24" i="3" s="1"/>
  <c r="L2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<sst xmlns="http://schemas.openxmlformats.org/spreadsheetml/2006/main" count="122" uniqueCount="99">
  <si>
    <t>Section</t>
  </si>
  <si>
    <t>id</t>
  </si>
  <si>
    <t>titre</t>
  </si>
  <si>
    <t>sect1</t>
  </si>
  <si>
    <t>Bibliotheque</t>
  </si>
  <si>
    <t>sect2</t>
  </si>
  <si>
    <t>Design</t>
  </si>
  <si>
    <t>EnergySource</t>
  </si>
  <si>
    <t>sectionid</t>
  </si>
  <si>
    <t>ensrc1</t>
  </si>
  <si>
    <t>ensrc2</t>
  </si>
  <si>
    <t>ensrc3</t>
  </si>
  <si>
    <t>ensrc4</t>
  </si>
  <si>
    <t>Onduleur A</t>
  </si>
  <si>
    <t>Onduleur B</t>
  </si>
  <si>
    <t>Onduleur C</t>
  </si>
  <si>
    <t>Onduleur D</t>
  </si>
  <si>
    <t>Lieu</t>
  </si>
  <si>
    <t>li1</t>
  </si>
  <si>
    <t>Amphi A</t>
  </si>
  <si>
    <t>li2</t>
  </si>
  <si>
    <t>li3</t>
  </si>
  <si>
    <t>li4</t>
  </si>
  <si>
    <t>li5</t>
  </si>
  <si>
    <t>Amphi B</t>
  </si>
  <si>
    <t>Amphi C</t>
  </si>
  <si>
    <t>Salle 1</t>
  </si>
  <si>
    <t>Salle 2</t>
  </si>
  <si>
    <t>li6</t>
  </si>
  <si>
    <t>li7</t>
  </si>
  <si>
    <t>li8</t>
  </si>
  <si>
    <t>Salle 3</t>
  </si>
  <si>
    <t>Salle 4</t>
  </si>
  <si>
    <t>Salle 5</t>
  </si>
  <si>
    <t>Salle 6</t>
  </si>
  <si>
    <t>Salle 7</t>
  </si>
  <si>
    <t>li9</t>
  </si>
  <si>
    <t>li10</t>
  </si>
  <si>
    <t>li11</t>
  </si>
  <si>
    <t>Grande Salle</t>
  </si>
  <si>
    <t>Appareil</t>
  </si>
  <si>
    <t>consommation</t>
  </si>
  <si>
    <t>app1</t>
  </si>
  <si>
    <t>app2</t>
  </si>
  <si>
    <t>app3</t>
  </si>
  <si>
    <t>app4</t>
  </si>
  <si>
    <t>app5</t>
  </si>
  <si>
    <t xml:space="preserve">Asus </t>
  </si>
  <si>
    <t>Asus Rog</t>
  </si>
  <si>
    <t>Del</t>
  </si>
  <si>
    <t>Del Slim</t>
  </si>
  <si>
    <t>Hp</t>
  </si>
  <si>
    <t>Simulation</t>
  </si>
  <si>
    <t>Nombre</t>
  </si>
  <si>
    <t>Debut</t>
  </si>
  <si>
    <t>Fin</t>
  </si>
  <si>
    <t>Consommation</t>
  </si>
  <si>
    <t>Date Debut</t>
  </si>
  <si>
    <t>Vitesse</t>
  </si>
  <si>
    <t>Duree</t>
  </si>
  <si>
    <t>Date Multiple</t>
  </si>
  <si>
    <t>Donnee simulation</t>
  </si>
  <si>
    <t>Vitesse separre</t>
  </si>
  <si>
    <t>Date debut</t>
  </si>
  <si>
    <t>Date fin</t>
  </si>
  <si>
    <t>vitesse</t>
  </si>
  <si>
    <t>Details</t>
  </si>
  <si>
    <t>sim1</t>
  </si>
  <si>
    <t>sim2</t>
  </si>
  <si>
    <t>sim3</t>
  </si>
  <si>
    <t>sim1,sim2</t>
  </si>
  <si>
    <t>Vitesse complet</t>
  </si>
  <si>
    <t>Date concern</t>
  </si>
  <si>
    <t>temperature</t>
  </si>
  <si>
    <t>Historiqu</t>
  </si>
  <si>
    <t>Date</t>
  </si>
  <si>
    <t>pentree</t>
  </si>
  <si>
    <t>psortie</t>
  </si>
  <si>
    <t>energysource</t>
  </si>
  <si>
    <t>section</t>
  </si>
  <si>
    <t>batterie</t>
  </si>
  <si>
    <t>temp</t>
  </si>
  <si>
    <t>rapport</t>
  </si>
  <si>
    <t>Moyenne</t>
  </si>
  <si>
    <t>production</t>
  </si>
  <si>
    <t>Vitesse reste</t>
  </si>
  <si>
    <t>Vitesse par minute</t>
  </si>
  <si>
    <t>Production reste</t>
  </si>
  <si>
    <t>reste</t>
  </si>
  <si>
    <t>vitesse reste abs</t>
  </si>
  <si>
    <t>vitesse reste brut</t>
  </si>
  <si>
    <t>temps epuisement</t>
  </si>
  <si>
    <t>temps restant</t>
  </si>
  <si>
    <t>minimum</t>
  </si>
  <si>
    <t>vitesse abs/min</t>
  </si>
  <si>
    <t>not sup</t>
  </si>
  <si>
    <t>Date debut insup</t>
  </si>
  <si>
    <t>Date fin insup</t>
  </si>
  <si>
    <t>conso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</si>
</sst>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3" fontId="0" fillId="0" borderId="0" xfId="1" applyFont="1"/>
    <xf numFmtId="166" fontId="0" fillId="0" borderId="0" xfId="0" applyNumberFormat="1"/>
    <xf numFmtId="2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BB9D-0E79-435F-9776-7B2A7C31503B}">
  <dimension ref="A1:N13"/>
  <sheetViews>
    <sheetView workbookViewId="0">
      <selection activeCell="J3" sqref="J3"/>
    </sheetView>
  </sheetViews>
  <sheetFormatPr baseColWidth="10" defaultRowHeight="14.5" x14ac:dyDescent="0.35"/>
  <cols>
    <col min="4" max="4" width="22.1796875" customWidth="1"/>
    <col min="14" max="14" width="13.08984375" customWidth="1"/>
  </cols>
  <sheetData>
    <row r="1" spans="1:14" x14ac:dyDescent="0.35">
      <c r="A1" t="s">
        <v>0</v>
      </c>
      <c r="D1" t="s">
        <v>7</v>
      </c>
      <c r="H1" t="s">
        <v>17</v>
      </c>
      <c r="L1" t="s">
        <v>40</v>
      </c>
    </row>
    <row r="2" spans="1:14" x14ac:dyDescent="0.35">
      <c r="A2" t="s">
        <v>1</v>
      </c>
      <c r="B2" t="s">
        <v>2</v>
      </c>
      <c r="D2" t="s">
        <v>1</v>
      </c>
      <c r="E2" t="s">
        <v>2</v>
      </c>
      <c r="F2" t="s">
        <v>8</v>
      </c>
      <c r="H2" t="s">
        <v>1</v>
      </c>
      <c r="I2" t="s">
        <v>2</v>
      </c>
      <c r="J2" t="s">
        <v>8</v>
      </c>
      <c r="L2" t="s">
        <v>1</v>
      </c>
      <c r="M2" t="s">
        <v>2</v>
      </c>
      <c r="N2" t="s">
        <v>41</v>
      </c>
    </row>
    <row r="3" spans="1:14" x14ac:dyDescent="0.35">
      <c r="A3" t="s">
        <v>3</v>
      </c>
      <c r="B3" t="s">
        <v>4</v>
      </c>
      <c r="D3" t="s">
        <v>9</v>
      </c>
      <c r="E3" t="s">
        <v>13</v>
      </c>
      <c r="F3" t="str">
        <f>$A$3</f>
        <v>sect1</v>
      </c>
      <c r="H3" t="s">
        <v>18</v>
      </c>
      <c r="I3" t="s">
        <v>19</v>
      </c>
      <c r="J3" t="str">
        <f>$A$3</f>
        <v>sect1</v>
      </c>
      <c r="L3" t="s">
        <v>42</v>
      </c>
      <c r="M3" t="s">
        <v>47</v>
      </c>
      <c r="N3">
        <v>70</v>
      </c>
    </row>
    <row r="4" spans="1:14" x14ac:dyDescent="0.35">
      <c r="A4" t="s">
        <v>5</v>
      </c>
      <c r="B4" t="s">
        <v>6</v>
      </c>
      <c r="D4" t="s">
        <v>10</v>
      </c>
      <c r="E4" t="s">
        <v>14</v>
      </c>
      <c r="F4" t="str">
        <f>$A$3</f>
        <v>sect1</v>
      </c>
      <c r="H4" t="s">
        <v>20</v>
      </c>
      <c r="I4" t="s">
        <v>24</v>
      </c>
      <c r="J4" t="str">
        <f>$A$3</f>
        <v>sect1</v>
      </c>
      <c r="L4" t="s">
        <v>43</v>
      </c>
      <c r="M4" t="s">
        <v>48</v>
      </c>
      <c r="N4">
        <v>80</v>
      </c>
    </row>
    <row r="5" spans="1:14" x14ac:dyDescent="0.35">
      <c r="D5" t="s">
        <v>11</v>
      </c>
      <c r="E5" t="s">
        <v>15</v>
      </c>
      <c r="F5" t="str">
        <f>$A$4</f>
        <v>sect2</v>
      </c>
      <c r="H5" t="s">
        <v>21</v>
      </c>
      <c r="I5" t="s">
        <v>25</v>
      </c>
      <c r="J5" t="str">
        <f>$A$4</f>
        <v>sect2</v>
      </c>
      <c r="L5" t="s">
        <v>44</v>
      </c>
      <c r="M5" t="s">
        <v>49</v>
      </c>
      <c r="N5">
        <v>65</v>
      </c>
    </row>
    <row r="6" spans="1:14" x14ac:dyDescent="0.35">
      <c r="D6" t="s">
        <v>12</v>
      </c>
      <c r="E6" t="s">
        <v>16</v>
      </c>
      <c r="F6" t="str">
        <f>$A$4</f>
        <v>sect2</v>
      </c>
      <c r="H6" t="s">
        <v>22</v>
      </c>
      <c r="I6" t="s">
        <v>26</v>
      </c>
      <c r="J6" t="str">
        <f>$A$3</f>
        <v>sect1</v>
      </c>
      <c r="L6" t="s">
        <v>45</v>
      </c>
      <c r="M6" t="s">
        <v>50</v>
      </c>
      <c r="N6">
        <v>70</v>
      </c>
    </row>
    <row r="7" spans="1:14" x14ac:dyDescent="0.35">
      <c r="H7" t="s">
        <v>23</v>
      </c>
      <c r="I7" t="s">
        <v>27</v>
      </c>
      <c r="J7" t="str">
        <f>$A$3</f>
        <v>sect1</v>
      </c>
      <c r="L7" t="s">
        <v>46</v>
      </c>
      <c r="M7" t="s">
        <v>51</v>
      </c>
      <c r="N7">
        <v>60</v>
      </c>
    </row>
    <row r="8" spans="1:14" x14ac:dyDescent="0.35">
      <c r="H8" t="s">
        <v>28</v>
      </c>
      <c r="I8" t="s">
        <v>31</v>
      </c>
      <c r="J8" t="str">
        <f>$A$3</f>
        <v>sect1</v>
      </c>
    </row>
    <row r="9" spans="1:14" x14ac:dyDescent="0.35">
      <c r="H9" t="s">
        <v>29</v>
      </c>
      <c r="I9" t="s">
        <v>32</v>
      </c>
      <c r="J9" t="str">
        <f>$A$3</f>
        <v>sect1</v>
      </c>
    </row>
    <row r="10" spans="1:14" x14ac:dyDescent="0.35">
      <c r="H10" t="s">
        <v>30</v>
      </c>
      <c r="I10" t="s">
        <v>33</v>
      </c>
      <c r="J10" t="str">
        <f>$A$4</f>
        <v>sect2</v>
      </c>
    </row>
    <row r="11" spans="1:14" x14ac:dyDescent="0.35">
      <c r="H11" t="s">
        <v>36</v>
      </c>
      <c r="I11" t="s">
        <v>34</v>
      </c>
      <c r="J11" t="str">
        <f>$A$4</f>
        <v>sect2</v>
      </c>
    </row>
    <row r="12" spans="1:14" x14ac:dyDescent="0.35">
      <c r="H12" t="s">
        <v>37</v>
      </c>
      <c r="I12" t="s">
        <v>35</v>
      </c>
      <c r="J12" t="str">
        <f>$A$4</f>
        <v>sect2</v>
      </c>
    </row>
    <row r="13" spans="1:14" x14ac:dyDescent="0.35">
      <c r="H13" t="s">
        <v>38</v>
      </c>
      <c r="I13" t="s">
        <v>39</v>
      </c>
      <c r="J13" t="str">
        <f>$A$3</f>
        <v>sect1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FC23-EAEC-441B-A78D-FE342E18B6AE}">
  <dimension ref="A2:I19"/>
  <sheetViews>
    <sheetView workbookViewId="0">
      <selection activeCell="G9" sqref="G9"/>
    </sheetView>
  </sheetViews>
  <sheetFormatPr baseColWidth="10" defaultRowHeight="14.5" x14ac:dyDescent="0.35"/>
  <cols>
    <col min="2" max="2" width="19.81640625" customWidth="1"/>
    <col min="3" max="3" width="15.453125" bestFit="1" customWidth="1"/>
    <col min="5" max="5" width="14.453125" customWidth="1"/>
  </cols>
  <sheetData>
    <row r="2" spans="1:9" x14ac:dyDescent="0.35">
      <c r="B2" t="s">
        <v>74</v>
      </c>
    </row>
    <row r="3" spans="1:9" x14ac:dyDescent="0.35"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9" x14ac:dyDescent="0.35">
      <c r="A4">
        <v>1</v>
      </c>
      <c r="B4" s="1">
        <v>45139.333333333336</v>
      </c>
      <c r="C4">
        <v>1000</v>
      </c>
      <c r="D4">
        <v>100</v>
      </c>
      <c r="E4" t="str">
        <f>Details!$D$3</f>
        <v>ensrc1</v>
      </c>
      <c r="F4" t="str">
        <f>Details!$F$3</f>
        <v>sect1</v>
      </c>
      <c r="G4">
        <v>30</v>
      </c>
      <c r="H4">
        <v>30</v>
      </c>
      <c r="I4" s="2">
        <f>C4/H4</f>
        <v>33.333333333333336</v>
      </c>
    </row>
    <row r="5" spans="1:9" x14ac:dyDescent="0.35">
      <c r="A5">
        <v>2</v>
      </c>
      <c r="B5" s="1">
        <v>45139.336805555555</v>
      </c>
      <c r="C5">
        <v>1200</v>
      </c>
      <c r="D5">
        <v>100</v>
      </c>
      <c r="E5" t="str">
        <f>Details!$D$3</f>
        <v>ensrc1</v>
      </c>
      <c r="F5" t="str">
        <f>Details!$F$3</f>
        <v>sect1</v>
      </c>
      <c r="G5">
        <v>30</v>
      </c>
      <c r="H5">
        <f>30</f>
        <v>30</v>
      </c>
      <c r="I5" s="2">
        <f t="shared" ref="I5:I15" si="0">C5/H5</f>
        <v>40</v>
      </c>
    </row>
    <row r="6" spans="1:9" x14ac:dyDescent="0.35">
      <c r="A6">
        <v>3</v>
      </c>
      <c r="B6" s="1">
        <f>B5+(5/(60*24))</f>
        <v>45139.340277777774</v>
      </c>
      <c r="C6">
        <f>900</f>
        <v>900</v>
      </c>
      <c r="D6">
        <v>100</v>
      </c>
      <c r="E6" t="str">
        <f>Details!$D$3</f>
        <v>ensrc1</v>
      </c>
      <c r="F6" t="str">
        <f>Details!$F$3</f>
        <v>sect1</v>
      </c>
      <c r="G6">
        <v>30</v>
      </c>
      <c r="H6">
        <f>30</f>
        <v>30</v>
      </c>
      <c r="I6" s="2">
        <f t="shared" si="0"/>
        <v>30</v>
      </c>
    </row>
    <row r="7" spans="1:9" x14ac:dyDescent="0.35">
      <c r="A7">
        <v>4</v>
      </c>
      <c r="B7" s="1">
        <f t="shared" ref="B7:B19" si="1">B6+(5/(60*24))</f>
        <v>45139.343749999993</v>
      </c>
      <c r="C7">
        <v>2000</v>
      </c>
      <c r="D7">
        <v>100</v>
      </c>
      <c r="E7" t="str">
        <f>Details!$D$3</f>
        <v>ensrc1</v>
      </c>
      <c r="F7" t="str">
        <f>Details!$F$3</f>
        <v>sect1</v>
      </c>
      <c r="G7">
        <v>30</v>
      </c>
      <c r="H7">
        <f>30</f>
        <v>30</v>
      </c>
      <c r="I7" s="2">
        <f t="shared" si="0"/>
        <v>66.666666666666671</v>
      </c>
    </row>
    <row r="8" spans="1:9" x14ac:dyDescent="0.35">
      <c r="A8">
        <v>5</v>
      </c>
      <c r="B8" s="1">
        <f t="shared" si="1"/>
        <v>45139.347222222212</v>
      </c>
      <c r="C8">
        <v>2500</v>
      </c>
      <c r="D8">
        <v>100</v>
      </c>
      <c r="E8" t="str">
        <f>Details!$D$3</f>
        <v>ensrc1</v>
      </c>
      <c r="F8" t="str">
        <f>Details!$F$3</f>
        <v>sect1</v>
      </c>
      <c r="G8">
        <v>30</v>
      </c>
      <c r="H8">
        <f>30</f>
        <v>30</v>
      </c>
      <c r="I8" s="2">
        <f t="shared" si="0"/>
        <v>83.333333333333329</v>
      </c>
    </row>
    <row r="9" spans="1:9" x14ac:dyDescent="0.35">
      <c r="A9">
        <v>6</v>
      </c>
      <c r="B9" s="1">
        <f t="shared" si="1"/>
        <v>45139.350694444431</v>
      </c>
      <c r="C9">
        <v>2300</v>
      </c>
      <c r="D9">
        <v>100</v>
      </c>
      <c r="E9" t="str">
        <f>Details!$D$3</f>
        <v>ensrc1</v>
      </c>
      <c r="F9" t="str">
        <f>Details!$F$3</f>
        <v>sect1</v>
      </c>
      <c r="G9">
        <v>30</v>
      </c>
      <c r="H9">
        <f>30</f>
        <v>30</v>
      </c>
      <c r="I9" s="2">
        <f t="shared" si="0"/>
        <v>76.666666666666671</v>
      </c>
    </row>
    <row r="10" spans="1:9" x14ac:dyDescent="0.35">
      <c r="A10">
        <v>7</v>
      </c>
      <c r="B10" s="1">
        <f t="shared" si="1"/>
        <v>45139.35416666665</v>
      </c>
      <c r="C10">
        <v>1900</v>
      </c>
      <c r="D10">
        <v>100</v>
      </c>
      <c r="E10" t="str">
        <f>Details!$D$3</f>
        <v>ensrc1</v>
      </c>
      <c r="F10" t="str">
        <f>Details!$F$3</f>
        <v>sect1</v>
      </c>
      <c r="G10">
        <v>30</v>
      </c>
      <c r="H10">
        <f>30</f>
        <v>30</v>
      </c>
      <c r="I10" s="2">
        <f t="shared" si="0"/>
        <v>63.333333333333336</v>
      </c>
    </row>
    <row r="11" spans="1:9" x14ac:dyDescent="0.35">
      <c r="A11">
        <v>8</v>
      </c>
      <c r="B11" s="1">
        <f t="shared" si="1"/>
        <v>45139.357638888869</v>
      </c>
      <c r="C11">
        <v>1600</v>
      </c>
      <c r="D11">
        <v>100</v>
      </c>
      <c r="E11" t="str">
        <f>Details!$D$3</f>
        <v>ensrc1</v>
      </c>
      <c r="F11" t="str">
        <f>Details!$F$3</f>
        <v>sect1</v>
      </c>
      <c r="G11">
        <v>30</v>
      </c>
      <c r="H11">
        <f>30</f>
        <v>30</v>
      </c>
      <c r="I11" s="2">
        <f t="shared" si="0"/>
        <v>53.333333333333336</v>
      </c>
    </row>
    <row r="12" spans="1:9" x14ac:dyDescent="0.35">
      <c r="A12">
        <v>9</v>
      </c>
      <c r="B12" s="1">
        <f t="shared" si="1"/>
        <v>45139.361111111088</v>
      </c>
      <c r="C12">
        <v>1500</v>
      </c>
      <c r="D12">
        <v>100</v>
      </c>
      <c r="E12" t="str">
        <f>Details!$D$3</f>
        <v>ensrc1</v>
      </c>
      <c r="F12" t="str">
        <f>Details!$F$3</f>
        <v>sect1</v>
      </c>
      <c r="G12">
        <v>30</v>
      </c>
      <c r="H12">
        <f>30</f>
        <v>30</v>
      </c>
      <c r="I12" s="2">
        <f t="shared" si="0"/>
        <v>50</v>
      </c>
    </row>
    <row r="13" spans="1:9" x14ac:dyDescent="0.35">
      <c r="A13">
        <v>10</v>
      </c>
      <c r="B13" s="1">
        <f t="shared" si="1"/>
        <v>45139.364583333307</v>
      </c>
      <c r="C13">
        <v>1300</v>
      </c>
      <c r="D13">
        <v>100</v>
      </c>
      <c r="E13" t="str">
        <f>Details!$D$3</f>
        <v>ensrc1</v>
      </c>
      <c r="F13" t="str">
        <f>Details!$F$3</f>
        <v>sect1</v>
      </c>
      <c r="G13">
        <v>30</v>
      </c>
      <c r="H13">
        <f>30</f>
        <v>30</v>
      </c>
      <c r="I13" s="2">
        <f t="shared" si="0"/>
        <v>43.333333333333336</v>
      </c>
    </row>
    <row r="14" spans="1:9" x14ac:dyDescent="0.35">
      <c r="A14">
        <v>11</v>
      </c>
      <c r="B14" s="1">
        <f t="shared" si="1"/>
        <v>45139.368055555526</v>
      </c>
      <c r="C14">
        <v>1000</v>
      </c>
      <c r="D14">
        <v>100</v>
      </c>
      <c r="E14" t="str">
        <f>Details!$D$3</f>
        <v>ensrc1</v>
      </c>
      <c r="F14" t="str">
        <f>Details!$F$3</f>
        <v>sect1</v>
      </c>
      <c r="G14">
        <v>30</v>
      </c>
      <c r="H14">
        <f>30</f>
        <v>30</v>
      </c>
      <c r="I14" s="2">
        <f t="shared" si="0"/>
        <v>33.333333333333336</v>
      </c>
    </row>
    <row r="15" spans="1:9" x14ac:dyDescent="0.35">
      <c r="A15">
        <v>12</v>
      </c>
      <c r="B15" s="1">
        <f t="shared" si="1"/>
        <v>45139.371527777745</v>
      </c>
      <c r="C15">
        <v>1300</v>
      </c>
      <c r="D15">
        <v>100</v>
      </c>
      <c r="E15" t="str">
        <f>Details!$D$3</f>
        <v>ensrc1</v>
      </c>
      <c r="F15" t="str">
        <f>Details!$F$3</f>
        <v>sect1</v>
      </c>
      <c r="G15">
        <v>30</v>
      </c>
      <c r="H15">
        <f>30</f>
        <v>30</v>
      </c>
      <c r="I15" s="2">
        <f t="shared" si="0"/>
        <v>43.333333333333336</v>
      </c>
    </row>
    <row r="16" spans="1:9" x14ac:dyDescent="0.35">
      <c r="B16" s="1"/>
      <c r="G16">
        <v>30</v>
      </c>
    </row>
    <row r="17" spans="2:3" x14ac:dyDescent="0.35">
      <c r="B17" s="1"/>
    </row>
    <row r="18" spans="2:3" x14ac:dyDescent="0.35">
      <c r="C18" s="1" t="s">
        <v>83</v>
      </c>
    </row>
    <row r="19" spans="2:3" x14ac:dyDescent="0.35">
      <c r="C19" s="2">
        <f>AVERAGE(I4:I15)</f>
        <v>51.388888888888893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48E7-2B19-494B-ADF1-C951FFB45CFB}">
  <dimension ref="A1:U29"/>
  <sheetViews>
    <sheetView tabSelected="1" topLeftCell="E1" workbookViewId="0">
      <selection activeCell="H8" sqref="H8"/>
    </sheetView>
  </sheetViews>
  <sheetFormatPr baseColWidth="10" defaultRowHeight="14.5" x14ac:dyDescent="0.35"/>
  <cols>
    <col min="3" max="3" width="20.1796875" customWidth="1"/>
    <col min="4" max="4" width="21.7265625" customWidth="1"/>
    <col min="5" max="5" width="17.90625" customWidth="1"/>
    <col min="7" max="7" width="19" customWidth="1"/>
    <col min="8" max="8" width="20.08984375" customWidth="1"/>
    <col min="9" max="9" width="17.36328125" customWidth="1"/>
    <col min="10" max="10" width="16.1796875" customWidth="1"/>
    <col min="11" max="11" width="17" customWidth="1"/>
    <col min="12" max="12" width="14.54296875" customWidth="1"/>
    <col min="13" max="13" width="14.1796875" customWidth="1"/>
    <col min="14" max="14" width="17.6328125" customWidth="1"/>
    <col min="15" max="15" width="12.453125" customWidth="1"/>
    <col min="17" max="17" width="14.26953125" customWidth="1"/>
    <col min="19" max="19" width="17.08984375" customWidth="1"/>
    <col min="20" max="20" width="15.453125" bestFit="1" customWidth="1"/>
  </cols>
  <sheetData>
    <row r="1" spans="1:11" x14ac:dyDescent="0.35">
      <c r="A1" t="s">
        <v>52</v>
      </c>
    </row>
    <row r="2" spans="1:11" x14ac:dyDescent="0.35">
      <c r="K2" t="s">
        <v>60</v>
      </c>
    </row>
    <row r="3" spans="1:11" x14ac:dyDescent="0.35">
      <c r="K3">
        <f>24*60</f>
        <v>1440</v>
      </c>
    </row>
    <row r="5" spans="1:11" x14ac:dyDescent="0.35">
      <c r="C5" t="s">
        <v>61</v>
      </c>
    </row>
    <row r="6" spans="1:11" x14ac:dyDescent="0.35">
      <c r="B6" t="s">
        <v>1</v>
      </c>
      <c r="C6" t="s">
        <v>53</v>
      </c>
      <c r="D6" t="s">
        <v>40</v>
      </c>
      <c r="E6" t="s">
        <v>56</v>
      </c>
      <c r="F6" t="s">
        <v>17</v>
      </c>
      <c r="G6" t="s">
        <v>57</v>
      </c>
      <c r="H6" t="s">
        <v>55</v>
      </c>
      <c r="I6" t="s">
        <v>58</v>
      </c>
      <c r="J6" t="s">
        <v>59</v>
      </c>
    </row>
    <row r="7" spans="1:11" x14ac:dyDescent="0.35">
      <c r="B7" t="s">
        <v>67</v>
      </c>
      <c r="C7">
        <v>5</v>
      </c>
      <c r="D7" t="str">
        <f>Details!$L$4</f>
        <v>app2</v>
      </c>
      <c r="E7">
        <f>Details!$N$4</f>
        <v>80</v>
      </c>
      <c r="F7" t="str">
        <f>Details!$H$3</f>
        <v>li1</v>
      </c>
      <c r="G7" s="1">
        <v>45139.333333333336</v>
      </c>
      <c r="H7" s="1">
        <v>45139.354166666664</v>
      </c>
      <c r="I7">
        <f>E7*C7</f>
        <v>400</v>
      </c>
      <c r="J7">
        <f>(H7-G7)*$K$3</f>
        <v>29.999999993015081</v>
      </c>
    </row>
    <row r="8" spans="1:11" x14ac:dyDescent="0.35">
      <c r="B8" t="s">
        <v>68</v>
      </c>
      <c r="C8">
        <v>30</v>
      </c>
      <c r="D8" t="str">
        <f>Details!$L$4</f>
        <v>app2</v>
      </c>
      <c r="E8">
        <f>Details!$N$4</f>
        <v>80</v>
      </c>
      <c r="F8" t="str">
        <f>Details!$H$3</f>
        <v>li1</v>
      </c>
      <c r="G8" s="1">
        <v>45139.34375</v>
      </c>
      <c r="H8" s="1">
        <v>45139.364583333336</v>
      </c>
      <c r="I8">
        <f t="shared" ref="I8:I9" si="0">E8*C8</f>
        <v>2400</v>
      </c>
      <c r="J8">
        <f>(H8-G8)*$K$3</f>
        <v>30.00000000349246</v>
      </c>
    </row>
    <row r="9" spans="1:11" x14ac:dyDescent="0.35">
      <c r="B9" t="s">
        <v>69</v>
      </c>
      <c r="C9">
        <v>60</v>
      </c>
      <c r="D9" t="str">
        <f>Details!$L$3</f>
        <v>app1</v>
      </c>
      <c r="E9">
        <f>Details!$N$3</f>
        <v>70</v>
      </c>
      <c r="F9" t="s">
        <v>18</v>
      </c>
      <c r="G9" s="1">
        <v>45139.368055555555</v>
      </c>
      <c r="H9" s="1">
        <v>45139.375</v>
      </c>
      <c r="I9">
        <f t="shared" si="0"/>
        <v>4200</v>
      </c>
      <c r="J9">
        <f>(H9-G9)*$K$3</f>
        <v>10.000000001164153</v>
      </c>
    </row>
    <row r="11" spans="1:11" x14ac:dyDescent="0.35">
      <c r="C11" t="s">
        <v>62</v>
      </c>
    </row>
    <row r="12" spans="1:11" x14ac:dyDescent="0.35">
      <c r="C12" t="s">
        <v>63</v>
      </c>
      <c r="D12" t="s">
        <v>64</v>
      </c>
      <c r="E12" t="s">
        <v>65</v>
      </c>
      <c r="F12" t="s">
        <v>59</v>
      </c>
      <c r="G12" t="s">
        <v>66</v>
      </c>
    </row>
    <row r="13" spans="1:11" x14ac:dyDescent="0.35">
      <c r="C13" s="1">
        <f>$G$7</f>
        <v>45139.333333333336</v>
      </c>
      <c r="D13" s="1">
        <f>$G$8</f>
        <v>45139.34375</v>
      </c>
      <c r="E13">
        <f>$I$7</f>
        <v>400</v>
      </c>
      <c r="F13">
        <f>(D13-C13)*$K$3</f>
        <v>14.99999999650754</v>
      </c>
      <c r="G13" t="str">
        <f>$B$7</f>
        <v>sim1</v>
      </c>
    </row>
    <row r="14" spans="1:11" x14ac:dyDescent="0.35">
      <c r="C14" s="1">
        <f>$G$8</f>
        <v>45139.34375</v>
      </c>
      <c r="D14" s="1">
        <f>$H$7</f>
        <v>45139.354166666664</v>
      </c>
      <c r="E14">
        <f>$I$7+$I$8</f>
        <v>2800</v>
      </c>
      <c r="F14">
        <f>(D14-C14)*$K$3</f>
        <v>14.99999999650754</v>
      </c>
      <c r="G14" t="s">
        <v>70</v>
      </c>
    </row>
    <row r="15" spans="1:11" x14ac:dyDescent="0.35">
      <c r="C15" s="1">
        <f>$H$7</f>
        <v>45139.354166666664</v>
      </c>
      <c r="D15" s="1">
        <f>$H$8</f>
        <v>45139.364583333336</v>
      </c>
      <c r="E15">
        <f>$I$8</f>
        <v>2400</v>
      </c>
      <c r="F15">
        <f>(D15-C15)*$K$3</f>
        <v>15.000000006984919</v>
      </c>
      <c r="G15" t="s">
        <v>68</v>
      </c>
    </row>
    <row r="16" spans="1:11" x14ac:dyDescent="0.35">
      <c r="C16" s="1">
        <f>$G$9</f>
        <v>45139.368055555555</v>
      </c>
      <c r="D16" s="1">
        <f>$H$9</f>
        <v>45139.375</v>
      </c>
      <c r="E16">
        <f>$I$9</f>
        <v>4200</v>
      </c>
      <c r="F16">
        <f>(D16-C16)*$K$3</f>
        <v>10.000000001164153</v>
      </c>
      <c r="G16" t="s">
        <v>69</v>
      </c>
    </row>
    <row r="17" spans="3:21" x14ac:dyDescent="0.35">
      <c r="N17" s="3"/>
    </row>
    <row r="18" spans="3:21" x14ac:dyDescent="0.35">
      <c r="N18" s="3"/>
    </row>
    <row r="19" spans="3:21" x14ac:dyDescent="0.35">
      <c r="C19" t="s">
        <v>71</v>
      </c>
      <c r="L19" t="s">
        <v>88</v>
      </c>
    </row>
    <row r="20" spans="3:21" x14ac:dyDescent="0.35">
      <c r="C20" t="s">
        <v>63</v>
      </c>
      <c r="D20" t="s">
        <v>64</v>
      </c>
      <c r="E20" t="s">
        <v>65</v>
      </c>
      <c r="F20" t="s">
        <v>59</v>
      </c>
      <c r="G20" t="s">
        <v>66</v>
      </c>
      <c r="H20" t="s">
        <v>90</v>
      </c>
      <c r="I20" t="s">
        <v>85</v>
      </c>
      <c r="J20" t="s">
        <v>86</v>
      </c>
      <c r="K20" t="s">
        <v>87</v>
      </c>
      <c r="L20">
        <v>0</v>
      </c>
      <c r="M20" t="s">
        <v>89</v>
      </c>
      <c r="N20" t="s">
        <v>91</v>
      </c>
      <c r="O20" t="s">
        <v>92</v>
      </c>
      <c r="P20" t="s">
        <v>93</v>
      </c>
      <c r="Q20" t="s">
        <v>94</v>
      </c>
      <c r="R20" t="s">
        <v>95</v>
      </c>
      <c r="S20" t="s">
        <v>96</v>
      </c>
      <c r="T20" t="s">
        <v>97</v>
      </c>
      <c r="U20" t="s">
        <v>98</v>
      </c>
    </row>
    <row r="21" spans="3:21" x14ac:dyDescent="0.35">
      <c r="C21" s="1">
        <f>$G$7</f>
        <v>45139.333333333336</v>
      </c>
      <c r="D21" s="1">
        <f>$G$8</f>
        <v>45139.34375</v>
      </c>
      <c r="E21">
        <f>$I$7</f>
        <v>400</v>
      </c>
      <c r="F21">
        <f>(D21-C21)*$K$3</f>
        <v>14.99999999650754</v>
      </c>
      <c r="G21" t="str">
        <f>$B$7</f>
        <v>sim1</v>
      </c>
      <c r="H21" s="2">
        <f>$F$29-E21</f>
        <v>1655.5555555555557</v>
      </c>
      <c r="I21" s="2" cm="1">
        <f t="array" ref="I21">_xlfn.IFS(H21 &lt; 0,0,H21 &gt;= 0,H21)</f>
        <v>1655.5555555555557</v>
      </c>
      <c r="J21" s="2">
        <f>I21/60</f>
        <v>27.592592592592595</v>
      </c>
      <c r="K21" s="2">
        <f>(J21*F21)</f>
        <v>413.88888879252289</v>
      </c>
      <c r="L21" s="2">
        <f>(L20-IF(H21 &lt;0,P21,0)+K21)</f>
        <v>413.88888879252289</v>
      </c>
      <c r="M21" s="2">
        <f>ABS(H21)</f>
        <v>1655.5555555555557</v>
      </c>
      <c r="N21" s="4">
        <f>L20/(M21/60)</f>
        <v>0</v>
      </c>
      <c r="O21" s="4">
        <f>MIN(N21,F21)</f>
        <v>0</v>
      </c>
      <c r="P21" s="4">
        <f>(IF(H21&lt;0,M21,0)/(60))*O21</f>
        <v>0</v>
      </c>
      <c r="Q21" s="3">
        <f>M21/60</f>
        <v>27.592592592592595</v>
      </c>
      <c r="R21" s="4">
        <f>IF(H21 &lt;0,F21-O21,0)</f>
        <v>0</v>
      </c>
      <c r="S21" s="1">
        <f t="shared" ref="S21:S24" si="1">C21+((F21-R21)/(60*24))</f>
        <v>45139.34375</v>
      </c>
      <c r="T21" s="1">
        <f>D21</f>
        <v>45139.34375</v>
      </c>
      <c r="U21">
        <f>IF(H21&lt;0,(M21/60)*R21,0)</f>
        <v>0</v>
      </c>
    </row>
    <row r="22" spans="3:21" x14ac:dyDescent="0.35">
      <c r="C22" s="1">
        <f>$G$8</f>
        <v>45139.34375</v>
      </c>
      <c r="D22" s="1">
        <f>$H$7</f>
        <v>45139.354166666664</v>
      </c>
      <c r="E22">
        <f>$I$7+$I$8</f>
        <v>2800</v>
      </c>
      <c r="F22">
        <f>(D22-C22)*$K$3</f>
        <v>14.99999999650754</v>
      </c>
      <c r="G22" t="s">
        <v>70</v>
      </c>
      <c r="H22" s="2">
        <f t="shared" ref="H22:H25" si="2">$F$29-E22</f>
        <v>-744.44444444444434</v>
      </c>
      <c r="I22" s="2" cm="1">
        <f t="array" ref="I22">_xlfn.IFS(H22 &lt; 0,0,H22 &gt;= 0,H22)</f>
        <v>0</v>
      </c>
      <c r="J22" s="2">
        <f t="shared" ref="J22:J25" si="3">I22/60</f>
        <v>0</v>
      </c>
      <c r="K22" s="2">
        <f>(J22*F22)</f>
        <v>0</v>
      </c>
      <c r="L22" s="2">
        <f>(L21-IF(H22 &lt;0,P22,0)+K22)</f>
        <v>227.77777772474417</v>
      </c>
      <c r="M22" s="2">
        <f>ABS(H22)</f>
        <v>744.44444444444434</v>
      </c>
      <c r="N22" s="4">
        <f>L21/(M22/60)</f>
        <v>33.358208947457072</v>
      </c>
      <c r="O22" s="4">
        <f>MIN(N22,F22)</f>
        <v>14.99999999650754</v>
      </c>
      <c r="P22" s="4">
        <f>(IF(H22&lt;0,M22,0)/(60))*O22</f>
        <v>186.11111106777872</v>
      </c>
      <c r="Q22" s="3">
        <f>M22/60</f>
        <v>12.407407407407407</v>
      </c>
      <c r="R22" s="4">
        <f t="shared" ref="R22:R25" si="4">IF(H22 &lt;0,F22-O22,0)</f>
        <v>0</v>
      </c>
      <c r="S22" s="1">
        <f t="shared" si="1"/>
        <v>45139.354166666664</v>
      </c>
      <c r="T22" s="1">
        <f t="shared" ref="T22:T25" si="5">D22</f>
        <v>45139.354166666664</v>
      </c>
      <c r="U22">
        <f t="shared" ref="U22:U25" si="6">IF(H22&lt;0,(M22/60)*R22,0)</f>
        <v>0</v>
      </c>
    </row>
    <row r="23" spans="3:21" x14ac:dyDescent="0.35">
      <c r="C23" s="1">
        <f>$H$7</f>
        <v>45139.354166666664</v>
      </c>
      <c r="D23" s="1">
        <f>$H$8</f>
        <v>45139.364583333336</v>
      </c>
      <c r="E23">
        <f>$I$8</f>
        <v>2400</v>
      </c>
      <c r="F23">
        <f>(D23-C23)*$K$3</f>
        <v>15.000000006984919</v>
      </c>
      <c r="G23" t="s">
        <v>68</v>
      </c>
      <c r="H23" s="2">
        <f t="shared" si="2"/>
        <v>-344.44444444444434</v>
      </c>
      <c r="I23" s="2" cm="1">
        <f t="array" ref="I23">_xlfn.IFS(H23 &lt; 0,0,H23 &gt;= 0,H23)</f>
        <v>0</v>
      </c>
      <c r="J23" s="2">
        <f t="shared" si="3"/>
        <v>0</v>
      </c>
      <c r="K23" s="2">
        <f>(J23*F23)</f>
        <v>0</v>
      </c>
      <c r="L23" s="2">
        <f t="shared" ref="L22:L25" si="7">(L22-IF(H23 &lt;0,P23,0)+K23)</f>
        <v>141.66666657353448</v>
      </c>
      <c r="M23" s="2">
        <f t="shared" ref="M22:M25" si="8">ABS(H23)</f>
        <v>344.44444444444434</v>
      </c>
      <c r="N23" s="4">
        <f>L22/(M23/60)</f>
        <v>39.677419345600612</v>
      </c>
      <c r="O23" s="4">
        <f t="shared" ref="O23:O25" si="9">MIN(N23,F23)</f>
        <v>15.000000006984919</v>
      </c>
      <c r="P23" s="4">
        <f t="shared" ref="P21:P24" si="10">(IF(H23&lt;0,M23,0)/(60))*O23</f>
        <v>86.111111151209698</v>
      </c>
      <c r="Q23" s="3">
        <f>M23/60</f>
        <v>5.7407407407407387</v>
      </c>
      <c r="R23" s="4">
        <f t="shared" si="4"/>
        <v>0</v>
      </c>
      <c r="S23" s="1">
        <f t="shared" si="1"/>
        <v>45139.364583333336</v>
      </c>
      <c r="T23" s="1">
        <f t="shared" si="5"/>
        <v>45139.364583333336</v>
      </c>
      <c r="U23">
        <f t="shared" si="6"/>
        <v>0</v>
      </c>
    </row>
    <row r="24" spans="3:21" x14ac:dyDescent="0.35">
      <c r="C24" s="1">
        <f>D23</f>
        <v>45139.364583333336</v>
      </c>
      <c r="D24" s="1">
        <f>C25</f>
        <v>45139.368055555555</v>
      </c>
      <c r="E24">
        <v>0</v>
      </c>
      <c r="F24">
        <f>(D24-C24)*$K$3</f>
        <v>4.9999999953433871</v>
      </c>
      <c r="H24" s="2">
        <f t="shared" si="2"/>
        <v>2055.5555555555557</v>
      </c>
      <c r="I24" s="2" cm="1">
        <f t="array" ref="I24">_xlfn.IFS(H24 &lt; 0,0,H24 &gt;= 0,H24)</f>
        <v>2055.5555555555557</v>
      </c>
      <c r="J24" s="2">
        <f t="shared" si="3"/>
        <v>34.25925925925926</v>
      </c>
      <c r="K24" s="2">
        <f>(J24*F24)</f>
        <v>171.2962961367642</v>
      </c>
      <c r="L24" s="2">
        <f>(L23-IF(H24 &lt;0,P24,0)+K24)</f>
        <v>312.96296271029871</v>
      </c>
      <c r="M24" s="2">
        <f t="shared" si="8"/>
        <v>2055.5555555555557</v>
      </c>
      <c r="N24" s="4">
        <f t="shared" ref="N22:N25" si="11">L23/(M24/60)</f>
        <v>4.1351351324166821</v>
      </c>
      <c r="O24" s="4">
        <f t="shared" si="9"/>
        <v>4.1351351324166821</v>
      </c>
      <c r="P24" s="4">
        <f t="shared" si="10"/>
        <v>0</v>
      </c>
      <c r="Q24" s="3">
        <f t="shared" ref="Q22:Q25" si="12">M24/60</f>
        <v>34.25925925925926</v>
      </c>
      <c r="R24" s="4">
        <f t="shared" si="4"/>
        <v>0</v>
      </c>
      <c r="S24" s="1">
        <f t="shared" si="1"/>
        <v>45139.368055555555</v>
      </c>
      <c r="T24" s="1">
        <f t="shared" si="5"/>
        <v>45139.368055555555</v>
      </c>
      <c r="U24">
        <f t="shared" si="6"/>
        <v>0</v>
      </c>
    </row>
    <row r="25" spans="3:21" x14ac:dyDescent="0.35">
      <c r="C25" s="1">
        <f>$G$9</f>
        <v>45139.368055555555</v>
      </c>
      <c r="D25" s="1">
        <f>$H$9</f>
        <v>45139.375</v>
      </c>
      <c r="E25">
        <f>$I$9</f>
        <v>4200</v>
      </c>
      <c r="F25">
        <f>(D25-C25)*$K$3</f>
        <v>10.000000001164153</v>
      </c>
      <c r="G25" t="s">
        <v>69</v>
      </c>
      <c r="H25" s="2">
        <f t="shared" si="2"/>
        <v>-2144.4444444444443</v>
      </c>
      <c r="I25" s="2" cm="1">
        <f t="array" ref="I25">_xlfn.IFS(H25 &lt; 0,0,H25 &gt;= 0,H25)</f>
        <v>0</v>
      </c>
      <c r="J25" s="2">
        <f t="shared" si="3"/>
        <v>0</v>
      </c>
      <c r="K25" s="2">
        <f>(J25*F25)</f>
        <v>0</v>
      </c>
      <c r="L25" s="2">
        <f>(L24-IF(H25 &lt;0,P25,0)+K25)</f>
        <v>0</v>
      </c>
      <c r="M25" s="2">
        <f t="shared" si="8"/>
        <v>2144.4444444444443</v>
      </c>
      <c r="N25" s="4">
        <f>L24/(M25/60)</f>
        <v>8.756476676868461</v>
      </c>
      <c r="O25" s="4">
        <f t="shared" si="9"/>
        <v>8.756476676868461</v>
      </c>
      <c r="P25" s="4">
        <f>(IF(H25&lt;0,M25,0)/(60))*O25</f>
        <v>312.96296271029871</v>
      </c>
      <c r="Q25" s="3">
        <f t="shared" si="12"/>
        <v>35.74074074074074</v>
      </c>
      <c r="R25" s="4">
        <f t="shared" si="4"/>
        <v>1.2435233242956922</v>
      </c>
      <c r="S25" s="1">
        <f>C25+((F25-R25)/(60*24))</f>
        <v>45139.374136442137</v>
      </c>
      <c r="T25" s="1">
        <f t="shared" si="5"/>
        <v>45139.375</v>
      </c>
      <c r="U25">
        <f t="shared" si="6"/>
        <v>44.444444738716406</v>
      </c>
    </row>
    <row r="27" spans="3:21" x14ac:dyDescent="0.35">
      <c r="C27" t="s">
        <v>72</v>
      </c>
    </row>
    <row r="28" spans="3:21" x14ac:dyDescent="0.35">
      <c r="C28" t="s">
        <v>54</v>
      </c>
      <c r="D28" t="s">
        <v>55</v>
      </c>
      <c r="E28" t="s">
        <v>73</v>
      </c>
      <c r="F28" t="s">
        <v>84</v>
      </c>
    </row>
    <row r="29" spans="3:21" x14ac:dyDescent="0.35">
      <c r="C29" s="1">
        <f>C21</f>
        <v>45139.333333333336</v>
      </c>
      <c r="D29" s="1">
        <f>D25</f>
        <v>45139.375</v>
      </c>
      <c r="E29">
        <v>40</v>
      </c>
      <c r="F29" s="2">
        <f>Donnees!$C$19*E29</f>
        <v>2055.5555555555557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Details</vt:lpstr>
      <vt:lpstr>Donnees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Hasina</dc:creator>
  <cp:lastModifiedBy>Hasina</cp:lastModifiedBy>
  <dcterms:created xsi:type="dcterms:W3CDTF">2023-08-31T19:44:02Z</dcterms:created>
  <dcterms:modified xsi:type="dcterms:W3CDTF">2023-09-01T17:44:28Z</dcterms:modified>
</cp:coreProperties>
</file>