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116ae44e515a9f/Documents/Sectors (Stock Market Research)/Technology/Semiconductor ^0 Semiconductor Equipment/"/>
    </mc:Choice>
  </mc:AlternateContent>
  <xr:revisionPtr revIDLastSave="0" documentId="14_{7AF01A8B-8F3C-4ADA-BF34-D4B92966DB98}" xr6:coauthVersionLast="47" xr6:coauthVersionMax="47" xr10:uidLastSave="{00000000-0000-0000-0000-000000000000}"/>
  <bookViews>
    <workbookView xWindow="-120" yWindow="-120" windowWidth="29040" windowHeight="15840" activeTab="3" xr2:uid="{B457C6E0-08D3-4835-9F2E-E346DCD86904}"/>
  </bookViews>
  <sheets>
    <sheet name="Main" sheetId="1" r:id="rId1"/>
    <sheet name="Notes" sheetId="7" r:id="rId2"/>
    <sheet name="Stock prices" sheetId="6" r:id="rId3"/>
    <sheet name="Quarterly model" sheetId="2" r:id="rId4"/>
    <sheet name="WACC" sheetId="5" r:id="rId5"/>
    <sheet name="Comparables analysis" sheetId="4" r:id="rId6"/>
    <sheet name="DC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5" i="2" l="1"/>
  <c r="R105" i="2"/>
  <c r="Q105" i="2"/>
  <c r="P105" i="2"/>
  <c r="O105" i="2"/>
  <c r="N105" i="2"/>
  <c r="M105" i="2"/>
  <c r="S104" i="2"/>
  <c r="R104" i="2"/>
  <c r="Q104" i="2"/>
  <c r="P104" i="2"/>
  <c r="O104" i="2"/>
  <c r="N104" i="2"/>
  <c r="M104" i="2"/>
  <c r="S103" i="2"/>
  <c r="R103" i="2"/>
  <c r="Q103" i="2"/>
  <c r="P103" i="2"/>
  <c r="O103" i="2"/>
  <c r="N103" i="2"/>
  <c r="M103" i="2"/>
  <c r="S102" i="2"/>
  <c r="R102" i="2"/>
  <c r="Q102" i="2"/>
  <c r="P102" i="2"/>
  <c r="O102" i="2"/>
  <c r="N102" i="2"/>
  <c r="M102" i="2"/>
  <c r="S101" i="2"/>
  <c r="R101" i="2"/>
  <c r="Q101" i="2"/>
  <c r="P101" i="2"/>
  <c r="O101" i="2"/>
  <c r="N101" i="2"/>
  <c r="M101" i="2"/>
  <c r="S100" i="2"/>
  <c r="R100" i="2"/>
  <c r="Q100" i="2"/>
  <c r="P100" i="2"/>
  <c r="O100" i="2"/>
  <c r="N100" i="2"/>
  <c r="M100" i="2"/>
  <c r="X111" i="2"/>
  <c r="W111" i="2"/>
  <c r="V111" i="2"/>
  <c r="T111" i="2"/>
  <c r="S111" i="2"/>
  <c r="R111" i="2"/>
  <c r="Q111" i="2"/>
  <c r="P111" i="2"/>
  <c r="O111" i="2"/>
  <c r="N111" i="2"/>
  <c r="M111" i="2"/>
  <c r="L111" i="2"/>
  <c r="K111" i="2"/>
  <c r="J111" i="2"/>
  <c r="U111" i="2"/>
  <c r="U55" i="2"/>
  <c r="U54" i="2"/>
  <c r="T55" i="2"/>
  <c r="T54" i="2"/>
  <c r="U7" i="2"/>
  <c r="U15" i="2"/>
  <c r="U13" i="2"/>
  <c r="U19" i="2" s="1"/>
  <c r="U23" i="2" s="1"/>
  <c r="U81" i="2"/>
  <c r="U105" i="2"/>
  <c r="U104" i="2"/>
  <c r="U103" i="2"/>
  <c r="U102" i="2"/>
  <c r="U101" i="2"/>
  <c r="U100" i="2"/>
  <c r="U97" i="2"/>
  <c r="U96" i="2"/>
  <c r="U95" i="2"/>
  <c r="U94" i="2"/>
  <c r="U93" i="2"/>
  <c r="U92" i="2"/>
  <c r="U90" i="2"/>
  <c r="U71" i="2"/>
  <c r="U70" i="2"/>
  <c r="U69" i="2"/>
  <c r="U68" i="2"/>
  <c r="U42" i="2"/>
  <c r="U37" i="2"/>
  <c r="U33" i="2"/>
  <c r="U31" i="2"/>
  <c r="U30" i="2"/>
  <c r="L64" i="2"/>
  <c r="N64" i="2"/>
  <c r="M64" i="2"/>
  <c r="O61" i="2"/>
  <c r="N61" i="2"/>
  <c r="M61" i="2"/>
  <c r="L61" i="2"/>
  <c r="S62" i="2"/>
  <c r="R62" i="2"/>
  <c r="Q62" i="2"/>
  <c r="P62" i="2"/>
  <c r="O62" i="2"/>
  <c r="O65" i="2"/>
  <c r="O64" i="2"/>
  <c r="S65" i="2"/>
  <c r="R65" i="2"/>
  <c r="Q65" i="2"/>
  <c r="P65" i="2"/>
  <c r="S64" i="2"/>
  <c r="R64" i="2"/>
  <c r="Q64" i="2"/>
  <c r="P64" i="2"/>
  <c r="S61" i="2"/>
  <c r="R61" i="2"/>
  <c r="Q61" i="2"/>
  <c r="P61" i="2"/>
  <c r="F34" i="1"/>
  <c r="X42" i="2"/>
  <c r="W42" i="2"/>
  <c r="V42" i="2"/>
  <c r="T42" i="2"/>
  <c r="T96" i="2"/>
  <c r="T95" i="2"/>
  <c r="T94" i="2"/>
  <c r="T93" i="2"/>
  <c r="T92" i="2"/>
  <c r="T15" i="2"/>
  <c r="T14" i="2"/>
  <c r="Z31" i="2"/>
  <c r="Z33" i="2" s="1"/>
  <c r="Y31" i="2"/>
  <c r="Y33" i="2" s="1"/>
  <c r="X31" i="2"/>
  <c r="X33" i="2" s="1"/>
  <c r="X68" i="2" s="1"/>
  <c r="W31" i="2"/>
  <c r="W33" i="2" s="1"/>
  <c r="W68" i="2" s="1"/>
  <c r="V31" i="2"/>
  <c r="V33" i="2" s="1"/>
  <c r="V68" i="2" s="1"/>
  <c r="T31" i="2"/>
  <c r="T33" i="2" s="1"/>
  <c r="T68" i="2" s="1"/>
  <c r="Z37" i="2"/>
  <c r="Y37" i="2"/>
  <c r="X37" i="2"/>
  <c r="W37" i="2"/>
  <c r="V37" i="2"/>
  <c r="T37" i="2"/>
  <c r="T7" i="2"/>
  <c r="T13" i="2" s="1"/>
  <c r="T18" i="2" s="1"/>
  <c r="T11" i="2"/>
  <c r="G55" i="2"/>
  <c r="F55" i="2"/>
  <c r="E55" i="2"/>
  <c r="D55" i="2"/>
  <c r="G42" i="2"/>
  <c r="F42" i="2"/>
  <c r="E42" i="2"/>
  <c r="D42" i="2"/>
  <c r="G37" i="2"/>
  <c r="F37" i="2"/>
  <c r="E37" i="2"/>
  <c r="D37" i="2"/>
  <c r="G31" i="2"/>
  <c r="G33" i="2" s="1"/>
  <c r="F31" i="2"/>
  <c r="F33" i="2" s="1"/>
  <c r="F68" i="2" s="1"/>
  <c r="E31" i="2"/>
  <c r="E33" i="2" s="1"/>
  <c r="E68" i="2" s="1"/>
  <c r="D31" i="2"/>
  <c r="D33" i="2" s="1"/>
  <c r="D68" i="2" s="1"/>
  <c r="AE44" i="1"/>
  <c r="AD44" i="1"/>
  <c r="AC44" i="1"/>
  <c r="AE53" i="1"/>
  <c r="AD53" i="1"/>
  <c r="AC53" i="1"/>
  <c r="V53" i="1"/>
  <c r="U49" i="1"/>
  <c r="U43" i="1"/>
  <c r="S89" i="2"/>
  <c r="T104" i="2" s="1"/>
  <c r="S88" i="2"/>
  <c r="S87" i="2"/>
  <c r="S86" i="2"/>
  <c r="T101" i="2" s="1"/>
  <c r="S85" i="2"/>
  <c r="W9" i="1"/>
  <c r="W8" i="1"/>
  <c r="W12" i="1"/>
  <c r="W11" i="1"/>
  <c r="X81" i="1"/>
  <c r="W81" i="1"/>
  <c r="V81" i="1"/>
  <c r="U81" i="1"/>
  <c r="T81" i="1"/>
  <c r="S81" i="1"/>
  <c r="R81" i="1"/>
  <c r="Y81" i="1"/>
  <c r="S30" i="2"/>
  <c r="S29" i="2"/>
  <c r="AE57" i="1"/>
  <c r="AE56" i="1"/>
  <c r="AE55" i="1"/>
  <c r="AD57" i="1"/>
  <c r="AD56" i="1"/>
  <c r="AD55" i="1"/>
  <c r="AC57" i="1"/>
  <c r="AC56" i="1"/>
  <c r="AC55" i="1"/>
  <c r="AE50" i="1"/>
  <c r="AD50" i="1"/>
  <c r="AC50" i="1"/>
  <c r="AE43" i="1"/>
  <c r="AD43" i="1"/>
  <c r="AC43" i="1"/>
  <c r="AC9" i="1"/>
  <c r="AC8" i="1"/>
  <c r="AD9" i="1"/>
  <c r="AE9" i="1" s="1"/>
  <c r="AD8" i="1"/>
  <c r="AE8" i="1" s="1"/>
  <c r="AC4" i="1"/>
  <c r="AC7" i="1" s="1"/>
  <c r="AD3" i="1"/>
  <c r="AE3" i="1" s="1"/>
  <c r="AC3" i="1"/>
  <c r="S54" i="2"/>
  <c r="S55" i="2" s="1"/>
  <c r="S15" i="2"/>
  <c r="S14" i="2"/>
  <c r="Y8" i="1"/>
  <c r="S13" i="2"/>
  <c r="S11" i="2"/>
  <c r="X17" i="1"/>
  <c r="X16" i="1"/>
  <c r="X15" i="1"/>
  <c r="Y17" i="1"/>
  <c r="X13" i="1"/>
  <c r="X12" i="1"/>
  <c r="X14" i="1"/>
  <c r="Y13" i="1"/>
  <c r="Y12" i="1"/>
  <c r="X11" i="1"/>
  <c r="Y6" i="1"/>
  <c r="F32" i="1"/>
  <c r="Y71" i="1"/>
  <c r="Y63" i="1"/>
  <c r="Y49" i="1"/>
  <c r="Y74" i="1" s="1"/>
  <c r="Y53" i="1"/>
  <c r="Y9" i="1"/>
  <c r="Y7" i="1"/>
  <c r="Y37" i="1"/>
  <c r="Y32" i="1"/>
  <c r="Y28" i="1"/>
  <c r="Y55" i="1" s="1"/>
  <c r="AC24" i="1"/>
  <c r="AD24" i="1" s="1"/>
  <c r="AE24" i="1" s="1"/>
  <c r="O89" i="2"/>
  <c r="O88" i="2"/>
  <c r="O87" i="2"/>
  <c r="O86" i="2"/>
  <c r="O85" i="2"/>
  <c r="K30" i="2"/>
  <c r="K29" i="2"/>
  <c r="O30" i="2"/>
  <c r="O29" i="2"/>
  <c r="H90" i="2"/>
  <c r="K54" i="2"/>
  <c r="K55" i="2" s="1"/>
  <c r="O54" i="2"/>
  <c r="O55" i="2" s="1"/>
  <c r="J31" i="2"/>
  <c r="J33" i="2" s="1"/>
  <c r="J68" i="2" s="1"/>
  <c r="I31" i="2"/>
  <c r="I33" i="2" s="1"/>
  <c r="I68" i="2" s="1"/>
  <c r="H31" i="2"/>
  <c r="H33" i="2" s="1"/>
  <c r="H68" i="2" s="1"/>
  <c r="J55" i="2"/>
  <c r="I55" i="2"/>
  <c r="H55" i="2"/>
  <c r="K42" i="2"/>
  <c r="J42" i="2"/>
  <c r="I42" i="2"/>
  <c r="H42" i="2"/>
  <c r="K37" i="2"/>
  <c r="J37" i="2"/>
  <c r="I37" i="2"/>
  <c r="H37" i="2"/>
  <c r="K33" i="2"/>
  <c r="K68" i="2" s="1"/>
  <c r="O15" i="2"/>
  <c r="O14" i="2"/>
  <c r="P14" i="2"/>
  <c r="P96" i="2"/>
  <c r="P95" i="2"/>
  <c r="P94" i="2"/>
  <c r="P93" i="2"/>
  <c r="P92" i="2"/>
  <c r="P15" i="2"/>
  <c r="L54" i="2"/>
  <c r="L55" i="2" s="1"/>
  <c r="P54" i="2"/>
  <c r="P55" i="2" s="1"/>
  <c r="P11" i="2"/>
  <c r="O11" i="2"/>
  <c r="N11" i="2"/>
  <c r="M11" i="2"/>
  <c r="L11" i="2"/>
  <c r="K11" i="2"/>
  <c r="J11" i="2"/>
  <c r="I11" i="2"/>
  <c r="H11" i="2"/>
  <c r="P13" i="2"/>
  <c r="P18" i="2" s="1"/>
  <c r="O13" i="2"/>
  <c r="O18" i="2" s="1"/>
  <c r="N13" i="2"/>
  <c r="N16" i="2" s="1"/>
  <c r="M13" i="2"/>
  <c r="M16" i="2" s="1"/>
  <c r="L13" i="2"/>
  <c r="L16" i="2" s="1"/>
  <c r="K13" i="2"/>
  <c r="K16" i="2" s="1"/>
  <c r="J13" i="2"/>
  <c r="J16" i="2" s="1"/>
  <c r="I13" i="2"/>
  <c r="I16" i="2" s="1"/>
  <c r="H13" i="2"/>
  <c r="H16" i="2" s="1"/>
  <c r="F46" i="1"/>
  <c r="F45" i="1"/>
  <c r="F50" i="1" s="1"/>
  <c r="F44" i="1"/>
  <c r="F43" i="1"/>
  <c r="M54" i="2"/>
  <c r="M55" i="2" s="1"/>
  <c r="Q96" i="2"/>
  <c r="Q95" i="2"/>
  <c r="Q94" i="2"/>
  <c r="Q93" i="2"/>
  <c r="Q92" i="2"/>
  <c r="Q15" i="2"/>
  <c r="Q14" i="2"/>
  <c r="Q31" i="2"/>
  <c r="Q33" i="2" s="1"/>
  <c r="Q68" i="2" s="1"/>
  <c r="P31" i="2"/>
  <c r="P33" i="2" s="1"/>
  <c r="P68" i="2" s="1"/>
  <c r="N31" i="2"/>
  <c r="N33" i="2" s="1"/>
  <c r="N68" i="2" s="1"/>
  <c r="M31" i="2"/>
  <c r="M33" i="2" s="1"/>
  <c r="M68" i="2" s="1"/>
  <c r="L31" i="2"/>
  <c r="L33" i="2" s="1"/>
  <c r="L68" i="2" s="1"/>
  <c r="R31" i="2"/>
  <c r="Q13" i="2"/>
  <c r="Q18" i="2" s="1"/>
  <c r="R11" i="2"/>
  <c r="Q11" i="2"/>
  <c r="R96" i="2"/>
  <c r="R95" i="2"/>
  <c r="R94" i="2"/>
  <c r="R93" i="2"/>
  <c r="R92" i="2"/>
  <c r="T90" i="2"/>
  <c r="Q90" i="2"/>
  <c r="P90" i="2"/>
  <c r="N90" i="2"/>
  <c r="M90" i="2"/>
  <c r="L90" i="2"/>
  <c r="K90" i="2"/>
  <c r="J90" i="2"/>
  <c r="I90" i="2"/>
  <c r="R90" i="2"/>
  <c r="S81" i="2"/>
  <c r="R81" i="2"/>
  <c r="Q81" i="2"/>
  <c r="P81" i="2"/>
  <c r="O81" i="2"/>
  <c r="N81" i="2"/>
  <c r="M81" i="2"/>
  <c r="L81" i="2"/>
  <c r="K81" i="2"/>
  <c r="T81" i="2"/>
  <c r="Q55" i="2"/>
  <c r="N55" i="2"/>
  <c r="R55" i="2"/>
  <c r="W63" i="1"/>
  <c r="V63" i="1"/>
  <c r="U63" i="1"/>
  <c r="T63" i="1"/>
  <c r="S63" i="1"/>
  <c r="R63" i="1"/>
  <c r="X63" i="1"/>
  <c r="U74" i="1"/>
  <c r="T74" i="1"/>
  <c r="S74" i="1"/>
  <c r="R74" i="1"/>
  <c r="U71" i="1"/>
  <c r="T71" i="1"/>
  <c r="S71" i="1"/>
  <c r="R71" i="1"/>
  <c r="AB71" i="1"/>
  <c r="AA71" i="1"/>
  <c r="Z71" i="1"/>
  <c r="X71" i="1"/>
  <c r="W71" i="1"/>
  <c r="V71" i="1"/>
  <c r="W53" i="1"/>
  <c r="X53" i="1"/>
  <c r="AB50" i="1"/>
  <c r="AA50" i="1"/>
  <c r="Z50" i="1"/>
  <c r="U50" i="1"/>
  <c r="T50" i="1"/>
  <c r="S50" i="1"/>
  <c r="R50" i="1"/>
  <c r="X49" i="1"/>
  <c r="X50" i="1" s="1"/>
  <c r="W49" i="1"/>
  <c r="W50" i="1" s="1"/>
  <c r="V49" i="1"/>
  <c r="V50" i="1" s="1"/>
  <c r="U44" i="1"/>
  <c r="T44" i="1"/>
  <c r="S44" i="1"/>
  <c r="R44" i="1"/>
  <c r="X9" i="1"/>
  <c r="X8" i="1"/>
  <c r="AA7" i="1"/>
  <c r="AA10" i="1" s="1"/>
  <c r="Z7" i="1"/>
  <c r="Z10" i="1" s="1"/>
  <c r="W7" i="1"/>
  <c r="W13" i="1" s="1"/>
  <c r="W17" i="1" s="1"/>
  <c r="V7" i="1"/>
  <c r="V10" i="1" s="1"/>
  <c r="U7" i="1"/>
  <c r="U10" i="1" s="1"/>
  <c r="T7" i="1"/>
  <c r="T10" i="1" s="1"/>
  <c r="S7" i="1"/>
  <c r="S10" i="1" s="1"/>
  <c r="R7" i="1"/>
  <c r="R10" i="1" s="1"/>
  <c r="X7" i="1"/>
  <c r="AA6" i="1"/>
  <c r="Z6" i="1"/>
  <c r="W6" i="1"/>
  <c r="V6" i="1"/>
  <c r="U6" i="1"/>
  <c r="T6" i="1"/>
  <c r="S6" i="1"/>
  <c r="R6" i="1"/>
  <c r="X6" i="1"/>
  <c r="T37" i="1"/>
  <c r="S37" i="1"/>
  <c r="R37" i="1"/>
  <c r="T32" i="1"/>
  <c r="S32" i="1"/>
  <c r="R32" i="1"/>
  <c r="T28" i="1"/>
  <c r="T55" i="1" s="1"/>
  <c r="S28" i="1"/>
  <c r="S55" i="1" s="1"/>
  <c r="R28" i="1"/>
  <c r="R55" i="1" s="1"/>
  <c r="U37" i="1"/>
  <c r="AB37" i="1"/>
  <c r="AA37" i="1"/>
  <c r="Z37" i="1"/>
  <c r="X37" i="1"/>
  <c r="W37" i="1"/>
  <c r="V37" i="1"/>
  <c r="U32" i="1"/>
  <c r="U28" i="1"/>
  <c r="U55" i="1" s="1"/>
  <c r="AB28" i="1"/>
  <c r="AA28" i="1"/>
  <c r="Z28" i="1"/>
  <c r="X28" i="1"/>
  <c r="X55" i="1" s="1"/>
  <c r="W28" i="1"/>
  <c r="W55" i="1" s="1"/>
  <c r="AB32" i="1"/>
  <c r="AA32" i="1"/>
  <c r="Z32" i="1"/>
  <c r="X32" i="1"/>
  <c r="W32" i="1"/>
  <c r="V32" i="1"/>
  <c r="V28" i="1"/>
  <c r="V55" i="1" s="1"/>
  <c r="R15" i="2"/>
  <c r="R14" i="2"/>
  <c r="R13" i="2"/>
  <c r="R18" i="2" s="1"/>
  <c r="L56" i="1"/>
  <c r="L44" i="1"/>
  <c r="L49" i="1" s="1"/>
  <c r="L31" i="1"/>
  <c r="L39" i="1" s="1"/>
  <c r="Q42" i="2"/>
  <c r="P42" i="2"/>
  <c r="O42" i="2"/>
  <c r="N42" i="2"/>
  <c r="M42" i="2"/>
  <c r="L42" i="2"/>
  <c r="S42" i="2"/>
  <c r="Q37" i="2"/>
  <c r="P37" i="2"/>
  <c r="O37" i="2"/>
  <c r="N37" i="2"/>
  <c r="M37" i="2"/>
  <c r="L37" i="2"/>
  <c r="S37" i="2"/>
  <c r="R42" i="2"/>
  <c r="R37" i="2"/>
  <c r="F37" i="1"/>
  <c r="F42" i="1" s="1"/>
  <c r="F31" i="1"/>
  <c r="U17" i="2" l="1"/>
  <c r="U18" i="2"/>
  <c r="U16" i="2"/>
  <c r="S95" i="2"/>
  <c r="S16" i="2"/>
  <c r="S20" i="2" s="1"/>
  <c r="O19" i="2"/>
  <c r="O23" i="2" s="1"/>
  <c r="O31" i="2"/>
  <c r="T103" i="2"/>
  <c r="S90" i="2"/>
  <c r="T105" i="2" s="1"/>
  <c r="R19" i="2"/>
  <c r="R23" i="2" s="1"/>
  <c r="P19" i="2"/>
  <c r="P23" i="2" s="1"/>
  <c r="S31" i="2"/>
  <c r="S33" i="2" s="1"/>
  <c r="S94" i="2"/>
  <c r="T102" i="2"/>
  <c r="U58" i="2"/>
  <c r="G38" i="2"/>
  <c r="G68" i="2"/>
  <c r="S18" i="2"/>
  <c r="S96" i="2"/>
  <c r="E38" i="2"/>
  <c r="E43" i="2" s="1"/>
  <c r="S93" i="2"/>
  <c r="F38" i="2"/>
  <c r="F43" i="2" s="1"/>
  <c r="U38" i="2"/>
  <c r="Y38" i="2"/>
  <c r="T19" i="2"/>
  <c r="T23" i="2" s="1"/>
  <c r="T100" i="2"/>
  <c r="T59" i="2"/>
  <c r="D38" i="2"/>
  <c r="Q19" i="2"/>
  <c r="Q23" i="2" s="1"/>
  <c r="S19" i="2"/>
  <c r="S23" i="2" s="1"/>
  <c r="S92" i="2"/>
  <c r="T97" i="2"/>
  <c r="V38" i="2"/>
  <c r="V69" i="2" s="1"/>
  <c r="Z38" i="2"/>
  <c r="U59" i="2"/>
  <c r="T16" i="2"/>
  <c r="T38" i="2"/>
  <c r="X38" i="2"/>
  <c r="X69" i="2" s="1"/>
  <c r="W38" i="2"/>
  <c r="W69" i="2" s="1"/>
  <c r="F49" i="1"/>
  <c r="AC13" i="1"/>
  <c r="AC17" i="1" s="1"/>
  <c r="AC12" i="1"/>
  <c r="AC10" i="1"/>
  <c r="AC11" i="1"/>
  <c r="AD4" i="1"/>
  <c r="Y50" i="1"/>
  <c r="Y33" i="1"/>
  <c r="Y10" i="1"/>
  <c r="Y38" i="1"/>
  <c r="V74" i="1"/>
  <c r="W74" i="1"/>
  <c r="X74" i="1"/>
  <c r="P58" i="2"/>
  <c r="M58" i="2"/>
  <c r="N58" i="2"/>
  <c r="R97" i="2"/>
  <c r="O90" i="2"/>
  <c r="K38" i="2"/>
  <c r="K43" i="2" s="1"/>
  <c r="I38" i="2"/>
  <c r="H38" i="2"/>
  <c r="J38" i="2"/>
  <c r="O16" i="2"/>
  <c r="R58" i="2"/>
  <c r="Q16" i="2"/>
  <c r="P97" i="2"/>
  <c r="Q58" i="2"/>
  <c r="P59" i="2"/>
  <c r="P16" i="2"/>
  <c r="F47" i="1"/>
  <c r="Q97" i="2"/>
  <c r="R33" i="2"/>
  <c r="R68" i="2" s="1"/>
  <c r="Q59" i="2"/>
  <c r="R59" i="2"/>
  <c r="R16" i="2"/>
  <c r="R33" i="1"/>
  <c r="X10" i="1"/>
  <c r="S33" i="1"/>
  <c r="W10" i="1"/>
  <c r="T33" i="1"/>
  <c r="V33" i="1"/>
  <c r="AA33" i="1"/>
  <c r="AA38" i="1" s="1"/>
  <c r="AA40" i="1" s="1"/>
  <c r="Z33" i="1"/>
  <c r="Z38" i="1" s="1"/>
  <c r="Z40" i="1" s="1"/>
  <c r="U33" i="1"/>
  <c r="AB33" i="1"/>
  <c r="AB38" i="1" s="1"/>
  <c r="AB40" i="1" s="1"/>
  <c r="W33" i="1"/>
  <c r="X33" i="1"/>
  <c r="L38" i="2"/>
  <c r="L69" i="2" s="1"/>
  <c r="P38" i="2"/>
  <c r="P69" i="2" s="1"/>
  <c r="M38" i="2"/>
  <c r="M69" i="2" s="1"/>
  <c r="Q38" i="2"/>
  <c r="Q69" i="2" s="1"/>
  <c r="L58" i="1"/>
  <c r="N38" i="2"/>
  <c r="N69" i="2" s="1"/>
  <c r="U22" i="2" l="1"/>
  <c r="U21" i="2"/>
  <c r="U20" i="2"/>
  <c r="T61" i="2"/>
  <c r="T62" i="2"/>
  <c r="U62" i="2"/>
  <c r="U61" i="2"/>
  <c r="S58" i="2"/>
  <c r="T58" i="2"/>
  <c r="S59" i="2"/>
  <c r="T48" i="2"/>
  <c r="T49" i="2" s="1"/>
  <c r="T69" i="2"/>
  <c r="U43" i="2"/>
  <c r="O33" i="2"/>
  <c r="O68" i="2" s="1"/>
  <c r="O58" i="2"/>
  <c r="U48" i="2"/>
  <c r="U49" i="2" s="1"/>
  <c r="S68" i="2"/>
  <c r="S38" i="2"/>
  <c r="S69" i="2" s="1"/>
  <c r="S97" i="2"/>
  <c r="Q20" i="2"/>
  <c r="F71" i="2"/>
  <c r="F45" i="2"/>
  <c r="F70" i="2" s="1"/>
  <c r="F69" i="2"/>
  <c r="F48" i="2"/>
  <c r="F49" i="2" s="1"/>
  <c r="G48" i="2"/>
  <c r="G49" i="2" s="1"/>
  <c r="G69" i="2"/>
  <c r="O20" i="2"/>
  <c r="Z43" i="2"/>
  <c r="Z45" i="2" s="1"/>
  <c r="Z48" i="2"/>
  <c r="Z49" i="2" s="1"/>
  <c r="Y43" i="2"/>
  <c r="Y45" i="2" s="1"/>
  <c r="Y48" i="2"/>
  <c r="Y49" i="2" s="1"/>
  <c r="H48" i="2"/>
  <c r="H49" i="2" s="1"/>
  <c r="H69" i="2"/>
  <c r="X43" i="2"/>
  <c r="X48" i="2"/>
  <c r="X49" i="2" s="1"/>
  <c r="E45" i="2"/>
  <c r="E70" i="2" s="1"/>
  <c r="E71" i="2"/>
  <c r="E48" i="2"/>
  <c r="E49" i="2" s="1"/>
  <c r="E69" i="2"/>
  <c r="I48" i="2"/>
  <c r="I49" i="2" s="1"/>
  <c r="I69" i="2"/>
  <c r="D69" i="2"/>
  <c r="D48" i="2"/>
  <c r="D49" i="2" s="1"/>
  <c r="D43" i="2"/>
  <c r="P20" i="2"/>
  <c r="O38" i="2"/>
  <c r="O21" i="2" s="1"/>
  <c r="J48" i="2"/>
  <c r="J49" i="2" s="1"/>
  <c r="J69" i="2"/>
  <c r="W43" i="2"/>
  <c r="W48" i="2"/>
  <c r="W49" i="2" s="1"/>
  <c r="T20" i="2"/>
  <c r="V43" i="2"/>
  <c r="V48" i="2"/>
  <c r="V49" i="2" s="1"/>
  <c r="G43" i="2"/>
  <c r="T43" i="2"/>
  <c r="W14" i="1"/>
  <c r="W16" i="1"/>
  <c r="W15" i="1"/>
  <c r="AC16" i="1"/>
  <c r="AC15" i="1"/>
  <c r="AC14" i="1"/>
  <c r="AE4" i="1"/>
  <c r="AE7" i="1" s="1"/>
  <c r="AD7" i="1"/>
  <c r="Y14" i="1"/>
  <c r="Y16" i="1"/>
  <c r="Y15" i="1"/>
  <c r="R20" i="2"/>
  <c r="Y40" i="1"/>
  <c r="Y58" i="1"/>
  <c r="Y60" i="1"/>
  <c r="Y61" i="1"/>
  <c r="Y76" i="1" s="1"/>
  <c r="Y43" i="1"/>
  <c r="Y44" i="1" s="1"/>
  <c r="Y56" i="1"/>
  <c r="T56" i="1"/>
  <c r="S56" i="1"/>
  <c r="R38" i="1"/>
  <c r="J43" i="2"/>
  <c r="H43" i="2"/>
  <c r="K45" i="2"/>
  <c r="K70" i="2" s="1"/>
  <c r="K71" i="2"/>
  <c r="K48" i="2"/>
  <c r="K49" i="2" s="1"/>
  <c r="K69" i="2"/>
  <c r="I43" i="2"/>
  <c r="R38" i="2"/>
  <c r="R69" i="2" s="1"/>
  <c r="N43" i="2"/>
  <c r="N48" i="2"/>
  <c r="N49" i="2" s="1"/>
  <c r="P43" i="2"/>
  <c r="P48" i="2"/>
  <c r="P49" i="2" s="1"/>
  <c r="L43" i="2"/>
  <c r="L48" i="2"/>
  <c r="L49" i="2" s="1"/>
  <c r="M43" i="2"/>
  <c r="M48" i="2"/>
  <c r="M49" i="2" s="1"/>
  <c r="Q43" i="2"/>
  <c r="Q48" i="2"/>
  <c r="Q49" i="2" s="1"/>
  <c r="R56" i="1"/>
  <c r="S38" i="1"/>
  <c r="X38" i="1"/>
  <c r="X60" i="1" s="1"/>
  <c r="X61" i="1" s="1"/>
  <c r="X76" i="1" s="1"/>
  <c r="X56" i="1"/>
  <c r="X43" i="1"/>
  <c r="X44" i="1" s="1"/>
  <c r="W38" i="1"/>
  <c r="W60" i="1" s="1"/>
  <c r="W61" i="1" s="1"/>
  <c r="W76" i="1" s="1"/>
  <c r="W56" i="1"/>
  <c r="W43" i="1"/>
  <c r="W44" i="1" s="1"/>
  <c r="V38" i="1"/>
  <c r="V60" i="1" s="1"/>
  <c r="V61" i="1" s="1"/>
  <c r="V76" i="1" s="1"/>
  <c r="V56" i="1"/>
  <c r="V43" i="1"/>
  <c r="V44" i="1" s="1"/>
  <c r="U38" i="1"/>
  <c r="U60" i="1" s="1"/>
  <c r="U61" i="1" s="1"/>
  <c r="U76" i="1" s="1"/>
  <c r="U56" i="1"/>
  <c r="T38" i="1"/>
  <c r="T60" i="1" s="1"/>
  <c r="T61" i="1" s="1"/>
  <c r="T76" i="1" s="1"/>
  <c r="S48" i="2" l="1"/>
  <c r="O43" i="2"/>
  <c r="P21" i="2"/>
  <c r="O69" i="2"/>
  <c r="S43" i="2"/>
  <c r="S45" i="2" s="1"/>
  <c r="O48" i="2"/>
  <c r="O49" i="2" s="1"/>
  <c r="V45" i="2"/>
  <c r="V70" i="2" s="1"/>
  <c r="V71" i="2"/>
  <c r="T45" i="2"/>
  <c r="T71" i="2"/>
  <c r="W45" i="2"/>
  <c r="W70" i="2" s="1"/>
  <c r="W71" i="2"/>
  <c r="X45" i="2"/>
  <c r="X70" i="2" s="1"/>
  <c r="X71" i="2"/>
  <c r="U45" i="2"/>
  <c r="P22" i="2"/>
  <c r="Q21" i="2"/>
  <c r="T21" i="2"/>
  <c r="H45" i="2"/>
  <c r="H70" i="2" s="1"/>
  <c r="H71" i="2"/>
  <c r="I45" i="2"/>
  <c r="I70" i="2" s="1"/>
  <c r="I71" i="2"/>
  <c r="J45" i="2"/>
  <c r="J70" i="2" s="1"/>
  <c r="J71" i="2"/>
  <c r="R21" i="2"/>
  <c r="G45" i="2"/>
  <c r="G70" i="2" s="1"/>
  <c r="G71" i="2"/>
  <c r="D71" i="2"/>
  <c r="D45" i="2"/>
  <c r="D70" i="2" s="1"/>
  <c r="S21" i="2"/>
  <c r="R43" i="2"/>
  <c r="R45" i="2" s="1"/>
  <c r="R70" i="2" s="1"/>
  <c r="Q22" i="2"/>
  <c r="S49" i="2"/>
  <c r="AD13" i="1"/>
  <c r="AD17" i="1" s="1"/>
  <c r="AD11" i="1"/>
  <c r="AD12" i="1"/>
  <c r="AD10" i="1"/>
  <c r="AE12" i="1"/>
  <c r="AE13" i="1"/>
  <c r="AE17" i="1" s="1"/>
  <c r="AE11" i="1"/>
  <c r="AE10" i="1"/>
  <c r="Y57" i="1"/>
  <c r="Y11" i="1"/>
  <c r="S40" i="1"/>
  <c r="S57" i="1" s="1"/>
  <c r="S60" i="1"/>
  <c r="S61" i="1" s="1"/>
  <c r="S76" i="1" s="1"/>
  <c r="R40" i="1"/>
  <c r="R57" i="1" s="1"/>
  <c r="R60" i="1"/>
  <c r="R61" i="1" s="1"/>
  <c r="R76" i="1" s="1"/>
  <c r="R58" i="1"/>
  <c r="R48" i="2"/>
  <c r="R49" i="2" s="1"/>
  <c r="O45" i="2"/>
  <c r="O71" i="2"/>
  <c r="L45" i="2"/>
  <c r="L71" i="2"/>
  <c r="P45" i="2"/>
  <c r="P70" i="2" s="1"/>
  <c r="P71" i="2"/>
  <c r="Q45" i="2"/>
  <c r="Q70" i="2" s="1"/>
  <c r="Q71" i="2"/>
  <c r="M45" i="2"/>
  <c r="M71" i="2"/>
  <c r="N45" i="2"/>
  <c r="N71" i="2"/>
  <c r="S58" i="1"/>
  <c r="T40" i="1"/>
  <c r="T57" i="1" s="1"/>
  <c r="T58" i="1"/>
  <c r="U40" i="1"/>
  <c r="U57" i="1" s="1"/>
  <c r="U58" i="1"/>
  <c r="W40" i="1"/>
  <c r="W57" i="1" s="1"/>
  <c r="W58" i="1"/>
  <c r="V40" i="1"/>
  <c r="V57" i="1" s="1"/>
  <c r="V58" i="1"/>
  <c r="X40" i="1"/>
  <c r="X57" i="1" s="1"/>
  <c r="X58" i="1"/>
  <c r="T70" i="2" l="1"/>
  <c r="T65" i="2"/>
  <c r="T64" i="2"/>
  <c r="U64" i="2"/>
  <c r="U65" i="2"/>
  <c r="S71" i="2"/>
  <c r="O22" i="2"/>
  <c r="T22" i="2"/>
  <c r="R22" i="2"/>
  <c r="R71" i="2"/>
  <c r="S22" i="2"/>
  <c r="N70" i="2"/>
  <c r="Q17" i="2"/>
  <c r="L70" i="2"/>
  <c r="O17" i="2"/>
  <c r="T17" i="2"/>
  <c r="M70" i="2"/>
  <c r="P17" i="2"/>
  <c r="O70" i="2"/>
  <c r="R17" i="2"/>
  <c r="S17" i="2"/>
  <c r="S70" i="2"/>
  <c r="AE16" i="1"/>
  <c r="AE14" i="1"/>
  <c r="AE15" i="1"/>
  <c r="AD15" i="1"/>
  <c r="AD16" i="1"/>
  <c r="AD14" i="1"/>
</calcChain>
</file>

<file path=xl/sharedStrings.xml><?xml version="1.0" encoding="utf-8"?>
<sst xmlns="http://schemas.openxmlformats.org/spreadsheetml/2006/main" count="268" uniqueCount="188">
  <si>
    <t>Ticker</t>
  </si>
  <si>
    <t>Company name</t>
  </si>
  <si>
    <t>Valuation date</t>
  </si>
  <si>
    <t>Share price</t>
  </si>
  <si>
    <t>52-week high</t>
  </si>
  <si>
    <t>% of 52-week high</t>
  </si>
  <si>
    <t>YTD</t>
  </si>
  <si>
    <t>Beta</t>
  </si>
  <si>
    <t>Basic shares outstanding (Millions):</t>
  </si>
  <si>
    <t>Diluted shares outstanding (Millions):</t>
  </si>
  <si>
    <t>NVDA</t>
  </si>
  <si>
    <t>Nvidia Inc.</t>
  </si>
  <si>
    <t>Basic Equity value (Millions):</t>
  </si>
  <si>
    <t>Diluted Equity value (Millions):</t>
  </si>
  <si>
    <t>Balance Sheet:</t>
  </si>
  <si>
    <t>Revenue</t>
  </si>
  <si>
    <t>Cost of revenue</t>
  </si>
  <si>
    <t>Gross profit</t>
  </si>
  <si>
    <t>Research &amp; Development</t>
  </si>
  <si>
    <t>Sales, General &amp; Administrative</t>
  </si>
  <si>
    <t>Acquisition termination costs</t>
  </si>
  <si>
    <t>Total operating expenses</t>
  </si>
  <si>
    <t>Operating Income</t>
  </si>
  <si>
    <t>Interest income</t>
  </si>
  <si>
    <t>Interest expenses</t>
  </si>
  <si>
    <t>Other, net</t>
  </si>
  <si>
    <t>Other income (expense), net</t>
  </si>
  <si>
    <t>Income before taxes</t>
  </si>
  <si>
    <t>Income taxes</t>
  </si>
  <si>
    <t>Net income</t>
  </si>
  <si>
    <t>Q1 24</t>
  </si>
  <si>
    <t>Q2 24</t>
  </si>
  <si>
    <t>Q3 24</t>
  </si>
  <si>
    <t>Q1 23</t>
  </si>
  <si>
    <t>Q2 23</t>
  </si>
  <si>
    <t>Q3 23</t>
  </si>
  <si>
    <t>Q4 23</t>
  </si>
  <si>
    <t>Cash and cash equivalents</t>
  </si>
  <si>
    <t>Marketable securities</t>
  </si>
  <si>
    <t>Accounts receivable</t>
  </si>
  <si>
    <t>Inventories</t>
  </si>
  <si>
    <t>Prepaid expenses and other assets</t>
  </si>
  <si>
    <t>Total current assets</t>
  </si>
  <si>
    <t>Property and equipment</t>
  </si>
  <si>
    <t>Operating lease assets</t>
  </si>
  <si>
    <t>Goodwill</t>
  </si>
  <si>
    <t>Intangible assets</t>
  </si>
  <si>
    <t>Deferred income taxes</t>
  </si>
  <si>
    <t>Other assets</t>
  </si>
  <si>
    <t>Total assets</t>
  </si>
  <si>
    <t xml:space="preserve">Accounts payable </t>
  </si>
  <si>
    <t>Accrued and other liabilities</t>
  </si>
  <si>
    <t>Short term debt</t>
  </si>
  <si>
    <t>Total current liabilities</t>
  </si>
  <si>
    <t>Long term debt</t>
  </si>
  <si>
    <t>Long term Operating lease liabilities</t>
  </si>
  <si>
    <t>Other long term liabilities</t>
  </si>
  <si>
    <t>Total liabilities</t>
  </si>
  <si>
    <t>Preferred equity</t>
  </si>
  <si>
    <t>Common stock</t>
  </si>
  <si>
    <t>Additional paid in capital</t>
  </si>
  <si>
    <t>Accumulated other comprehensive income</t>
  </si>
  <si>
    <t>Retained earnings</t>
  </si>
  <si>
    <t>Total equity</t>
  </si>
  <si>
    <t>Total liabilities &amp; equity</t>
  </si>
  <si>
    <t>Income statement</t>
  </si>
  <si>
    <t>FY 23</t>
  </si>
  <si>
    <t>FY 20</t>
  </si>
  <si>
    <t>FY 21</t>
  </si>
  <si>
    <t>FY 22</t>
  </si>
  <si>
    <t>LTM</t>
  </si>
  <si>
    <t>Press release date</t>
  </si>
  <si>
    <t>Shares outstanding (Millions):</t>
  </si>
  <si>
    <t>Share price (prd)</t>
  </si>
  <si>
    <t>Equity value (Millions):</t>
  </si>
  <si>
    <t>Debt &amp; Other obligations</t>
  </si>
  <si>
    <t>Cash &amp; Non-operating assets</t>
  </si>
  <si>
    <t>Enterprise value (Millions):</t>
  </si>
  <si>
    <t>Depreciation &amp; Amortization:</t>
  </si>
  <si>
    <t>EBITDA</t>
  </si>
  <si>
    <t>margin</t>
  </si>
  <si>
    <t>Stock based compensation</t>
  </si>
  <si>
    <t>Operating cash flow</t>
  </si>
  <si>
    <t>Capital expenditures</t>
  </si>
  <si>
    <t>Free cash flow</t>
  </si>
  <si>
    <t>Gross margin</t>
  </si>
  <si>
    <t>EBIT margin</t>
  </si>
  <si>
    <t>Net margin</t>
  </si>
  <si>
    <t>Effective tax rate</t>
  </si>
  <si>
    <t>Compute &amp; Networking</t>
  </si>
  <si>
    <t>Graphics</t>
  </si>
  <si>
    <t>Depreciation and Amortization</t>
  </si>
  <si>
    <t>EBTIDA</t>
  </si>
  <si>
    <t>Stock based compensation:</t>
  </si>
  <si>
    <t>Revenue growth Y/Y</t>
  </si>
  <si>
    <t>Taxes (marginal)</t>
  </si>
  <si>
    <t>NOPAT</t>
  </si>
  <si>
    <t>Depreciation &amp; Amortization</t>
  </si>
  <si>
    <t>Free cash flow to firm</t>
  </si>
  <si>
    <t>Change in Working capital</t>
  </si>
  <si>
    <t>Income taxes (benefit)</t>
  </si>
  <si>
    <t>(In millions):</t>
  </si>
  <si>
    <t>Press release date:</t>
  </si>
  <si>
    <t>Share price (after prd)</t>
  </si>
  <si>
    <t>Share price (prd):</t>
  </si>
  <si>
    <t>return:</t>
  </si>
  <si>
    <t>Debt &amp; Other obligations/investors</t>
  </si>
  <si>
    <t>Fiscal year end: January 30</t>
  </si>
  <si>
    <t>FY 19</t>
  </si>
  <si>
    <t>FY 18</t>
  </si>
  <si>
    <t>FY 17</t>
  </si>
  <si>
    <t>#</t>
  </si>
  <si>
    <t>Prepaid expenses</t>
  </si>
  <si>
    <t>Accounts payable</t>
  </si>
  <si>
    <t>Other long-term liabilities</t>
  </si>
  <si>
    <t xml:space="preserve">Inventories </t>
  </si>
  <si>
    <t xml:space="preserve">Accrued liabilities and other </t>
  </si>
  <si>
    <t>Change in working capital:</t>
  </si>
  <si>
    <t>-----------</t>
  </si>
  <si>
    <t>Gaming</t>
  </si>
  <si>
    <t>Data center</t>
  </si>
  <si>
    <t>OEM and other</t>
  </si>
  <si>
    <t>Professional visualization</t>
  </si>
  <si>
    <t>Automotive</t>
  </si>
  <si>
    <t>Total revenue</t>
  </si>
  <si>
    <t>Professional visualization growth Y/Y</t>
  </si>
  <si>
    <t>Gaming growth Y/Y</t>
  </si>
  <si>
    <t>Data center growth Y/Y</t>
  </si>
  <si>
    <t>Automotive growth Y/Y</t>
  </si>
  <si>
    <t>OEM and other growth Y/Y</t>
  </si>
  <si>
    <t>Total revenue growth Y/Y</t>
  </si>
  <si>
    <t>Revenue growth y/y</t>
  </si>
  <si>
    <t>Revenue growth q/q</t>
  </si>
  <si>
    <t>Q1 22</t>
  </si>
  <si>
    <t>Q2 22</t>
  </si>
  <si>
    <t>Q3 22</t>
  </si>
  <si>
    <t>Q4 22</t>
  </si>
  <si>
    <t>(-) Cash &amp; cash equivalents</t>
  </si>
  <si>
    <t>(-) Marketable securities</t>
  </si>
  <si>
    <t>(+) Short &amp; Long Term debt</t>
  </si>
  <si>
    <t>(+) Operating leases</t>
  </si>
  <si>
    <t>Enterprise value:</t>
  </si>
  <si>
    <t>Next earnings release:</t>
  </si>
  <si>
    <t>Last updated: 12/10/2023</t>
  </si>
  <si>
    <t>Nvidia Corp. Equity value calculation:</t>
  </si>
  <si>
    <t>Quarter ended:</t>
  </si>
  <si>
    <t>FY 24</t>
  </si>
  <si>
    <t>return</t>
  </si>
  <si>
    <t>P/E</t>
  </si>
  <si>
    <t>P/OCF</t>
  </si>
  <si>
    <t>P/FCF</t>
  </si>
  <si>
    <t>EV/SALE</t>
  </si>
  <si>
    <t>EV/SALES</t>
  </si>
  <si>
    <t>EV/EBIT</t>
  </si>
  <si>
    <t>EV/EBITDA</t>
  </si>
  <si>
    <t>FCF Yield</t>
  </si>
  <si>
    <t>Q4 24</t>
  </si>
  <si>
    <t>Q1 25</t>
  </si>
  <si>
    <t>FY 25</t>
  </si>
  <si>
    <t>FY 26</t>
  </si>
  <si>
    <t>FY 27</t>
  </si>
  <si>
    <t>Dividends paid:</t>
  </si>
  <si>
    <t>Stock repurchases:</t>
  </si>
  <si>
    <t>Total:</t>
  </si>
  <si>
    <t>Next earnings press release: 05/22/2024 (Q1 FY25)</t>
  </si>
  <si>
    <t>Cash &amp; non-operating assets</t>
  </si>
  <si>
    <t>Debt and other obligations</t>
  </si>
  <si>
    <t>Q1 21</t>
  </si>
  <si>
    <t>Q2 21</t>
  </si>
  <si>
    <t>Q3 21</t>
  </si>
  <si>
    <t>Q4 21</t>
  </si>
  <si>
    <t>Q2 25E</t>
  </si>
  <si>
    <t>Q3 25E</t>
  </si>
  <si>
    <t>Q4 25E</t>
  </si>
  <si>
    <t>Data center growth Q/Q</t>
  </si>
  <si>
    <t>Gaming growth Q/Q</t>
  </si>
  <si>
    <t>Professional visualization growth Q/Q</t>
  </si>
  <si>
    <t>Automotive growth Q/Q</t>
  </si>
  <si>
    <t>OEM and other growth Q/Q</t>
  </si>
  <si>
    <t>Total revenue growth Q/Q</t>
  </si>
  <si>
    <t>Q1 FY25</t>
  </si>
  <si>
    <t>EBIT growth q/q</t>
  </si>
  <si>
    <t>EBIT growth y/y</t>
  </si>
  <si>
    <t>Net Income growth q/q</t>
  </si>
  <si>
    <t>Net Income growth y/y</t>
  </si>
  <si>
    <t>Q2 25</t>
  </si>
  <si>
    <t>Stock repurchases</t>
  </si>
  <si>
    <t>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</si>
</sst>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&quot;$&quot;* #,##0.0_);_(&quot;$&quot;* \(#,##0.0\);_(&quot;$&quot;* &quot;-&quot;?_);_(@_)"/>
    <numFmt numFmtId="166" formatCode="0.0\ \x"/>
    <numFmt numFmtId="167" formatCode="0.0%"/>
  </numFmts>
  <fonts count="6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3" borderId="4" xfId="0" applyFill="1" applyBorder="1"/>
    <xf numFmtId="0" fontId="2" fillId="3" borderId="3" xfId="0" applyFont="1" applyFill="1" applyBorder="1"/>
    <xf numFmtId="0" fontId="0" fillId="3" borderId="5" xfId="0" applyFill="1" applyBorder="1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Alignment="1">
      <alignment horizontal="center"/>
    </xf>
    <xf numFmtId="14" fontId="0" fillId="2" borderId="1" xfId="1" applyNumberFormat="1" applyFont="1" applyAlignment="1">
      <alignment horizontal="center"/>
    </xf>
    <xf numFmtId="44" fontId="0" fillId="2" borderId="1" xfId="1" applyNumberFormat="1" applyFont="1" applyAlignment="1">
      <alignment horizontal="center"/>
    </xf>
    <xf numFmtId="10" fontId="0" fillId="2" borderId="1" xfId="1" applyNumberFormat="1" applyFont="1" applyAlignment="1">
      <alignment horizontal="center"/>
    </xf>
    <xf numFmtId="43" fontId="0" fillId="2" borderId="1" xfId="1" applyNumberFormat="1" applyFont="1" applyAlignment="1">
      <alignment horizontal="center"/>
    </xf>
    <xf numFmtId="164" fontId="0" fillId="2" borderId="1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4" xfId="0" applyFont="1" applyFill="1" applyBorder="1"/>
    <xf numFmtId="14" fontId="3" fillId="0" borderId="0" xfId="0" applyNumberFormat="1" applyFont="1"/>
    <xf numFmtId="41" fontId="0" fillId="0" borderId="0" xfId="0" applyNumberFormat="1"/>
    <xf numFmtId="0" fontId="2" fillId="0" borderId="0" xfId="0" applyFont="1"/>
    <xf numFmtId="14" fontId="3" fillId="0" borderId="0" xfId="0" applyNumberFormat="1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41" fontId="0" fillId="0" borderId="0" xfId="0" applyNumberFormat="1" applyAlignment="1">
      <alignment horizontal="center"/>
    </xf>
    <xf numFmtId="42" fontId="2" fillId="0" borderId="0" xfId="0" applyNumberFormat="1" applyFont="1"/>
    <xf numFmtId="41" fontId="2" fillId="0" borderId="0" xfId="0" applyNumberFormat="1" applyFont="1"/>
    <xf numFmtId="41" fontId="2" fillId="0" borderId="2" xfId="0" applyNumberFormat="1" applyFont="1" applyBorder="1" applyAlignment="1">
      <alignment horizontal="center"/>
    </xf>
    <xf numFmtId="42" fontId="2" fillId="0" borderId="0" xfId="0" applyNumberFormat="1" applyFont="1" applyAlignment="1">
      <alignment horizontal="center"/>
    </xf>
    <xf numFmtId="44" fontId="0" fillId="0" borderId="0" xfId="0" applyNumberFormat="1"/>
    <xf numFmtId="10" fontId="0" fillId="0" borderId="0" xfId="0" applyNumberFormat="1"/>
    <xf numFmtId="0" fontId="3" fillId="0" borderId="0" xfId="0" applyFont="1"/>
    <xf numFmtId="164" fontId="0" fillId="0" borderId="0" xfId="0" applyNumberFormat="1"/>
    <xf numFmtId="10" fontId="0" fillId="0" borderId="0" xfId="0" applyNumberFormat="1" applyAlignment="1">
      <alignment horizontal="center"/>
    </xf>
    <xf numFmtId="0" fontId="2" fillId="3" borderId="4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10" fontId="2" fillId="0" borderId="0" xfId="0" applyNumberFormat="1" applyFont="1"/>
    <xf numFmtId="42" fontId="0" fillId="0" borderId="0" xfId="0" applyNumberFormat="1"/>
    <xf numFmtId="0" fontId="0" fillId="0" borderId="0" xfId="0" quotePrefix="1" applyAlignment="1">
      <alignment horizontal="center"/>
    </xf>
    <xf numFmtId="41" fontId="2" fillId="0" borderId="0" xfId="0" applyNumberFormat="1" applyFont="1" applyAlignment="1">
      <alignment horizontal="center"/>
    </xf>
    <xf numFmtId="0" fontId="0" fillId="0" borderId="7" xfId="0" applyBorder="1"/>
    <xf numFmtId="0" fontId="0" fillId="0" borderId="6" xfId="0" applyBorder="1"/>
    <xf numFmtId="41" fontId="0" fillId="0" borderId="6" xfId="0" applyNumberFormat="1" applyBorder="1"/>
    <xf numFmtId="0" fontId="0" fillId="0" borderId="8" xfId="0" applyBorder="1"/>
    <xf numFmtId="0" fontId="2" fillId="0" borderId="8" xfId="0" applyFont="1" applyBorder="1"/>
    <xf numFmtId="10" fontId="0" fillId="0" borderId="8" xfId="0" applyNumberFormat="1" applyBorder="1"/>
    <xf numFmtId="10" fontId="2" fillId="0" borderId="9" xfId="0" applyNumberFormat="1" applyFont="1" applyBorder="1"/>
    <xf numFmtId="10" fontId="0" fillId="0" borderId="10" xfId="0" applyNumberFormat="1" applyBorder="1"/>
    <xf numFmtId="0" fontId="0" fillId="4" borderId="2" xfId="0" applyFill="1" applyBorder="1"/>
    <xf numFmtId="166" fontId="0" fillId="0" borderId="0" xfId="0" applyNumberFormat="1"/>
    <xf numFmtId="10" fontId="3" fillId="0" borderId="0" xfId="0" applyNumberFormat="1" applyFont="1"/>
    <xf numFmtId="0" fontId="2" fillId="3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4" fontId="5" fillId="5" borderId="0" xfId="0" applyNumberFormat="1" applyFont="1" applyFill="1"/>
    <xf numFmtId="0" fontId="4" fillId="5" borderId="0" xfId="0" applyFont="1" applyFill="1" applyAlignment="1">
      <alignment horizontal="center"/>
    </xf>
    <xf numFmtId="42" fontId="2" fillId="3" borderId="5" xfId="0" applyNumberFormat="1" applyFont="1" applyFill="1" applyBorder="1" applyAlignment="1">
      <alignment horizontal="center"/>
    </xf>
    <xf numFmtId="10" fontId="2" fillId="0" borderId="0" xfId="0" applyNumberFormat="1" applyFont="1" applyBorder="1"/>
    <xf numFmtId="10" fontId="0" fillId="0" borderId="0" xfId="0" applyNumberFormat="1" applyBorder="1"/>
    <xf numFmtId="10" fontId="2" fillId="0" borderId="8" xfId="0" applyNumberFormat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F61C-9B3B-49E0-BED1-9960CC7CF260}">
  <dimension ref="B1:AE81"/>
  <sheetViews>
    <sheetView showGridLines="0" topLeftCell="A11" zoomScale="85" zoomScaleNormal="85" workbookViewId="0">
      <selection activeCell="F42" sqref="F42"/>
    </sheetView>
  </sheetViews>
  <sheetFormatPr defaultRowHeight="15.75" x14ac:dyDescent="0.25"/>
  <cols>
    <col min="1" max="1" width="2.625" customWidth="1"/>
    <col min="6" max="6" width="12.625" style="5" bestFit="1" customWidth="1"/>
    <col min="7" max="7" width="2.625" customWidth="1"/>
    <col min="12" max="12" width="11.125" style="18" bestFit="1" customWidth="1"/>
    <col min="13" max="13" width="2.625" customWidth="1"/>
    <col min="18" max="24" width="11.125" style="5" bestFit="1" customWidth="1"/>
    <col min="25" max="25" width="11.625" style="5" bestFit="1" customWidth="1"/>
    <col min="26" max="28" width="11.125" style="5" bestFit="1" customWidth="1"/>
    <col min="29" max="31" width="11.625" bestFit="1" customWidth="1"/>
  </cols>
  <sheetData>
    <row r="1" spans="2:31" x14ac:dyDescent="0.25">
      <c r="L1" s="5"/>
    </row>
    <row r="2" spans="2:31" x14ac:dyDescent="0.25">
      <c r="B2" s="25" t="s">
        <v>107</v>
      </c>
      <c r="L2" s="5"/>
      <c r="N2" s="25" t="s">
        <v>102</v>
      </c>
      <c r="O2" s="25"/>
      <c r="P2" s="25"/>
      <c r="Q2" s="25"/>
      <c r="R2" s="32"/>
      <c r="S2" s="32"/>
      <c r="T2" s="32"/>
      <c r="U2" s="32"/>
      <c r="V2" s="32"/>
      <c r="W2" s="16">
        <v>44608</v>
      </c>
      <c r="X2" s="16">
        <v>44979</v>
      </c>
      <c r="Y2" s="16">
        <v>45343</v>
      </c>
      <c r="Z2" s="32"/>
      <c r="AA2" s="32"/>
      <c r="AB2" s="32"/>
      <c r="AC2" s="25"/>
      <c r="AD2" s="25"/>
      <c r="AE2" s="25"/>
    </row>
    <row r="3" spans="2:31" s="26" customFormat="1" x14ac:dyDescent="0.25">
      <c r="B3" s="25" t="s">
        <v>164</v>
      </c>
      <c r="C3"/>
      <c r="D3"/>
      <c r="E3"/>
      <c r="F3" s="5"/>
      <c r="G3"/>
      <c r="H3"/>
      <c r="I3"/>
      <c r="J3"/>
      <c r="K3"/>
      <c r="L3" s="5"/>
      <c r="N3" s="26" t="s">
        <v>72</v>
      </c>
      <c r="R3" s="30"/>
      <c r="S3" s="30"/>
      <c r="T3" s="30"/>
      <c r="U3" s="30"/>
      <c r="V3" s="30"/>
      <c r="W3" s="30">
        <v>2510</v>
      </c>
      <c r="X3" s="30">
        <v>2470</v>
      </c>
      <c r="Y3" s="30">
        <v>2500</v>
      </c>
      <c r="Z3" s="30"/>
      <c r="AA3" s="30"/>
      <c r="AC3" s="30">
        <f>Y3</f>
        <v>2500</v>
      </c>
      <c r="AD3" s="26">
        <f>AC3</f>
        <v>2500</v>
      </c>
      <c r="AE3" s="26">
        <f t="shared" ref="AE3" si="0">AD3</f>
        <v>2500</v>
      </c>
    </row>
    <row r="4" spans="2:31" s="23" customFormat="1" x14ac:dyDescent="0.25">
      <c r="B4"/>
      <c r="C4"/>
      <c r="D4"/>
      <c r="E4"/>
      <c r="F4" s="5"/>
      <c r="G4"/>
      <c r="H4"/>
      <c r="I4"/>
      <c r="J4"/>
      <c r="K4"/>
      <c r="L4" s="5"/>
      <c r="N4" s="23" t="s">
        <v>104</v>
      </c>
      <c r="R4" s="29"/>
      <c r="S4" s="29"/>
      <c r="T4" s="29"/>
      <c r="U4" s="29"/>
      <c r="V4" s="29"/>
      <c r="W4" s="29">
        <v>264.73</v>
      </c>
      <c r="X4" s="29">
        <v>207.47</v>
      </c>
      <c r="Y4" s="29">
        <v>674.69</v>
      </c>
      <c r="Z4" s="29"/>
      <c r="AA4" s="29"/>
      <c r="AB4" s="29"/>
      <c r="AC4" s="23">
        <f>F29</f>
        <v>126.34</v>
      </c>
      <c r="AD4" s="26">
        <f t="shared" ref="AD4:AE4" si="1">AC4</f>
        <v>126.34</v>
      </c>
      <c r="AE4" s="26">
        <f t="shared" si="1"/>
        <v>126.34</v>
      </c>
    </row>
    <row r="5" spans="2:31" s="23" customFormat="1" x14ac:dyDescent="0.25">
      <c r="B5"/>
      <c r="C5"/>
      <c r="D5"/>
      <c r="E5"/>
      <c r="F5" s="5"/>
      <c r="G5"/>
      <c r="H5"/>
      <c r="I5"/>
      <c r="J5"/>
      <c r="K5"/>
      <c r="L5" s="5"/>
      <c r="N5" s="23" t="s">
        <v>103</v>
      </c>
      <c r="R5" s="29"/>
      <c r="S5" s="29"/>
      <c r="T5" s="29"/>
      <c r="U5" s="29"/>
      <c r="V5" s="29"/>
      <c r="W5" s="29">
        <v>244.72</v>
      </c>
      <c r="X5" s="29">
        <v>236.56</v>
      </c>
      <c r="Y5" s="29">
        <v>785.34</v>
      </c>
      <c r="Z5" s="29"/>
      <c r="AA5" s="29"/>
      <c r="AB5" s="29"/>
    </row>
    <row r="6" spans="2:31" s="24" customFormat="1" x14ac:dyDescent="0.25">
      <c r="B6"/>
      <c r="C6"/>
      <c r="D6"/>
      <c r="E6"/>
      <c r="F6" s="5"/>
      <c r="G6"/>
      <c r="H6"/>
      <c r="I6"/>
      <c r="J6"/>
      <c r="K6"/>
      <c r="L6" s="5"/>
      <c r="N6" s="24" t="s">
        <v>105</v>
      </c>
      <c r="R6" s="27" t="e">
        <f t="shared" ref="R6:W6" si="2">R5/R4-1</f>
        <v>#DIV/0!</v>
      </c>
      <c r="S6" s="27" t="e">
        <f t="shared" si="2"/>
        <v>#DIV/0!</v>
      </c>
      <c r="T6" s="27" t="e">
        <f t="shared" si="2"/>
        <v>#DIV/0!</v>
      </c>
      <c r="U6" s="27" t="e">
        <f t="shared" si="2"/>
        <v>#DIV/0!</v>
      </c>
      <c r="V6" s="27" t="e">
        <f t="shared" si="2"/>
        <v>#DIV/0!</v>
      </c>
      <c r="W6" s="27">
        <f t="shared" si="2"/>
        <v>-7.5586446568201682E-2</v>
      </c>
      <c r="X6" s="27">
        <f>X5/X4-1</f>
        <v>0.1402130428495687</v>
      </c>
      <c r="Y6" s="27">
        <f t="shared" ref="Y6" si="3">Y5/Y4-1</f>
        <v>0.16400124501622959</v>
      </c>
      <c r="Z6" s="27" t="e">
        <f t="shared" ref="Z6:AA6" si="4">Z5/Z4-1</f>
        <v>#DIV/0!</v>
      </c>
      <c r="AA6" s="27" t="e">
        <f t="shared" si="4"/>
        <v>#DIV/0!</v>
      </c>
      <c r="AB6" s="27"/>
    </row>
    <row r="7" spans="2:31" s="19" customFormat="1" x14ac:dyDescent="0.25">
      <c r="B7" s="15"/>
      <c r="C7" s="15"/>
      <c r="D7" s="15"/>
      <c r="E7" s="15"/>
      <c r="F7" s="31"/>
      <c r="G7" s="15"/>
      <c r="H7" s="15"/>
      <c r="I7" s="15"/>
      <c r="J7" s="15"/>
      <c r="K7" s="15"/>
      <c r="L7" s="31"/>
      <c r="N7" s="19" t="s">
        <v>74</v>
      </c>
      <c r="R7" s="22">
        <f t="shared" ref="R7:W7" si="5">R3*R4</f>
        <v>0</v>
      </c>
      <c r="S7" s="22">
        <f t="shared" si="5"/>
        <v>0</v>
      </c>
      <c r="T7" s="22">
        <f t="shared" si="5"/>
        <v>0</v>
      </c>
      <c r="U7" s="22">
        <f t="shared" si="5"/>
        <v>0</v>
      </c>
      <c r="V7" s="22">
        <f t="shared" si="5"/>
        <v>0</v>
      </c>
      <c r="W7" s="22">
        <f t="shared" si="5"/>
        <v>664472.30000000005</v>
      </c>
      <c r="X7" s="22">
        <f>X3*X4</f>
        <v>512450.9</v>
      </c>
      <c r="Y7" s="22">
        <f t="shared" ref="Y7" si="6">Y3*Y4</f>
        <v>1686725.0000000002</v>
      </c>
      <c r="Z7" s="22">
        <f t="shared" ref="Z7:AA7" si="7">Z3*Z4</f>
        <v>0</v>
      </c>
      <c r="AA7" s="22">
        <f t="shared" si="7"/>
        <v>0</v>
      </c>
      <c r="AB7" s="22"/>
      <c r="AC7" s="22">
        <f t="shared" ref="AC7:AE7" si="8">AC3*AC4</f>
        <v>315850</v>
      </c>
      <c r="AD7" s="22">
        <f t="shared" si="8"/>
        <v>315850</v>
      </c>
      <c r="AE7" s="22">
        <f t="shared" si="8"/>
        <v>315850</v>
      </c>
    </row>
    <row r="8" spans="2:31" s="14" customFormat="1" x14ac:dyDescent="0.25">
      <c r="B8"/>
      <c r="C8"/>
      <c r="D8"/>
      <c r="E8"/>
      <c r="F8" s="5"/>
      <c r="G8"/>
      <c r="H8"/>
      <c r="I8"/>
      <c r="J8"/>
      <c r="K8"/>
      <c r="L8" s="5"/>
      <c r="N8" s="14" t="s">
        <v>76</v>
      </c>
      <c r="R8" s="18"/>
      <c r="S8" s="18"/>
      <c r="T8" s="18"/>
      <c r="U8" s="18"/>
      <c r="V8" s="18"/>
      <c r="W8" s="18">
        <f>1990+19218</f>
        <v>21208</v>
      </c>
      <c r="X8" s="18">
        <f>3389+9907</f>
        <v>13296</v>
      </c>
      <c r="Y8" s="18">
        <f>7280+18704</f>
        <v>25984</v>
      </c>
      <c r="Z8" s="18"/>
      <c r="AA8" s="18"/>
      <c r="AB8" s="18"/>
      <c r="AC8" s="14">
        <f>Y8*(1+0.04)</f>
        <v>27023.360000000001</v>
      </c>
      <c r="AD8" s="14">
        <f>AC8</f>
        <v>27023.360000000001</v>
      </c>
      <c r="AE8" s="14">
        <f t="shared" ref="AE8" si="9">AD8</f>
        <v>27023.360000000001</v>
      </c>
    </row>
    <row r="9" spans="2:31" s="14" customFormat="1" x14ac:dyDescent="0.25">
      <c r="B9"/>
      <c r="C9"/>
      <c r="D9"/>
      <c r="E9"/>
      <c r="F9" s="5"/>
      <c r="G9"/>
      <c r="H9"/>
      <c r="I9"/>
      <c r="J9"/>
      <c r="K9"/>
      <c r="L9" s="5"/>
      <c r="N9" s="14" t="s">
        <v>106</v>
      </c>
      <c r="R9" s="18"/>
      <c r="S9" s="18"/>
      <c r="T9" s="18"/>
      <c r="U9" s="18"/>
      <c r="V9" s="18"/>
      <c r="W9" s="18">
        <f>10946+741</f>
        <v>11687</v>
      </c>
      <c r="X9" s="18">
        <f>1250+9703+902</f>
        <v>11855</v>
      </c>
      <c r="Y9" s="18">
        <f>1250+8459+1119</f>
        <v>10828</v>
      </c>
      <c r="Z9" s="18"/>
      <c r="AA9" s="18"/>
      <c r="AB9" s="18"/>
      <c r="AC9" s="14">
        <f t="shared" ref="AC9" si="10">Y9*(1+0.04)</f>
        <v>11261.12</v>
      </c>
      <c r="AD9" s="14">
        <f t="shared" ref="AD9:AE9" si="11">AC9</f>
        <v>11261.12</v>
      </c>
      <c r="AE9" s="14">
        <f t="shared" si="11"/>
        <v>11261.12</v>
      </c>
    </row>
    <row r="10" spans="2:31" s="19" customFormat="1" x14ac:dyDescent="0.25">
      <c r="B10" s="15"/>
      <c r="C10" s="15"/>
      <c r="D10" s="15"/>
      <c r="E10" s="15"/>
      <c r="F10" s="31"/>
      <c r="G10" s="15"/>
      <c r="H10" s="15"/>
      <c r="I10" s="15"/>
      <c r="J10" s="15"/>
      <c r="K10" s="15"/>
      <c r="L10" s="31"/>
      <c r="N10" s="19" t="s">
        <v>77</v>
      </c>
      <c r="R10" s="22">
        <f t="shared" ref="R10:W10" si="12">R7-R8+R9</f>
        <v>0</v>
      </c>
      <c r="S10" s="22">
        <f t="shared" si="12"/>
        <v>0</v>
      </c>
      <c r="T10" s="22">
        <f t="shared" si="12"/>
        <v>0</v>
      </c>
      <c r="U10" s="22">
        <f t="shared" si="12"/>
        <v>0</v>
      </c>
      <c r="V10" s="22">
        <f t="shared" si="12"/>
        <v>0</v>
      </c>
      <c r="W10" s="22">
        <f t="shared" si="12"/>
        <v>654951.30000000005</v>
      </c>
      <c r="X10" s="22">
        <f>X7-X8+X9</f>
        <v>511009.9</v>
      </c>
      <c r="Y10" s="22">
        <f t="shared" ref="Y10" si="13">Y7-Y8+Y9</f>
        <v>1671569.0000000002</v>
      </c>
      <c r="Z10" s="22">
        <f t="shared" ref="Z10:AA10" si="14">Z7-Z8+Z9</f>
        <v>0</v>
      </c>
      <c r="AA10" s="22">
        <f t="shared" si="14"/>
        <v>0</v>
      </c>
      <c r="AB10" s="22"/>
      <c r="AC10" s="22">
        <f t="shared" ref="AC10" si="15">AC7-AC8+AC9</f>
        <v>300087.76</v>
      </c>
      <c r="AD10" s="22">
        <f t="shared" ref="AD10" si="16">AD7-AD8+AD9</f>
        <v>300087.76</v>
      </c>
      <c r="AE10" s="22">
        <f t="shared" ref="AE10" si="17">AE7-AE8+AE9</f>
        <v>300087.76</v>
      </c>
    </row>
    <row r="11" spans="2:31" s="47" customFormat="1" x14ac:dyDescent="0.25">
      <c r="F11" s="50"/>
      <c r="L11" s="50"/>
      <c r="N11" s="47" t="s">
        <v>148</v>
      </c>
      <c r="R11" s="50"/>
      <c r="S11" s="50"/>
      <c r="T11" s="50"/>
      <c r="U11" s="50"/>
      <c r="V11" s="50"/>
      <c r="W11" s="50">
        <f t="shared" ref="W11:X11" si="18">W7/W40</f>
        <v>68.137028301886801</v>
      </c>
      <c r="X11" s="50">
        <f t="shared" si="18"/>
        <v>117.31934523809524</v>
      </c>
      <c r="Y11" s="50">
        <f>Y7/Y40</f>
        <v>56.677587365591407</v>
      </c>
      <c r="Z11" s="50"/>
      <c r="AA11" s="50"/>
      <c r="AB11" s="50"/>
      <c r="AC11" s="50">
        <f>AC7/AC40</f>
        <v>5.8009476932118718</v>
      </c>
      <c r="AD11" s="50">
        <f t="shared" ref="AD11:AE11" si="19">AD7/AD40</f>
        <v>5.6793253497320819</v>
      </c>
      <c r="AE11" s="50">
        <f t="shared" si="19"/>
        <v>4.9638535282099641</v>
      </c>
    </row>
    <row r="12" spans="2:31" s="47" customFormat="1" x14ac:dyDescent="0.25">
      <c r="F12" s="50"/>
      <c r="L12" s="50"/>
      <c r="N12" s="47" t="s">
        <v>149</v>
      </c>
      <c r="R12" s="50"/>
      <c r="S12" s="50"/>
      <c r="T12" s="50"/>
      <c r="U12" s="50"/>
      <c r="V12" s="50"/>
      <c r="W12" s="50">
        <f t="shared" ref="W12:X12" si="20">W7/W48</f>
        <v>72.954797979797988</v>
      </c>
      <c r="X12" s="50">
        <f t="shared" si="20"/>
        <v>90.84398156355256</v>
      </c>
      <c r="Y12" s="50">
        <f>Y7/Y48</f>
        <v>60.047169811320764</v>
      </c>
      <c r="Z12" s="50"/>
      <c r="AA12" s="50"/>
      <c r="AB12" s="50"/>
      <c r="AC12" s="50">
        <f>AC7/AC48</f>
        <v>5.5184764567135494</v>
      </c>
      <c r="AD12" s="50">
        <f t="shared" ref="AD12:AE12" si="21">AD7/AD48</f>
        <v>4.9889432948981201</v>
      </c>
      <c r="AE12" s="50">
        <f t="shared" si="21"/>
        <v>4.4516638243294668</v>
      </c>
    </row>
    <row r="13" spans="2:31" s="47" customFormat="1" x14ac:dyDescent="0.25">
      <c r="F13" s="50"/>
      <c r="L13" s="50"/>
      <c r="N13" s="47" t="s">
        <v>150</v>
      </c>
      <c r="R13" s="50"/>
      <c r="S13" s="50"/>
      <c r="T13" s="50"/>
      <c r="U13" s="50"/>
      <c r="V13" s="50"/>
      <c r="W13" s="50">
        <f t="shared" ref="W13:X13" si="22">W7/W50</f>
        <v>84.441771508450884</v>
      </c>
      <c r="X13" s="50">
        <f t="shared" si="22"/>
        <v>136.32638999733973</v>
      </c>
      <c r="Y13" s="50">
        <f>Y7/Y50</f>
        <v>62.615079070458094</v>
      </c>
      <c r="Z13" s="50"/>
      <c r="AA13" s="50"/>
      <c r="AB13" s="50"/>
      <c r="AC13" s="50">
        <f>AC7/AC50</f>
        <v>5.8497240434122313</v>
      </c>
      <c r="AD13" s="50">
        <f t="shared" ref="AD13:AE13" si="23">AD7/AD50</f>
        <v>5.3673084439308711</v>
      </c>
      <c r="AE13" s="50">
        <f t="shared" si="23"/>
        <v>4.8065802288775261</v>
      </c>
    </row>
    <row r="14" spans="2:31" s="47" customFormat="1" x14ac:dyDescent="0.25">
      <c r="F14" s="50"/>
      <c r="L14" s="50"/>
      <c r="N14" s="47" t="s">
        <v>151</v>
      </c>
      <c r="R14" s="50"/>
      <c r="S14" s="50"/>
      <c r="T14" s="50"/>
      <c r="U14" s="50"/>
      <c r="V14" s="50"/>
      <c r="W14" s="50">
        <f t="shared" ref="W14:X14" si="24">W10/W26</f>
        <v>24.334966931708408</v>
      </c>
      <c r="X14" s="50">
        <f t="shared" si="24"/>
        <v>18.944535478609033</v>
      </c>
      <c r="Y14" s="50">
        <f>Y10/Y26</f>
        <v>27.437854962082667</v>
      </c>
      <c r="Z14" s="50"/>
      <c r="AA14" s="50"/>
      <c r="AB14" s="50"/>
      <c r="AC14" s="50">
        <f>AC10/AC26</f>
        <v>2.8446494520911538</v>
      </c>
      <c r="AD14" s="50">
        <f t="shared" ref="AD14:AE14" si="25">AD10/AD26</f>
        <v>2.6892716893544946</v>
      </c>
      <c r="AE14" s="50">
        <f t="shared" si="25"/>
        <v>2.2913234631624761</v>
      </c>
    </row>
    <row r="15" spans="2:31" s="47" customFormat="1" x14ac:dyDescent="0.25">
      <c r="F15" s="50"/>
      <c r="L15" s="50"/>
      <c r="N15" s="47" t="s">
        <v>153</v>
      </c>
      <c r="R15" s="50"/>
      <c r="S15" s="50"/>
      <c r="T15" s="50"/>
      <c r="U15" s="50"/>
      <c r="V15" s="50"/>
      <c r="W15" s="50">
        <f t="shared" ref="W15:X15" si="26">W10/W33</f>
        <v>65.227696444577234</v>
      </c>
      <c r="X15" s="50">
        <f t="shared" si="26"/>
        <v>120.97772253787879</v>
      </c>
      <c r="Y15" s="50">
        <f>Y10/Y33</f>
        <v>50.696621375712731</v>
      </c>
      <c r="Z15" s="50"/>
      <c r="AA15" s="50"/>
      <c r="AB15" s="50"/>
      <c r="AC15" s="50">
        <f>AC10/AC33</f>
        <v>4.6914368795435006</v>
      </c>
      <c r="AD15" s="50">
        <f t="shared" ref="AD15:AE15" si="27">AD10/AD33</f>
        <v>4.7091056885052964</v>
      </c>
      <c r="AE15" s="50">
        <f t="shared" si="27"/>
        <v>4.1128194726166329</v>
      </c>
    </row>
    <row r="16" spans="2:31" s="47" customFormat="1" x14ac:dyDescent="0.25">
      <c r="F16" s="50"/>
      <c r="L16" s="50"/>
      <c r="N16" s="47" t="s">
        <v>154</v>
      </c>
      <c r="R16" s="50"/>
      <c r="S16" s="50"/>
      <c r="T16" s="50"/>
      <c r="U16" s="50"/>
      <c r="V16" s="50"/>
      <c r="W16" s="50">
        <f t="shared" ref="W16:X16" si="28">W10/W43</f>
        <v>58.399580918412845</v>
      </c>
      <c r="X16" s="50">
        <f t="shared" si="28"/>
        <v>88.593949375866856</v>
      </c>
      <c r="Y16" s="50">
        <f>Y10/Y43</f>
        <v>48.479379350348033</v>
      </c>
      <c r="Z16" s="50"/>
      <c r="AA16" s="50"/>
      <c r="AB16" s="50"/>
      <c r="AC16" s="50">
        <f>AC10/AC43</f>
        <v>4.4857508445693446</v>
      </c>
      <c r="AD16" s="50">
        <f t="shared" ref="AD16:AE16" si="29">AD10/AD43</f>
        <v>4.4743806286157337</v>
      </c>
      <c r="AE16" s="50">
        <f t="shared" si="29"/>
        <v>3.8722500225815195</v>
      </c>
    </row>
    <row r="17" spans="2:31" s="51" customFormat="1" x14ac:dyDescent="0.25">
      <c r="F17" s="52"/>
      <c r="L17" s="52"/>
      <c r="N17" s="51" t="s">
        <v>155</v>
      </c>
      <c r="R17" s="52"/>
      <c r="S17" s="52"/>
      <c r="T17" s="52"/>
      <c r="U17" s="52"/>
      <c r="V17" s="52"/>
      <c r="W17" s="52">
        <f t="shared" ref="W17:X17" si="30">1/W13</f>
        <v>1.1842480115423923E-2</v>
      </c>
      <c r="X17" s="52">
        <f t="shared" si="30"/>
        <v>7.3353369073993228E-3</v>
      </c>
      <c r="Y17" s="52">
        <f>1/Y13</f>
        <v>1.5970593902384797E-2</v>
      </c>
      <c r="Z17" s="52"/>
      <c r="AA17" s="52"/>
      <c r="AB17" s="52"/>
      <c r="AC17" s="52">
        <f>1/AC13</f>
        <v>0.17094823492164002</v>
      </c>
      <c r="AD17" s="52">
        <f t="shared" ref="AD17:AE17" si="31">1/AD13</f>
        <v>0.18631312331803074</v>
      </c>
      <c r="AE17" s="52">
        <f t="shared" si="31"/>
        <v>0.20804812410954568</v>
      </c>
    </row>
    <row r="18" spans="2:31" s="47" customFormat="1" x14ac:dyDescent="0.25">
      <c r="F18" s="50"/>
      <c r="L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spans="2:31" s="47" customFormat="1" x14ac:dyDescent="0.25">
      <c r="F19" s="50"/>
      <c r="L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spans="2:31" x14ac:dyDescent="0.25">
      <c r="L20" s="5"/>
    </row>
    <row r="21" spans="2:31" x14ac:dyDescent="0.25">
      <c r="L21" s="5"/>
    </row>
    <row r="22" spans="2:31" x14ac:dyDescent="0.25">
      <c r="L22" s="5"/>
    </row>
    <row r="23" spans="2:31" x14ac:dyDescent="0.25">
      <c r="L23" s="5"/>
    </row>
    <row r="24" spans="2:31" x14ac:dyDescent="0.25">
      <c r="H24" s="25" t="s">
        <v>101</v>
      </c>
      <c r="L24" s="16">
        <v>45410</v>
      </c>
      <c r="N24" s="25" t="s">
        <v>101</v>
      </c>
      <c r="R24" s="16"/>
      <c r="S24" s="16"/>
      <c r="T24" s="16"/>
      <c r="U24" s="16">
        <v>43856</v>
      </c>
      <c r="V24" s="16">
        <v>44227</v>
      </c>
      <c r="W24" s="16">
        <v>44591</v>
      </c>
      <c r="X24" s="16">
        <v>44955</v>
      </c>
      <c r="Y24" s="16">
        <v>45319</v>
      </c>
      <c r="Z24" s="16"/>
      <c r="AA24" s="16"/>
      <c r="AB24" s="16"/>
      <c r="AC24" s="16">
        <f>EOMONTH(Y24,12)</f>
        <v>45688</v>
      </c>
      <c r="AD24" s="16">
        <f>EOMONTH(AC24,12)</f>
        <v>46053</v>
      </c>
      <c r="AE24" s="16">
        <f t="shared" ref="AE24" si="32">EOMONTH(AD24,12)</f>
        <v>46418</v>
      </c>
    </row>
    <row r="25" spans="2:31" x14ac:dyDescent="0.25">
      <c r="B25" s="2" t="s">
        <v>144</v>
      </c>
      <c r="C25" s="1"/>
      <c r="D25" s="1"/>
      <c r="E25" s="1"/>
      <c r="F25" s="3"/>
      <c r="H25" s="2" t="s">
        <v>14</v>
      </c>
      <c r="I25" s="12"/>
      <c r="J25" s="12"/>
      <c r="K25" s="12"/>
      <c r="L25" s="17" t="s">
        <v>180</v>
      </c>
      <c r="N25" s="2" t="s">
        <v>65</v>
      </c>
      <c r="O25" s="12"/>
      <c r="P25" s="12"/>
      <c r="Q25" s="28" t="s">
        <v>111</v>
      </c>
      <c r="R25" s="28" t="s">
        <v>110</v>
      </c>
      <c r="S25" s="28" t="s">
        <v>109</v>
      </c>
      <c r="T25" s="28" t="s">
        <v>108</v>
      </c>
      <c r="U25" s="28" t="s">
        <v>67</v>
      </c>
      <c r="V25" s="28" t="s">
        <v>68</v>
      </c>
      <c r="W25" s="28" t="s">
        <v>69</v>
      </c>
      <c r="X25" s="28" t="s">
        <v>66</v>
      </c>
      <c r="Y25" s="28" t="s">
        <v>146</v>
      </c>
      <c r="Z25" s="5" t="s">
        <v>30</v>
      </c>
      <c r="AA25" s="5" t="s">
        <v>157</v>
      </c>
      <c r="AB25" s="17" t="s">
        <v>70</v>
      </c>
      <c r="AC25" s="49" t="s">
        <v>158</v>
      </c>
      <c r="AD25" s="49" t="s">
        <v>159</v>
      </c>
      <c r="AE25" s="49" t="s">
        <v>160</v>
      </c>
    </row>
    <row r="26" spans="2:31" x14ac:dyDescent="0.25">
      <c r="B26" t="s">
        <v>0</v>
      </c>
      <c r="F26" s="4" t="s">
        <v>10</v>
      </c>
      <c r="H26" t="s">
        <v>37</v>
      </c>
      <c r="L26" s="18">
        <v>7280</v>
      </c>
      <c r="N26" s="19" t="s">
        <v>15</v>
      </c>
      <c r="O26" s="19"/>
      <c r="P26" s="19"/>
      <c r="Q26" s="19"/>
      <c r="R26" s="22"/>
      <c r="S26" s="22"/>
      <c r="T26" s="22"/>
      <c r="U26" s="22">
        <v>10918</v>
      </c>
      <c r="V26" s="22">
        <v>16675</v>
      </c>
      <c r="W26" s="22">
        <v>26914</v>
      </c>
      <c r="X26" s="22">
        <v>26974</v>
      </c>
      <c r="Y26" s="22">
        <v>60922</v>
      </c>
      <c r="Z26" s="22"/>
      <c r="AA26" s="22"/>
      <c r="AB26" s="22"/>
      <c r="AC26" s="22">
        <v>105492</v>
      </c>
      <c r="AD26" s="22">
        <v>111587</v>
      </c>
      <c r="AE26" s="22">
        <v>130967</v>
      </c>
    </row>
    <row r="27" spans="2:31" x14ac:dyDescent="0.25">
      <c r="B27" t="s">
        <v>1</v>
      </c>
      <c r="F27" s="4" t="s">
        <v>11</v>
      </c>
      <c r="H27" t="s">
        <v>38</v>
      </c>
      <c r="L27" s="18">
        <v>18704</v>
      </c>
      <c r="N27" s="14" t="s">
        <v>16</v>
      </c>
      <c r="O27" s="14"/>
      <c r="P27" s="14"/>
      <c r="Q27" s="14"/>
      <c r="R27" s="18"/>
      <c r="S27" s="18"/>
      <c r="T27" s="18"/>
      <c r="U27" s="18">
        <v>4150</v>
      </c>
      <c r="V27" s="18">
        <v>6279</v>
      </c>
      <c r="W27" s="18">
        <v>9439</v>
      </c>
      <c r="X27" s="18">
        <v>11618</v>
      </c>
      <c r="Y27" s="18">
        <v>16621</v>
      </c>
      <c r="Z27" s="18"/>
      <c r="AA27" s="18"/>
      <c r="AB27" s="18"/>
      <c r="AC27" s="18"/>
      <c r="AD27" s="18"/>
      <c r="AE27" s="18"/>
    </row>
    <row r="28" spans="2:31" x14ac:dyDescent="0.25">
      <c r="B28" t="s">
        <v>2</v>
      </c>
      <c r="F28" s="6">
        <v>45532</v>
      </c>
      <c r="H28" t="s">
        <v>39</v>
      </c>
      <c r="L28" s="18">
        <v>9999</v>
      </c>
      <c r="N28" s="19" t="s">
        <v>17</v>
      </c>
      <c r="O28" s="19"/>
      <c r="P28" s="19"/>
      <c r="Q28" s="19"/>
      <c r="R28" s="22">
        <f t="shared" ref="R28" si="33">R26-R27</f>
        <v>0</v>
      </c>
      <c r="S28" s="22">
        <f t="shared" ref="S28" si="34">S26-S27</f>
        <v>0</v>
      </c>
      <c r="T28" s="22">
        <f t="shared" ref="T28" si="35">T26-T27</f>
        <v>0</v>
      </c>
      <c r="U28" s="22">
        <f t="shared" ref="U28" si="36">U26-U27</f>
        <v>6768</v>
      </c>
      <c r="V28" s="22">
        <f>V26-V27</f>
        <v>10396</v>
      </c>
      <c r="W28" s="22">
        <f t="shared" ref="W28:AB28" si="37">W26-W27</f>
        <v>17475</v>
      </c>
      <c r="X28" s="22">
        <f t="shared" si="37"/>
        <v>15356</v>
      </c>
      <c r="Y28" s="22">
        <f t="shared" si="37"/>
        <v>44301</v>
      </c>
      <c r="Z28" s="22">
        <f t="shared" si="37"/>
        <v>0</v>
      </c>
      <c r="AA28" s="22">
        <f t="shared" si="37"/>
        <v>0</v>
      </c>
      <c r="AB28" s="22">
        <f t="shared" si="37"/>
        <v>0</v>
      </c>
      <c r="AC28" s="22">
        <v>79214</v>
      </c>
      <c r="AD28" s="22">
        <v>81924</v>
      </c>
      <c r="AE28" s="22">
        <v>93714</v>
      </c>
    </row>
    <row r="29" spans="2:31" x14ac:dyDescent="0.25">
      <c r="B29" t="s">
        <v>3</v>
      </c>
      <c r="F29" s="7">
        <v>126.34</v>
      </c>
      <c r="H29" t="s">
        <v>40</v>
      </c>
      <c r="L29" s="18">
        <v>5282</v>
      </c>
      <c r="N29" s="14" t="s">
        <v>18</v>
      </c>
      <c r="O29" s="14"/>
      <c r="P29" s="14"/>
      <c r="Q29" s="14"/>
      <c r="R29" s="18"/>
      <c r="S29" s="18"/>
      <c r="T29" s="18"/>
      <c r="U29" s="18">
        <v>2829</v>
      </c>
      <c r="V29" s="18">
        <v>3924</v>
      </c>
      <c r="W29" s="18">
        <v>5268</v>
      </c>
      <c r="X29" s="18">
        <v>7339</v>
      </c>
      <c r="Y29" s="18">
        <v>8675</v>
      </c>
      <c r="Z29" s="18"/>
      <c r="AA29" s="18"/>
      <c r="AB29" s="18"/>
      <c r="AC29" s="18"/>
      <c r="AD29" s="18"/>
      <c r="AE29" s="18"/>
    </row>
    <row r="30" spans="2:31" x14ac:dyDescent="0.25">
      <c r="B30" t="s">
        <v>4</v>
      </c>
      <c r="F30" s="7">
        <v>140</v>
      </c>
      <c r="H30" t="s">
        <v>41</v>
      </c>
      <c r="L30" s="18">
        <v>3080</v>
      </c>
      <c r="N30" s="14" t="s">
        <v>19</v>
      </c>
      <c r="O30" s="14"/>
      <c r="P30" s="14"/>
      <c r="Q30" s="14"/>
      <c r="R30" s="18"/>
      <c r="S30" s="18"/>
      <c r="T30" s="18"/>
      <c r="U30" s="18">
        <v>1093</v>
      </c>
      <c r="V30" s="18">
        <v>1940</v>
      </c>
      <c r="W30" s="18">
        <v>2166</v>
      </c>
      <c r="X30" s="18">
        <v>2440</v>
      </c>
      <c r="Y30" s="18">
        <v>2654</v>
      </c>
      <c r="Z30" s="18"/>
      <c r="AA30" s="18"/>
      <c r="AB30" s="18"/>
      <c r="AC30" s="18"/>
      <c r="AD30" s="18"/>
      <c r="AE30" s="18"/>
    </row>
    <row r="31" spans="2:31" x14ac:dyDescent="0.25">
      <c r="B31" t="s">
        <v>5</v>
      </c>
      <c r="F31" s="8">
        <f>F29/F30</f>
        <v>0.90242857142857147</v>
      </c>
      <c r="H31" s="15" t="s">
        <v>42</v>
      </c>
      <c r="I31" s="15"/>
      <c r="J31" s="15"/>
      <c r="K31" s="15"/>
      <c r="L31" s="21">
        <f>SUM(L26:L30)</f>
        <v>44345</v>
      </c>
      <c r="N31" s="14" t="s">
        <v>20</v>
      </c>
      <c r="O31" s="14"/>
      <c r="P31" s="14"/>
      <c r="Q31" s="14"/>
      <c r="R31" s="18"/>
      <c r="S31" s="18"/>
      <c r="T31" s="18"/>
      <c r="U31" s="18">
        <v>0</v>
      </c>
      <c r="V31" s="18">
        <v>0</v>
      </c>
      <c r="W31" s="18">
        <v>0</v>
      </c>
      <c r="X31" s="18">
        <v>1353</v>
      </c>
      <c r="Y31" s="18">
        <v>0</v>
      </c>
      <c r="Z31" s="18"/>
      <c r="AA31" s="18"/>
      <c r="AB31" s="18"/>
      <c r="AC31" s="18"/>
      <c r="AD31" s="18"/>
      <c r="AE31" s="18"/>
    </row>
    <row r="32" spans="2:31" x14ac:dyDescent="0.25">
      <c r="B32" t="s">
        <v>6</v>
      </c>
      <c r="F32" s="8">
        <f>F29/495.2-1</f>
        <v>-0.74487075928917612</v>
      </c>
      <c r="N32" s="14" t="s">
        <v>21</v>
      </c>
      <c r="O32" s="14"/>
      <c r="P32" s="14"/>
      <c r="Q32" s="14"/>
      <c r="R32" s="18">
        <f t="shared" ref="R32" si="38">SUM(R29:R31)</f>
        <v>0</v>
      </c>
      <c r="S32" s="18">
        <f t="shared" ref="S32" si="39">SUM(S29:S31)</f>
        <v>0</v>
      </c>
      <c r="T32" s="18">
        <f t="shared" ref="T32" si="40">SUM(T29:T31)</f>
        <v>0</v>
      </c>
      <c r="U32" s="18">
        <f t="shared" ref="U32" si="41">SUM(U29:U31)</f>
        <v>3922</v>
      </c>
      <c r="V32" s="18">
        <f>SUM(V29:V31)</f>
        <v>5864</v>
      </c>
      <c r="W32" s="18">
        <f t="shared" ref="W32:X32" si="42">SUM(W29:W31)</f>
        <v>7434</v>
      </c>
      <c r="X32" s="18">
        <f t="shared" si="42"/>
        <v>11132</v>
      </c>
      <c r="Y32" s="18">
        <f t="shared" ref="Y32" si="43">SUM(Y29:Y31)</f>
        <v>11329</v>
      </c>
      <c r="Z32" s="18">
        <f t="shared" ref="Z32" si="44">SUM(Z29:Z31)</f>
        <v>0</v>
      </c>
      <c r="AA32" s="18">
        <f t="shared" ref="AA32" si="45">SUM(AA29:AA31)</f>
        <v>0</v>
      </c>
      <c r="AB32" s="18">
        <f t="shared" ref="AB32" si="46">SUM(AB29:AB31)</f>
        <v>0</v>
      </c>
      <c r="AC32" s="18"/>
      <c r="AD32" s="18"/>
      <c r="AE32" s="18"/>
    </row>
    <row r="33" spans="2:31" x14ac:dyDescent="0.25">
      <c r="B33" t="s">
        <v>7</v>
      </c>
      <c r="F33" s="9">
        <v>2.9</v>
      </c>
      <c r="H33" t="s">
        <v>43</v>
      </c>
      <c r="L33" s="18">
        <v>3914</v>
      </c>
      <c r="N33" s="19" t="s">
        <v>22</v>
      </c>
      <c r="O33" s="19"/>
      <c r="P33" s="19"/>
      <c r="Q33" s="19"/>
      <c r="R33" s="22">
        <f t="shared" ref="R33" si="47">R28-R32</f>
        <v>0</v>
      </c>
      <c r="S33" s="22">
        <f t="shared" ref="S33" si="48">S28-S32</f>
        <v>0</v>
      </c>
      <c r="T33" s="22">
        <f t="shared" ref="T33" si="49">T28-T32</f>
        <v>0</v>
      </c>
      <c r="U33" s="22">
        <f t="shared" ref="U33" si="50">U28-U32</f>
        <v>2846</v>
      </c>
      <c r="V33" s="22">
        <f>V28-V32</f>
        <v>4532</v>
      </c>
      <c r="W33" s="22">
        <f t="shared" ref="W33:X33" si="51">W28-W32</f>
        <v>10041</v>
      </c>
      <c r="X33" s="22">
        <f t="shared" si="51"/>
        <v>4224</v>
      </c>
      <c r="Y33" s="22">
        <f t="shared" ref="Y33" si="52">Y28-Y32</f>
        <v>32972</v>
      </c>
      <c r="Z33" s="22">
        <f t="shared" ref="Z33" si="53">Z28-Z32</f>
        <v>0</v>
      </c>
      <c r="AA33" s="22">
        <f t="shared" ref="AA33" si="54">AA28-AA32</f>
        <v>0</v>
      </c>
      <c r="AB33" s="22">
        <f t="shared" ref="AB33" si="55">AB28-AB32</f>
        <v>0</v>
      </c>
      <c r="AC33" s="22">
        <v>63965</v>
      </c>
      <c r="AD33" s="22">
        <v>63725</v>
      </c>
      <c r="AE33" s="22">
        <v>72964</v>
      </c>
    </row>
    <row r="34" spans="2:31" x14ac:dyDescent="0.25">
      <c r="B34" t="s">
        <v>8</v>
      </c>
      <c r="F34" s="10">
        <f>2460*10</f>
        <v>24600</v>
      </c>
      <c r="H34" t="s">
        <v>44</v>
      </c>
      <c r="L34" s="18">
        <v>1346</v>
      </c>
      <c r="N34" s="14" t="s">
        <v>23</v>
      </c>
      <c r="O34" s="14"/>
      <c r="P34" s="14"/>
      <c r="Q34" s="14"/>
      <c r="R34" s="18"/>
      <c r="S34" s="18"/>
      <c r="T34" s="18"/>
      <c r="U34" s="18">
        <v>178</v>
      </c>
      <c r="V34" s="18">
        <v>57</v>
      </c>
      <c r="W34" s="18">
        <v>29</v>
      </c>
      <c r="X34" s="18">
        <v>267</v>
      </c>
      <c r="Y34" s="18">
        <v>866</v>
      </c>
      <c r="Z34" s="18"/>
      <c r="AA34" s="18"/>
      <c r="AB34" s="18"/>
      <c r="AC34" s="18"/>
      <c r="AD34" s="18"/>
      <c r="AE34" s="18"/>
    </row>
    <row r="35" spans="2:31" x14ac:dyDescent="0.25">
      <c r="B35" t="s">
        <v>9</v>
      </c>
      <c r="F35" s="10"/>
      <c r="H35" t="s">
        <v>45</v>
      </c>
      <c r="L35" s="18">
        <v>4430</v>
      </c>
      <c r="N35" s="14" t="s">
        <v>24</v>
      </c>
      <c r="O35" s="14"/>
      <c r="P35" s="14"/>
      <c r="Q35" s="14"/>
      <c r="R35" s="18"/>
      <c r="S35" s="18"/>
      <c r="T35" s="18"/>
      <c r="U35" s="18">
        <v>-52</v>
      </c>
      <c r="V35" s="18">
        <v>-184</v>
      </c>
      <c r="W35" s="18">
        <v>-236</v>
      </c>
      <c r="X35" s="18">
        <v>-262</v>
      </c>
      <c r="Y35" s="18">
        <v>-257</v>
      </c>
      <c r="Z35" s="18"/>
      <c r="AA35" s="18"/>
      <c r="AB35" s="18"/>
      <c r="AC35" s="18"/>
      <c r="AD35" s="18"/>
      <c r="AE35" s="18"/>
    </row>
    <row r="36" spans="2:31" x14ac:dyDescent="0.25">
      <c r="H36" t="s">
        <v>46</v>
      </c>
      <c r="L36" s="18">
        <v>1112</v>
      </c>
      <c r="N36" s="14" t="s">
        <v>25</v>
      </c>
      <c r="O36" s="14"/>
      <c r="P36" s="14"/>
      <c r="Q36" s="14"/>
      <c r="R36" s="18"/>
      <c r="S36" s="18"/>
      <c r="T36" s="18"/>
      <c r="U36" s="18">
        <v>-4</v>
      </c>
      <c r="V36" s="18">
        <v>4</v>
      </c>
      <c r="W36" s="18">
        <v>107</v>
      </c>
      <c r="X36" s="18">
        <v>-48</v>
      </c>
      <c r="Y36" s="18">
        <v>237</v>
      </c>
      <c r="Z36" s="18"/>
      <c r="AA36" s="18"/>
      <c r="AB36" s="18"/>
      <c r="AC36" s="18"/>
      <c r="AD36" s="18"/>
      <c r="AE36" s="18"/>
    </row>
    <row r="37" spans="2:31" x14ac:dyDescent="0.25">
      <c r="B37" s="15" t="s">
        <v>12</v>
      </c>
      <c r="F37" s="22">
        <f>F29*F34</f>
        <v>3107964</v>
      </c>
      <c r="H37" t="s">
        <v>47</v>
      </c>
      <c r="L37" s="18">
        <v>6081</v>
      </c>
      <c r="N37" s="14" t="s">
        <v>26</v>
      </c>
      <c r="O37" s="14"/>
      <c r="P37" s="14"/>
      <c r="Q37" s="14"/>
      <c r="R37" s="18">
        <f t="shared" ref="R37:T37" si="56">SUM(R34:R36)</f>
        <v>0</v>
      </c>
      <c r="S37" s="18">
        <f t="shared" si="56"/>
        <v>0</v>
      </c>
      <c r="T37" s="18">
        <f t="shared" si="56"/>
        <v>0</v>
      </c>
      <c r="U37" s="18">
        <f>SUM(U34:U36)</f>
        <v>122</v>
      </c>
      <c r="V37" s="18">
        <f>SUM(V34:V36)</f>
        <v>-123</v>
      </c>
      <c r="W37" s="18">
        <f t="shared" ref="W37:AB37" si="57">SUM(W34:W36)</f>
        <v>-100</v>
      </c>
      <c r="X37" s="18">
        <f t="shared" si="57"/>
        <v>-43</v>
      </c>
      <c r="Y37" s="18">
        <f t="shared" ref="Y37" si="58">SUM(Y34:Y36)</f>
        <v>846</v>
      </c>
      <c r="Z37" s="18">
        <f t="shared" si="57"/>
        <v>0</v>
      </c>
      <c r="AA37" s="18">
        <f t="shared" si="57"/>
        <v>0</v>
      </c>
      <c r="AB37" s="18">
        <f t="shared" si="57"/>
        <v>0</v>
      </c>
      <c r="AC37" s="18"/>
      <c r="AD37" s="18"/>
      <c r="AE37" s="18"/>
    </row>
    <row r="38" spans="2:31" x14ac:dyDescent="0.25">
      <c r="H38" t="s">
        <v>48</v>
      </c>
      <c r="L38" s="18">
        <v>4500</v>
      </c>
      <c r="N38" s="14" t="s">
        <v>27</v>
      </c>
      <c r="O38" s="14"/>
      <c r="P38" s="14"/>
      <c r="Q38" s="14"/>
      <c r="R38" s="18">
        <f t="shared" ref="R38" si="59">R33+R37</f>
        <v>0</v>
      </c>
      <c r="S38" s="18">
        <f t="shared" ref="S38" si="60">S33+S37</f>
        <v>0</v>
      </c>
      <c r="T38" s="18">
        <f t="shared" ref="T38" si="61">T33+T37</f>
        <v>0</v>
      </c>
      <c r="U38" s="18">
        <f t="shared" ref="U38" si="62">U33+U37</f>
        <v>2968</v>
      </c>
      <c r="V38" s="18">
        <f>V33+V37</f>
        <v>4409</v>
      </c>
      <c r="W38" s="18">
        <f t="shared" ref="W38:AB38" si="63">W33+W37</f>
        <v>9941</v>
      </c>
      <c r="X38" s="18">
        <f t="shared" si="63"/>
        <v>4181</v>
      </c>
      <c r="Y38" s="18">
        <f t="shared" ref="Y38" si="64">Y33+Y37</f>
        <v>33818</v>
      </c>
      <c r="Z38" s="18">
        <f t="shared" si="63"/>
        <v>0</v>
      </c>
      <c r="AA38" s="18">
        <f t="shared" si="63"/>
        <v>0</v>
      </c>
      <c r="AB38" s="18">
        <f t="shared" si="63"/>
        <v>0</v>
      </c>
      <c r="AC38" s="18"/>
      <c r="AD38" s="18"/>
      <c r="AE38" s="18"/>
    </row>
    <row r="39" spans="2:31" x14ac:dyDescent="0.25">
      <c r="B39" t="s">
        <v>13</v>
      </c>
      <c r="F39" s="11"/>
      <c r="H39" s="15" t="s">
        <v>49</v>
      </c>
      <c r="I39" s="15"/>
      <c r="J39" s="15"/>
      <c r="K39" s="15"/>
      <c r="L39" s="21">
        <f>SUM(L33:L38)+L31</f>
        <v>65728</v>
      </c>
      <c r="N39" s="14" t="s">
        <v>100</v>
      </c>
      <c r="O39" s="14"/>
      <c r="P39" s="14"/>
      <c r="Q39" s="14"/>
      <c r="R39" s="18"/>
      <c r="S39" s="18"/>
      <c r="T39" s="18"/>
      <c r="U39" s="18">
        <v>174</v>
      </c>
      <c r="V39" s="18">
        <v>77</v>
      </c>
      <c r="W39" s="18">
        <v>189</v>
      </c>
      <c r="X39" s="18">
        <v>-187</v>
      </c>
      <c r="Y39" s="18">
        <v>4058</v>
      </c>
      <c r="Z39" s="18"/>
      <c r="AA39" s="18"/>
      <c r="AB39" s="18"/>
      <c r="AC39" s="18"/>
      <c r="AD39" s="18"/>
      <c r="AE39" s="18"/>
    </row>
    <row r="40" spans="2:31" x14ac:dyDescent="0.25">
      <c r="N40" s="19" t="s">
        <v>29</v>
      </c>
      <c r="O40" s="19"/>
      <c r="P40" s="19"/>
      <c r="Q40" s="19"/>
      <c r="R40" s="22">
        <f t="shared" ref="R40:T40" si="65">R38-R39</f>
        <v>0</v>
      </c>
      <c r="S40" s="22">
        <f t="shared" si="65"/>
        <v>0</v>
      </c>
      <c r="T40" s="22">
        <f t="shared" si="65"/>
        <v>0</v>
      </c>
      <c r="U40" s="22">
        <f>U38-U39</f>
        <v>2794</v>
      </c>
      <c r="V40" s="22">
        <f>V38-V39</f>
        <v>4332</v>
      </c>
      <c r="W40" s="22">
        <f t="shared" ref="W40:AB40" si="66">W38-W39</f>
        <v>9752</v>
      </c>
      <c r="X40" s="22">
        <f t="shared" si="66"/>
        <v>4368</v>
      </c>
      <c r="Y40" s="22">
        <f t="shared" si="66"/>
        <v>29760</v>
      </c>
      <c r="Z40" s="22">
        <f t="shared" si="66"/>
        <v>0</v>
      </c>
      <c r="AA40" s="22">
        <f t="shared" si="66"/>
        <v>0</v>
      </c>
      <c r="AB40" s="22">
        <f t="shared" si="66"/>
        <v>0</v>
      </c>
      <c r="AC40" s="22">
        <v>54448</v>
      </c>
      <c r="AD40" s="22">
        <v>55614</v>
      </c>
      <c r="AE40" s="22">
        <v>63630</v>
      </c>
    </row>
    <row r="41" spans="2:31" x14ac:dyDescent="0.25">
      <c r="H41" t="s">
        <v>50</v>
      </c>
      <c r="L41" s="18">
        <v>2699</v>
      </c>
    </row>
    <row r="42" spans="2:31" x14ac:dyDescent="0.25">
      <c r="B42" s="2" t="s">
        <v>74</v>
      </c>
      <c r="C42" s="12"/>
      <c r="D42" s="12"/>
      <c r="E42" s="12"/>
      <c r="F42" s="55">
        <f>F37</f>
        <v>3107964</v>
      </c>
      <c r="H42" t="s">
        <v>51</v>
      </c>
      <c r="L42" s="18">
        <v>6682</v>
      </c>
      <c r="N42" s="14" t="s">
        <v>91</v>
      </c>
      <c r="O42" s="14"/>
      <c r="P42" s="14"/>
      <c r="Q42" s="14"/>
      <c r="R42" s="18"/>
      <c r="S42" s="18"/>
      <c r="T42" s="18"/>
      <c r="U42" s="18">
        <v>381</v>
      </c>
      <c r="V42" s="18">
        <v>1098</v>
      </c>
      <c r="W42" s="18">
        <v>1174</v>
      </c>
      <c r="X42" s="18">
        <v>1544</v>
      </c>
      <c r="Y42" s="18">
        <v>1508</v>
      </c>
      <c r="Z42" s="18"/>
      <c r="AA42" s="18"/>
      <c r="AB42" s="18"/>
      <c r="AC42" s="18">
        <v>2933</v>
      </c>
      <c r="AD42" s="18">
        <v>3343</v>
      </c>
      <c r="AE42">
        <v>4533</v>
      </c>
    </row>
    <row r="43" spans="2:31" x14ac:dyDescent="0.25">
      <c r="B43" t="s">
        <v>137</v>
      </c>
      <c r="F43" s="18">
        <f>-L26</f>
        <v>-7280</v>
      </c>
      <c r="H43" t="s">
        <v>52</v>
      </c>
      <c r="L43" s="18">
        <v>1250</v>
      </c>
      <c r="N43" s="19" t="s">
        <v>92</v>
      </c>
      <c r="O43" s="19"/>
      <c r="P43" s="19"/>
      <c r="Q43" s="19"/>
      <c r="R43" s="22"/>
      <c r="S43" s="22"/>
      <c r="T43" s="22"/>
      <c r="U43" s="22">
        <f t="shared" ref="U43:W43" si="67">U33+U42</f>
        <v>3227</v>
      </c>
      <c r="V43" s="22">
        <f t="shared" si="67"/>
        <v>5630</v>
      </c>
      <c r="W43" s="22">
        <f t="shared" si="67"/>
        <v>11215</v>
      </c>
      <c r="X43" s="22">
        <f>X33+X42</f>
        <v>5768</v>
      </c>
      <c r="Y43" s="22">
        <f t="shared" ref="Y43" si="68">Y33+Y42</f>
        <v>34480</v>
      </c>
      <c r="Z43" s="22"/>
      <c r="AA43" s="22"/>
      <c r="AB43" s="22"/>
      <c r="AC43" s="22">
        <f t="shared" ref="AC43" si="69">AC33+AC42</f>
        <v>66898</v>
      </c>
      <c r="AD43" s="22">
        <f t="shared" ref="AD43" si="70">AD33+AD42</f>
        <v>67068</v>
      </c>
      <c r="AE43" s="22">
        <f t="shared" ref="AE43" si="71">AE33+AE42</f>
        <v>77497</v>
      </c>
    </row>
    <row r="44" spans="2:31" x14ac:dyDescent="0.25">
      <c r="B44" t="s">
        <v>138</v>
      </c>
      <c r="F44" s="18">
        <f t="shared" ref="F44" si="72">-L27</f>
        <v>-18704</v>
      </c>
      <c r="H44" s="15" t="s">
        <v>53</v>
      </c>
      <c r="I44" s="15"/>
      <c r="J44" s="15"/>
      <c r="K44" s="15"/>
      <c r="L44" s="21">
        <f>SUM(L41:L43)</f>
        <v>10631</v>
      </c>
      <c r="N44" s="24" t="s">
        <v>80</v>
      </c>
      <c r="O44" s="24"/>
      <c r="P44" s="24"/>
      <c r="Q44" s="24"/>
      <c r="R44" s="27" t="e">
        <f t="shared" ref="R44:W44" si="73">R43/R26</f>
        <v>#DIV/0!</v>
      </c>
      <c r="S44" s="27" t="e">
        <f t="shared" si="73"/>
        <v>#DIV/0!</v>
      </c>
      <c r="T44" s="27" t="e">
        <f t="shared" si="73"/>
        <v>#DIV/0!</v>
      </c>
      <c r="U44" s="27">
        <f t="shared" si="73"/>
        <v>0.29556695365451546</v>
      </c>
      <c r="V44" s="27">
        <f t="shared" si="73"/>
        <v>0.3376311844077961</v>
      </c>
      <c r="W44" s="27">
        <f t="shared" si="73"/>
        <v>0.41669762948651262</v>
      </c>
      <c r="X44" s="27">
        <f>X43/X26</f>
        <v>0.21383554533995699</v>
      </c>
      <c r="Y44" s="27">
        <f t="shared" ref="Y44" si="74">Y43/Y26</f>
        <v>0.56596960047273559</v>
      </c>
      <c r="Z44" s="27"/>
      <c r="AA44" s="27"/>
      <c r="AB44" s="27"/>
      <c r="AC44" s="27">
        <f t="shared" ref="AC44:AE44" si="75">AC43/AC26</f>
        <v>0.63415235278504534</v>
      </c>
      <c r="AD44" s="27">
        <f t="shared" si="75"/>
        <v>0.60103775529407544</v>
      </c>
      <c r="AE44" s="27">
        <f t="shared" si="75"/>
        <v>0.59172921422953872</v>
      </c>
    </row>
    <row r="45" spans="2:31" x14ac:dyDescent="0.25">
      <c r="B45" t="s">
        <v>139</v>
      </c>
      <c r="F45" s="18">
        <f>L43+L46</f>
        <v>9709</v>
      </c>
    </row>
    <row r="46" spans="2:31" x14ac:dyDescent="0.25">
      <c r="B46" t="s">
        <v>140</v>
      </c>
      <c r="F46" s="18">
        <f>L47</f>
        <v>1119</v>
      </c>
      <c r="H46" t="s">
        <v>54</v>
      </c>
      <c r="L46" s="18">
        <v>8459</v>
      </c>
      <c r="N46" s="14" t="s">
        <v>93</v>
      </c>
      <c r="O46" s="14"/>
      <c r="P46" s="14"/>
      <c r="Q46" s="14"/>
      <c r="R46" s="18"/>
      <c r="S46" s="18"/>
      <c r="T46" s="18"/>
      <c r="U46" s="18">
        <v>844</v>
      </c>
      <c r="V46" s="18">
        <v>1397</v>
      </c>
      <c r="W46" s="18">
        <v>2004</v>
      </c>
      <c r="X46" s="18">
        <v>2709</v>
      </c>
      <c r="Y46" s="18">
        <v>3549</v>
      </c>
      <c r="Z46" s="18"/>
      <c r="AA46" s="18"/>
      <c r="AB46" s="18"/>
      <c r="AC46" s="18">
        <v>4435</v>
      </c>
      <c r="AD46" s="18">
        <v>5263</v>
      </c>
      <c r="AE46">
        <v>5973</v>
      </c>
    </row>
    <row r="47" spans="2:31" x14ac:dyDescent="0.25">
      <c r="B47" s="2" t="s">
        <v>141</v>
      </c>
      <c r="C47" s="12"/>
      <c r="D47" s="12"/>
      <c r="E47" s="12"/>
      <c r="F47" s="55">
        <f>SUM(F42:F46)</f>
        <v>3092808</v>
      </c>
      <c r="H47" t="s">
        <v>55</v>
      </c>
      <c r="L47" s="18">
        <v>1119</v>
      </c>
    </row>
    <row r="48" spans="2:31" x14ac:dyDescent="0.25">
      <c r="H48" t="s">
        <v>56</v>
      </c>
      <c r="L48" s="18">
        <v>2541</v>
      </c>
      <c r="N48" s="14" t="s">
        <v>82</v>
      </c>
      <c r="O48" s="14"/>
      <c r="P48" s="14"/>
      <c r="Q48" s="14"/>
      <c r="R48" s="18"/>
      <c r="S48" s="18"/>
      <c r="T48" s="18"/>
      <c r="U48" s="18">
        <v>4761</v>
      </c>
      <c r="V48" s="18">
        <v>5822</v>
      </c>
      <c r="W48" s="18">
        <v>9108</v>
      </c>
      <c r="X48" s="18">
        <v>5641</v>
      </c>
      <c r="Y48" s="18">
        <v>28090</v>
      </c>
      <c r="Z48" s="18"/>
      <c r="AA48" s="18"/>
      <c r="AB48" s="18"/>
      <c r="AC48">
        <v>57235</v>
      </c>
      <c r="AD48">
        <v>63310</v>
      </c>
      <c r="AE48">
        <v>70951</v>
      </c>
    </row>
    <row r="49" spans="2:31" x14ac:dyDescent="0.25">
      <c r="B49" t="s">
        <v>165</v>
      </c>
      <c r="F49" s="18">
        <f>-SUM(F43:F44)</f>
        <v>25984</v>
      </c>
      <c r="H49" s="15" t="s">
        <v>57</v>
      </c>
      <c r="I49" s="15"/>
      <c r="J49" s="15"/>
      <c r="K49" s="15"/>
      <c r="L49" s="21">
        <f>SUM(L46:L48)+L44</f>
        <v>22750</v>
      </c>
      <c r="N49" s="14" t="s">
        <v>83</v>
      </c>
      <c r="O49" s="14"/>
      <c r="P49" s="14"/>
      <c r="Q49" s="14"/>
      <c r="R49" s="18"/>
      <c r="S49" s="18"/>
      <c r="T49" s="18"/>
      <c r="U49" s="18">
        <f>-489-4</f>
        <v>-493</v>
      </c>
      <c r="V49" s="18">
        <f>-1128-8524</f>
        <v>-9652</v>
      </c>
      <c r="W49" s="18">
        <f>-976-263</f>
        <v>-1239</v>
      </c>
      <c r="X49" s="18">
        <f>-1833-49</f>
        <v>-1882</v>
      </c>
      <c r="Y49" s="18">
        <f>-1069-83</f>
        <v>-1152</v>
      </c>
      <c r="Z49" s="18"/>
      <c r="AA49" s="18"/>
      <c r="AB49" s="18"/>
      <c r="AC49">
        <v>-3241</v>
      </c>
      <c r="AD49">
        <v>-4463</v>
      </c>
      <c r="AE49">
        <v>-5239</v>
      </c>
    </row>
    <row r="50" spans="2:31" x14ac:dyDescent="0.25">
      <c r="B50" t="s">
        <v>166</v>
      </c>
      <c r="F50" s="18">
        <f>SUM(F45:F46)</f>
        <v>10828</v>
      </c>
      <c r="N50" s="19" t="s">
        <v>84</v>
      </c>
      <c r="O50" s="19"/>
      <c r="P50" s="19"/>
      <c r="Q50" s="19"/>
      <c r="R50" s="22">
        <f t="shared" ref="R50:U50" si="76">SUM(R48:R49)</f>
        <v>0</v>
      </c>
      <c r="S50" s="22">
        <f t="shared" si="76"/>
        <v>0</v>
      </c>
      <c r="T50" s="22">
        <f t="shared" si="76"/>
        <v>0</v>
      </c>
      <c r="U50" s="22">
        <f t="shared" si="76"/>
        <v>4268</v>
      </c>
      <c r="V50" s="22">
        <f>SUM(V48:V49)</f>
        <v>-3830</v>
      </c>
      <c r="W50" s="22">
        <f t="shared" ref="W50:Y50" si="77">SUM(W48:W49)</f>
        <v>7869</v>
      </c>
      <c r="X50" s="22">
        <f t="shared" si="77"/>
        <v>3759</v>
      </c>
      <c r="Y50" s="22">
        <f t="shared" si="77"/>
        <v>26938</v>
      </c>
      <c r="Z50" s="22">
        <f t="shared" ref="Z50" si="78">SUM(Z48:Z49)</f>
        <v>0</v>
      </c>
      <c r="AA50" s="22">
        <f t="shared" ref="AA50" si="79">SUM(AA48:AA49)</f>
        <v>0</v>
      </c>
      <c r="AB50" s="22">
        <f t="shared" ref="AB50:AE50" si="80">SUM(AB48:AB49)</f>
        <v>0</v>
      </c>
      <c r="AC50" s="22">
        <f t="shared" si="80"/>
        <v>53994</v>
      </c>
      <c r="AD50" s="22">
        <f t="shared" si="80"/>
        <v>58847</v>
      </c>
      <c r="AE50" s="22">
        <f t="shared" si="80"/>
        <v>65712</v>
      </c>
    </row>
    <row r="51" spans="2:31" x14ac:dyDescent="0.25">
      <c r="H51" t="s">
        <v>58</v>
      </c>
      <c r="L51" s="18">
        <v>0</v>
      </c>
    </row>
    <row r="52" spans="2:31" x14ac:dyDescent="0.25">
      <c r="H52" t="s">
        <v>59</v>
      </c>
      <c r="L52" s="18">
        <v>2</v>
      </c>
    </row>
    <row r="53" spans="2:31" x14ac:dyDescent="0.25">
      <c r="H53" t="s">
        <v>60</v>
      </c>
      <c r="L53" s="18">
        <v>13132</v>
      </c>
      <c r="N53" s="24" t="s">
        <v>94</v>
      </c>
      <c r="O53" s="24"/>
      <c r="P53" s="24"/>
      <c r="Q53" s="24"/>
      <c r="R53" s="27"/>
      <c r="S53" s="27"/>
      <c r="T53" s="27"/>
      <c r="U53" s="27"/>
      <c r="V53" s="27">
        <f t="shared" ref="V53" si="81">V26/U26-1</f>
        <v>0.52729437625938824</v>
      </c>
      <c r="W53" s="27">
        <f t="shared" ref="W53" si="82">W26/V26-1</f>
        <v>0.61403298350824587</v>
      </c>
      <c r="X53" s="27">
        <f>X26/W26-1</f>
        <v>2.2293230289069932E-3</v>
      </c>
      <c r="Y53" s="27">
        <f t="shared" ref="Y53" si="83">Y26/X26-1</f>
        <v>1.2585452658115224</v>
      </c>
      <c r="Z53" s="27"/>
      <c r="AA53" s="27"/>
      <c r="AB53" s="27"/>
      <c r="AC53" s="24">
        <f>AC26/Y26-1</f>
        <v>0.7315912149962247</v>
      </c>
      <c r="AD53" s="24">
        <f>AD26/AC26-1</f>
        <v>5.7776893034542809E-2</v>
      </c>
      <c r="AE53" s="24">
        <f t="shared" ref="AE53" si="84">AE26/AD26-1</f>
        <v>0.17367614507066231</v>
      </c>
    </row>
    <row r="54" spans="2:31" x14ac:dyDescent="0.25">
      <c r="H54" t="s">
        <v>61</v>
      </c>
      <c r="L54" s="18">
        <v>27</v>
      </c>
    </row>
    <row r="55" spans="2:31" x14ac:dyDescent="0.25">
      <c r="H55" t="s">
        <v>62</v>
      </c>
      <c r="L55" s="18">
        <v>29817</v>
      </c>
      <c r="N55" s="24" t="s">
        <v>85</v>
      </c>
      <c r="O55" s="24"/>
      <c r="P55" s="24"/>
      <c r="Q55" s="24"/>
      <c r="R55" s="27" t="e">
        <f t="shared" ref="R55:U55" si="85">R28/R26</f>
        <v>#DIV/0!</v>
      </c>
      <c r="S55" s="27" t="e">
        <f t="shared" si="85"/>
        <v>#DIV/0!</v>
      </c>
      <c r="T55" s="27" t="e">
        <f t="shared" si="85"/>
        <v>#DIV/0!</v>
      </c>
      <c r="U55" s="27">
        <f t="shared" si="85"/>
        <v>0.61989375343469499</v>
      </c>
      <c r="V55" s="27">
        <f t="shared" ref="V55:W55" si="86">V28/V26</f>
        <v>0.62344827586206897</v>
      </c>
      <c r="W55" s="27">
        <f t="shared" si="86"/>
        <v>0.64929033216913135</v>
      </c>
      <c r="X55" s="27">
        <f>X28/X26</f>
        <v>0.56928894490991322</v>
      </c>
      <c r="Y55" s="27">
        <f t="shared" ref="Y55" si="87">Y28/Y26</f>
        <v>0.72717573290436954</v>
      </c>
      <c r="Z55" s="27"/>
      <c r="AA55" s="27"/>
      <c r="AB55" s="27"/>
      <c r="AC55" s="27">
        <f t="shared" ref="AC55:AE55" si="88">AC28/AC26</f>
        <v>0.75090054222121105</v>
      </c>
      <c r="AD55" s="27">
        <f t="shared" si="88"/>
        <v>0.73417154328013123</v>
      </c>
      <c r="AE55" s="27">
        <f t="shared" si="88"/>
        <v>0.71555429993815234</v>
      </c>
    </row>
    <row r="56" spans="2:31" x14ac:dyDescent="0.25">
      <c r="H56" s="15" t="s">
        <v>63</v>
      </c>
      <c r="I56" s="15"/>
      <c r="J56" s="15"/>
      <c r="K56" s="15"/>
      <c r="L56" s="21">
        <f>SUM(L51:L55)</f>
        <v>42978</v>
      </c>
      <c r="N56" s="24" t="s">
        <v>86</v>
      </c>
      <c r="O56" s="24"/>
      <c r="P56" s="24"/>
      <c r="Q56" s="24"/>
      <c r="R56" s="27" t="e">
        <f t="shared" ref="R56:U56" si="89">R33/R26</f>
        <v>#DIV/0!</v>
      </c>
      <c r="S56" s="27" t="e">
        <f t="shared" si="89"/>
        <v>#DIV/0!</v>
      </c>
      <c r="T56" s="27" t="e">
        <f t="shared" si="89"/>
        <v>#DIV/0!</v>
      </c>
      <c r="U56" s="27">
        <f t="shared" si="89"/>
        <v>0.2606704524638212</v>
      </c>
      <c r="V56" s="27">
        <f t="shared" ref="V56:W56" si="90">V33/V26</f>
        <v>0.27178410794602698</v>
      </c>
      <c r="W56" s="27">
        <f t="shared" si="90"/>
        <v>0.37307720888756779</v>
      </c>
      <c r="X56" s="27">
        <f>X33/X26</f>
        <v>0.1565952398606065</v>
      </c>
      <c r="Y56" s="27">
        <f t="shared" ref="Y56" si="91">Y33/Y26</f>
        <v>0.54121663766783756</v>
      </c>
      <c r="Z56" s="27"/>
      <c r="AA56" s="27"/>
      <c r="AB56" s="27"/>
      <c r="AC56" s="27">
        <f t="shared" ref="AC56:AE56" si="92">AC33/AC26</f>
        <v>0.60634929662912829</v>
      </c>
      <c r="AD56" s="27">
        <f t="shared" si="92"/>
        <v>0.5710790683502559</v>
      </c>
      <c r="AE56" s="27">
        <f t="shared" si="92"/>
        <v>0.55711744179831557</v>
      </c>
    </row>
    <row r="57" spans="2:31" x14ac:dyDescent="0.25">
      <c r="N57" s="24" t="s">
        <v>87</v>
      </c>
      <c r="O57" s="24"/>
      <c r="P57" s="24"/>
      <c r="Q57" s="24"/>
      <c r="R57" s="27" t="e">
        <f t="shared" ref="R57:U57" si="93">R40/R26</f>
        <v>#DIV/0!</v>
      </c>
      <c r="S57" s="27" t="e">
        <f t="shared" si="93"/>
        <v>#DIV/0!</v>
      </c>
      <c r="T57" s="27" t="e">
        <f t="shared" si="93"/>
        <v>#DIV/0!</v>
      </c>
      <c r="U57" s="27">
        <f t="shared" si="93"/>
        <v>0.25590767539842463</v>
      </c>
      <c r="V57" s="27">
        <f t="shared" ref="V57:W57" si="94">V40/V26</f>
        <v>0.25979010494752625</v>
      </c>
      <c r="W57" s="27">
        <f t="shared" si="94"/>
        <v>0.36233930296499961</v>
      </c>
      <c r="X57" s="27">
        <f>X40/X26</f>
        <v>0.16193371394676356</v>
      </c>
      <c r="Y57" s="27">
        <f t="shared" ref="Y57" si="95">Y40/Y26</f>
        <v>0.4884934834706674</v>
      </c>
      <c r="Z57" s="27"/>
      <c r="AA57" s="27"/>
      <c r="AB57" s="27"/>
      <c r="AC57" s="27">
        <f t="shared" ref="AC57:AE57" si="96">AC40/AC26</f>
        <v>0.51613392484738174</v>
      </c>
      <c r="AD57" s="27">
        <f t="shared" si="96"/>
        <v>0.49839138967800911</v>
      </c>
      <c r="AE57" s="27">
        <f t="shared" si="96"/>
        <v>0.48584757992471383</v>
      </c>
    </row>
    <row r="58" spans="2:31" x14ac:dyDescent="0.25">
      <c r="H58" s="15" t="s">
        <v>64</v>
      </c>
      <c r="I58" s="15"/>
      <c r="J58" s="15"/>
      <c r="K58" s="15"/>
      <c r="L58" s="21">
        <f>IF(L49+L56=L39,L49+L56,"ERROR")</f>
        <v>65728</v>
      </c>
      <c r="N58" s="24" t="s">
        <v>88</v>
      </c>
      <c r="O58" s="24"/>
      <c r="P58" s="24"/>
      <c r="Q58" s="24"/>
      <c r="R58" s="27" t="e">
        <f t="shared" ref="R58:U58" si="97">R39/R38</f>
        <v>#DIV/0!</v>
      </c>
      <c r="S58" s="27" t="e">
        <f t="shared" si="97"/>
        <v>#DIV/0!</v>
      </c>
      <c r="T58" s="27" t="e">
        <f t="shared" si="97"/>
        <v>#DIV/0!</v>
      </c>
      <c r="U58" s="27">
        <f t="shared" si="97"/>
        <v>5.8625336927223722E-2</v>
      </c>
      <c r="V58" s="27">
        <f t="shared" ref="V58:W58" si="98">V39/V38</f>
        <v>1.7464277613971423E-2</v>
      </c>
      <c r="W58" s="27">
        <f t="shared" si="98"/>
        <v>1.9012171813700834E-2</v>
      </c>
      <c r="X58" s="27">
        <f>X39/X38</f>
        <v>-4.4726142071274816E-2</v>
      </c>
      <c r="Y58" s="27">
        <f t="shared" ref="Y58" si="99">Y39/Y38</f>
        <v>0.1199952687917677</v>
      </c>
      <c r="Z58" s="27"/>
      <c r="AA58" s="27"/>
      <c r="AB58" s="27"/>
      <c r="AC58" s="27"/>
      <c r="AD58" s="27"/>
      <c r="AE58" s="27"/>
    </row>
    <row r="60" spans="2:31" x14ac:dyDescent="0.25">
      <c r="N60" s="24" t="s">
        <v>95</v>
      </c>
      <c r="R60" s="33">
        <f t="shared" ref="R60:W60" si="100">0.21*R38</f>
        <v>0</v>
      </c>
      <c r="S60" s="33">
        <f t="shared" si="100"/>
        <v>0</v>
      </c>
      <c r="T60" s="33">
        <f t="shared" si="100"/>
        <v>0</v>
      </c>
      <c r="U60" s="33">
        <f t="shared" si="100"/>
        <v>623.28</v>
      </c>
      <c r="V60" s="33">
        <f t="shared" si="100"/>
        <v>925.89</v>
      </c>
      <c r="W60" s="33">
        <f t="shared" si="100"/>
        <v>2087.61</v>
      </c>
      <c r="X60" s="33">
        <f>0.21*X38</f>
        <v>878.01</v>
      </c>
      <c r="Y60" s="33">
        <f>0.21*Y38</f>
        <v>7101.78</v>
      </c>
    </row>
    <row r="61" spans="2:31" x14ac:dyDescent="0.25">
      <c r="N61" s="19" t="s">
        <v>96</v>
      </c>
      <c r="O61" s="19"/>
      <c r="P61" s="19"/>
      <c r="Q61" s="19"/>
      <c r="R61" s="22">
        <f t="shared" ref="R61:W61" si="101">R33-R60</f>
        <v>0</v>
      </c>
      <c r="S61" s="22">
        <f t="shared" si="101"/>
        <v>0</v>
      </c>
      <c r="T61" s="22">
        <f t="shared" si="101"/>
        <v>0</v>
      </c>
      <c r="U61" s="22">
        <f t="shared" si="101"/>
        <v>2222.7200000000003</v>
      </c>
      <c r="V61" s="22">
        <f t="shared" si="101"/>
        <v>3606.11</v>
      </c>
      <c r="W61" s="22">
        <f t="shared" si="101"/>
        <v>7953.3899999999994</v>
      </c>
      <c r="X61" s="22">
        <f>X33-X60</f>
        <v>3345.99</v>
      </c>
      <c r="Y61" s="22">
        <f t="shared" ref="Y61" si="102">Y33-Y60</f>
        <v>25870.22</v>
      </c>
      <c r="Z61" s="22"/>
      <c r="AA61" s="22"/>
      <c r="AB61" s="22"/>
    </row>
    <row r="62" spans="2:31" x14ac:dyDescent="0.25">
      <c r="X62" s="18"/>
      <c r="Y62" s="18"/>
    </row>
    <row r="63" spans="2:31" x14ac:dyDescent="0.25">
      <c r="N63" t="s">
        <v>97</v>
      </c>
      <c r="R63" s="18">
        <f t="shared" ref="R63:W63" si="103">R42</f>
        <v>0</v>
      </c>
      <c r="S63" s="18">
        <f t="shared" si="103"/>
        <v>0</v>
      </c>
      <c r="T63" s="18">
        <f t="shared" si="103"/>
        <v>0</v>
      </c>
      <c r="U63" s="18">
        <f t="shared" si="103"/>
        <v>381</v>
      </c>
      <c r="V63" s="18">
        <f t="shared" si="103"/>
        <v>1098</v>
      </c>
      <c r="W63" s="18">
        <f t="shared" si="103"/>
        <v>1174</v>
      </c>
      <c r="X63" s="18">
        <f>X42</f>
        <v>1544</v>
      </c>
      <c r="Y63" s="18">
        <f t="shared" ref="Y63" si="104">Y42</f>
        <v>1508</v>
      </c>
    </row>
    <row r="65" spans="6:29" s="14" customFormat="1" x14ac:dyDescent="0.25">
      <c r="F65" s="18"/>
      <c r="L65" s="18"/>
      <c r="N65" s="14" t="s">
        <v>39</v>
      </c>
      <c r="R65" s="18"/>
      <c r="S65" s="18"/>
      <c r="T65" s="18"/>
      <c r="U65" s="18">
        <v>-233</v>
      </c>
      <c r="V65" s="18">
        <v>-550</v>
      </c>
      <c r="W65" s="18">
        <v>-2215</v>
      </c>
      <c r="X65" s="18">
        <v>822</v>
      </c>
      <c r="Y65" s="18">
        <v>-6172</v>
      </c>
      <c r="Z65" s="18"/>
      <c r="AA65" s="18"/>
      <c r="AB65" s="18"/>
    </row>
    <row r="66" spans="6:29" s="14" customFormat="1" x14ac:dyDescent="0.25">
      <c r="F66" s="18"/>
      <c r="L66" s="18"/>
      <c r="N66" s="14" t="s">
        <v>40</v>
      </c>
      <c r="R66" s="18"/>
      <c r="S66" s="18"/>
      <c r="T66" s="18"/>
      <c r="U66" s="18">
        <v>597</v>
      </c>
      <c r="V66" s="18">
        <v>-524</v>
      </c>
      <c r="W66" s="18">
        <v>-774</v>
      </c>
      <c r="X66" s="18">
        <v>-2554</v>
      </c>
      <c r="Y66" s="18">
        <v>-98</v>
      </c>
      <c r="Z66" s="18"/>
      <c r="AA66" s="18"/>
      <c r="AB66" s="18"/>
    </row>
    <row r="67" spans="6:29" s="14" customFormat="1" x14ac:dyDescent="0.25">
      <c r="F67" s="18"/>
      <c r="L67" s="18"/>
      <c r="N67" s="14" t="s">
        <v>112</v>
      </c>
      <c r="R67" s="18"/>
      <c r="S67" s="18"/>
      <c r="T67" s="18"/>
      <c r="U67" s="18">
        <v>77</v>
      </c>
      <c r="V67" s="18">
        <v>-394</v>
      </c>
      <c r="W67" s="18">
        <v>-1715</v>
      </c>
      <c r="X67" s="18">
        <v>-1517</v>
      </c>
      <c r="Y67" s="18">
        <v>-1522</v>
      </c>
      <c r="Z67" s="18"/>
      <c r="AA67" s="18"/>
      <c r="AB67" s="18"/>
    </row>
    <row r="68" spans="6:29" s="14" customFormat="1" x14ac:dyDescent="0.25">
      <c r="F68" s="18"/>
      <c r="L68" s="18"/>
      <c r="N68" s="14" t="s">
        <v>113</v>
      </c>
      <c r="R68" s="18"/>
      <c r="S68" s="18"/>
      <c r="T68" s="18"/>
      <c r="U68" s="18">
        <v>194</v>
      </c>
      <c r="V68" s="18">
        <v>312</v>
      </c>
      <c r="W68" s="18">
        <v>568</v>
      </c>
      <c r="X68" s="18">
        <v>-551</v>
      </c>
      <c r="Y68" s="18">
        <v>1531</v>
      </c>
      <c r="Z68" s="18"/>
      <c r="AA68" s="18"/>
      <c r="AB68" s="18"/>
    </row>
    <row r="69" spans="6:29" s="14" customFormat="1" x14ac:dyDescent="0.25">
      <c r="F69" s="18"/>
      <c r="L69" s="18"/>
      <c r="N69" s="14" t="s">
        <v>51</v>
      </c>
      <c r="R69" s="18"/>
      <c r="S69" s="18"/>
      <c r="T69" s="18"/>
      <c r="U69" s="18">
        <v>54</v>
      </c>
      <c r="V69" s="18">
        <v>290</v>
      </c>
      <c r="W69" s="18">
        <v>581</v>
      </c>
      <c r="X69" s="18">
        <v>1341</v>
      </c>
      <c r="Y69" s="18">
        <v>2025</v>
      </c>
      <c r="Z69" s="18"/>
      <c r="AA69" s="18"/>
      <c r="AB69" s="18"/>
    </row>
    <row r="70" spans="6:29" s="14" customFormat="1" x14ac:dyDescent="0.25">
      <c r="F70" s="18"/>
      <c r="L70" s="18"/>
      <c r="N70" s="14" t="s">
        <v>114</v>
      </c>
      <c r="R70" s="18"/>
      <c r="S70" s="18"/>
      <c r="T70" s="18"/>
      <c r="U70" s="18">
        <v>28</v>
      </c>
      <c r="V70" s="18">
        <v>163</v>
      </c>
      <c r="W70" s="18">
        <v>192</v>
      </c>
      <c r="X70" s="18">
        <v>252</v>
      </c>
      <c r="Y70" s="18">
        <v>514</v>
      </c>
      <c r="Z70" s="18"/>
      <c r="AA70" s="18"/>
      <c r="AB70" s="18"/>
    </row>
    <row r="71" spans="6:29" x14ac:dyDescent="0.25">
      <c r="N71" t="s">
        <v>99</v>
      </c>
      <c r="R71" s="18">
        <f t="shared" ref="R71:U71" si="105">SUM(R65:R70)</f>
        <v>0</v>
      </c>
      <c r="S71" s="18">
        <f t="shared" si="105"/>
        <v>0</v>
      </c>
      <c r="T71" s="18">
        <f t="shared" si="105"/>
        <v>0</v>
      </c>
      <c r="U71" s="18">
        <f t="shared" si="105"/>
        <v>717</v>
      </c>
      <c r="V71" s="18">
        <f>SUM(V65:V70)</f>
        <v>-703</v>
      </c>
      <c r="W71" s="18">
        <f t="shared" ref="W71:AB71" si="106">SUM(W65:W70)</f>
        <v>-3363</v>
      </c>
      <c r="X71" s="18">
        <f t="shared" si="106"/>
        <v>-2207</v>
      </c>
      <c r="Y71" s="18">
        <f t="shared" si="106"/>
        <v>-3722</v>
      </c>
      <c r="Z71" s="18">
        <f t="shared" si="106"/>
        <v>0</v>
      </c>
      <c r="AA71" s="18">
        <f t="shared" si="106"/>
        <v>0</v>
      </c>
      <c r="AB71" s="18">
        <f t="shared" si="106"/>
        <v>0</v>
      </c>
    </row>
    <row r="74" spans="6:29" x14ac:dyDescent="0.25">
      <c r="N74" t="s">
        <v>83</v>
      </c>
      <c r="R74" s="18">
        <f t="shared" ref="R74:W74" si="107">R49</f>
        <v>0</v>
      </c>
      <c r="S74" s="18">
        <f t="shared" si="107"/>
        <v>0</v>
      </c>
      <c r="T74" s="18">
        <f t="shared" si="107"/>
        <v>0</v>
      </c>
      <c r="U74" s="18">
        <f t="shared" si="107"/>
        <v>-493</v>
      </c>
      <c r="V74" s="18">
        <f t="shared" si="107"/>
        <v>-9652</v>
      </c>
      <c r="W74" s="18">
        <f t="shared" si="107"/>
        <v>-1239</v>
      </c>
      <c r="X74" s="18">
        <f>X49</f>
        <v>-1882</v>
      </c>
      <c r="Y74" s="18">
        <f t="shared" ref="Y74" si="108">Y49</f>
        <v>-1152</v>
      </c>
    </row>
    <row r="76" spans="6:29" x14ac:dyDescent="0.25">
      <c r="N76" s="19" t="s">
        <v>98</v>
      </c>
      <c r="O76" s="19"/>
      <c r="P76" s="19"/>
      <c r="Q76" s="19"/>
      <c r="R76" s="22">
        <f t="shared" ref="R76:W76" si="109">R61+R63+R71+R74</f>
        <v>0</v>
      </c>
      <c r="S76" s="22">
        <f t="shared" si="109"/>
        <v>0</v>
      </c>
      <c r="T76" s="22">
        <f t="shared" si="109"/>
        <v>0</v>
      </c>
      <c r="U76" s="22">
        <f t="shared" si="109"/>
        <v>2827.7200000000003</v>
      </c>
      <c r="V76" s="22">
        <f t="shared" si="109"/>
        <v>-5650.8899999999994</v>
      </c>
      <c r="W76" s="22">
        <f t="shared" si="109"/>
        <v>4525.3899999999994</v>
      </c>
      <c r="X76" s="22">
        <f>X61+X63+X71+X74</f>
        <v>800.98999999999978</v>
      </c>
      <c r="Y76" s="22">
        <f t="shared" ref="Y76" si="110">Y61+Y63+Y71+Y74</f>
        <v>22504.22</v>
      </c>
      <c r="Z76" s="22"/>
      <c r="AA76" s="22"/>
      <c r="AB76" s="22"/>
      <c r="AC76" s="19"/>
    </row>
    <row r="79" spans="6:29" s="14" customFormat="1" x14ac:dyDescent="0.25">
      <c r="F79" s="18"/>
      <c r="L79" s="18"/>
      <c r="N79" s="14" t="s">
        <v>162</v>
      </c>
      <c r="R79" s="18"/>
      <c r="S79" s="18"/>
      <c r="T79" s="18"/>
      <c r="U79" s="18">
        <v>0</v>
      </c>
      <c r="V79" s="18">
        <v>0</v>
      </c>
      <c r="W79" s="18">
        <v>0</v>
      </c>
      <c r="X79" s="18">
        <v>-10039</v>
      </c>
      <c r="Y79" s="18">
        <v>-9533</v>
      </c>
      <c r="Z79" s="18"/>
      <c r="AA79" s="18"/>
      <c r="AB79" s="18"/>
    </row>
    <row r="80" spans="6:29" s="14" customFormat="1" x14ac:dyDescent="0.25">
      <c r="F80" s="18"/>
      <c r="L80" s="18"/>
      <c r="N80" s="14" t="s">
        <v>161</v>
      </c>
      <c r="R80" s="18"/>
      <c r="S80" s="18"/>
      <c r="T80" s="18"/>
      <c r="U80" s="18">
        <v>-390</v>
      </c>
      <c r="V80" s="18">
        <v>-395</v>
      </c>
      <c r="W80" s="18">
        <v>-399</v>
      </c>
      <c r="X80" s="18">
        <v>-398</v>
      </c>
      <c r="Y80" s="18">
        <v>-395</v>
      </c>
      <c r="Z80" s="18"/>
      <c r="AA80" s="18"/>
      <c r="AB80" s="18"/>
    </row>
    <row r="81" spans="6:28" s="14" customFormat="1" x14ac:dyDescent="0.25">
      <c r="F81" s="18"/>
      <c r="L81" s="18"/>
      <c r="N81" s="14" t="s">
        <v>163</v>
      </c>
      <c r="R81" s="18">
        <f t="shared" ref="R81:X81" si="111">SUM(R79:R80)</f>
        <v>0</v>
      </c>
      <c r="S81" s="18">
        <f t="shared" si="111"/>
        <v>0</v>
      </c>
      <c r="T81" s="18">
        <f t="shared" si="111"/>
        <v>0</v>
      </c>
      <c r="U81" s="18">
        <f t="shared" si="111"/>
        <v>-390</v>
      </c>
      <c r="V81" s="18">
        <f t="shared" si="111"/>
        <v>-395</v>
      </c>
      <c r="W81" s="18">
        <f t="shared" si="111"/>
        <v>-399</v>
      </c>
      <c r="X81" s="18">
        <f t="shared" si="111"/>
        <v>-10437</v>
      </c>
      <c r="Y81" s="18">
        <f>SUM(Y79:Y80)</f>
        <v>-9928</v>
      </c>
      <c r="Z81" s="18"/>
      <c r="AA81" s="18"/>
      <c r="AB8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6C37-1803-47A7-8319-3ED3CE66E415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679C-22C1-447A-BBF7-AF87050FBFDF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5FB3-B1A0-4042-A7A8-581B459B9B01}">
  <dimension ref="A1:AA124"/>
  <sheetViews>
    <sheetView showGridLines="0" tabSelected="1" topLeftCell="B1" zoomScale="85" zoomScaleNormal="85" workbookViewId="0">
      <pane xSplit="2" ySplit="5" topLeftCell="M6" activePane="bottomRight" state="frozen"/>
      <selection activeCell="B1" sqref="B1"/>
      <selection pane="topRight" activeCell="D1" sqref="D1"/>
      <selection pane="bottomLeft" activeCell="B6" sqref="B6"/>
      <selection pane="bottomRight" activeCell="W13" sqref="W13"/>
    </sheetView>
  </sheetViews>
  <sheetFormatPr defaultRowHeight="15.75" x14ac:dyDescent="0.25"/>
  <cols>
    <col min="1" max="1" width="2.625" customWidth="1"/>
    <col min="3" max="3" width="26.875" bestFit="1" customWidth="1"/>
    <col min="4" max="13" width="11.25" bestFit="1" customWidth="1"/>
    <col min="14" max="14" width="11.625" bestFit="1" customWidth="1"/>
    <col min="15" max="16" width="11.25" bestFit="1" customWidth="1"/>
    <col min="17" max="19" width="11.75" bestFit="1" customWidth="1"/>
    <col min="20" max="21" width="11.625" bestFit="1" customWidth="1"/>
  </cols>
  <sheetData>
    <row r="1" spans="1:26" x14ac:dyDescent="0.25">
      <c r="A1" t="s">
        <v>143</v>
      </c>
    </row>
    <row r="2" spans="1:26" x14ac:dyDescent="0.25">
      <c r="A2" t="s">
        <v>142</v>
      </c>
    </row>
    <row r="3" spans="1:26" x14ac:dyDescent="0.25">
      <c r="C3" s="46" t="s">
        <v>145</v>
      </c>
      <c r="D3" s="53"/>
      <c r="E3" s="53"/>
      <c r="F3" s="53"/>
      <c r="G3" s="53"/>
      <c r="H3" s="53"/>
      <c r="I3" s="53"/>
      <c r="J3" s="53"/>
      <c r="K3" s="53">
        <v>44591</v>
      </c>
      <c r="L3" s="53">
        <v>44682</v>
      </c>
      <c r="M3" s="53">
        <v>44773</v>
      </c>
      <c r="N3" s="53">
        <v>44864</v>
      </c>
      <c r="O3" s="53">
        <v>44955</v>
      </c>
      <c r="P3" s="53">
        <v>45046</v>
      </c>
      <c r="Q3" s="53">
        <v>45137</v>
      </c>
      <c r="R3" s="53">
        <v>45228</v>
      </c>
      <c r="S3" s="53">
        <v>45319</v>
      </c>
      <c r="T3" s="53">
        <v>45410</v>
      </c>
      <c r="U3" s="53">
        <v>45532</v>
      </c>
      <c r="V3" s="53"/>
      <c r="W3" s="53"/>
      <c r="X3" s="53"/>
      <c r="Y3" s="53"/>
      <c r="Z3" s="53"/>
    </row>
    <row r="4" spans="1:26" x14ac:dyDescent="0.25">
      <c r="D4" s="54" t="s">
        <v>167</v>
      </c>
      <c r="E4" s="54" t="s">
        <v>168</v>
      </c>
      <c r="F4" s="54" t="s">
        <v>169</v>
      </c>
      <c r="G4" s="54" t="s">
        <v>170</v>
      </c>
      <c r="H4" s="54" t="s">
        <v>133</v>
      </c>
      <c r="I4" s="54" t="s">
        <v>134</v>
      </c>
      <c r="J4" s="54" t="s">
        <v>135</v>
      </c>
      <c r="K4" s="54" t="s">
        <v>136</v>
      </c>
      <c r="L4" s="54" t="s">
        <v>33</v>
      </c>
      <c r="M4" s="54" t="s">
        <v>34</v>
      </c>
      <c r="N4" s="54" t="s">
        <v>35</v>
      </c>
      <c r="O4" s="54" t="s">
        <v>36</v>
      </c>
      <c r="P4" s="54" t="s">
        <v>30</v>
      </c>
      <c r="Q4" s="54" t="s">
        <v>31</v>
      </c>
      <c r="R4" s="54" t="s">
        <v>32</v>
      </c>
      <c r="S4" s="54" t="s">
        <v>156</v>
      </c>
      <c r="T4" s="54" t="s">
        <v>157</v>
      </c>
      <c r="U4" s="54" t="s">
        <v>171</v>
      </c>
      <c r="V4" s="54" t="s">
        <v>172</v>
      </c>
      <c r="W4" s="54" t="s">
        <v>173</v>
      </c>
      <c r="X4" s="54"/>
      <c r="Y4" s="54"/>
      <c r="Z4" s="54"/>
    </row>
    <row r="5" spans="1:26" s="25" customFormat="1" x14ac:dyDescent="0.25">
      <c r="C5" s="46" t="s">
        <v>71</v>
      </c>
      <c r="O5" s="13">
        <v>44979</v>
      </c>
      <c r="P5" s="13">
        <v>45070</v>
      </c>
      <c r="Q5" s="13">
        <v>45161</v>
      </c>
      <c r="R5" s="13">
        <v>45251</v>
      </c>
      <c r="S5" s="13">
        <v>45343</v>
      </c>
      <c r="T5" s="13">
        <v>45434</v>
      </c>
    </row>
    <row r="6" spans="1:26" s="25" customFormat="1" x14ac:dyDescent="0.25">
      <c r="C6"/>
      <c r="P6" s="13"/>
      <c r="Q6" s="13"/>
      <c r="R6" s="13"/>
    </row>
    <row r="7" spans="1:26" s="26" customFormat="1" x14ac:dyDescent="0.25">
      <c r="C7" s="26" t="s">
        <v>72</v>
      </c>
      <c r="O7" s="26">
        <v>2470</v>
      </c>
      <c r="P7" s="26">
        <v>2470</v>
      </c>
      <c r="Q7" s="26">
        <v>2470</v>
      </c>
      <c r="R7" s="26">
        <v>2470</v>
      </c>
      <c r="S7" s="26">
        <v>2500</v>
      </c>
      <c r="T7" s="26">
        <f>2460*10</f>
        <v>24600</v>
      </c>
      <c r="U7" s="26">
        <f t="shared" ref="U7" si="0">2460*10</f>
        <v>24600</v>
      </c>
    </row>
    <row r="8" spans="1:26" s="26" customFormat="1" x14ac:dyDescent="0.25"/>
    <row r="9" spans="1:26" s="23" customFormat="1" x14ac:dyDescent="0.25">
      <c r="C9" s="23" t="s">
        <v>73</v>
      </c>
      <c r="O9" s="23">
        <v>207.45</v>
      </c>
      <c r="P9" s="23">
        <v>305.32</v>
      </c>
      <c r="Q9" s="23">
        <v>471.12</v>
      </c>
      <c r="R9" s="23">
        <v>499.44</v>
      </c>
      <c r="S9" s="23">
        <v>674.69</v>
      </c>
      <c r="T9" s="23">
        <v>79.510000000000005</v>
      </c>
      <c r="U9" s="23">
        <v>118.24</v>
      </c>
    </row>
    <row r="10" spans="1:26" s="23" customFormat="1" x14ac:dyDescent="0.25">
      <c r="C10" s="23" t="s">
        <v>103</v>
      </c>
      <c r="O10" s="23">
        <v>236.54</v>
      </c>
      <c r="P10" s="23">
        <v>379.73</v>
      </c>
      <c r="Q10" s="23">
        <v>471.59</v>
      </c>
      <c r="R10" s="23">
        <v>487.16</v>
      </c>
      <c r="S10" s="23">
        <v>785.34</v>
      </c>
      <c r="T10" s="23">
        <v>82.42</v>
      </c>
    </row>
    <row r="11" spans="1:26" s="24" customFormat="1" x14ac:dyDescent="0.25">
      <c r="C11" s="24" t="s">
        <v>147</v>
      </c>
      <c r="H11" s="24" t="e">
        <f t="shared" ref="H11:P11" si="1">H10/H9-1</f>
        <v>#DIV/0!</v>
      </c>
      <c r="I11" s="24" t="e">
        <f t="shared" si="1"/>
        <v>#DIV/0!</v>
      </c>
      <c r="J11" s="24" t="e">
        <f t="shared" si="1"/>
        <v>#DIV/0!</v>
      </c>
      <c r="K11" s="24" t="e">
        <f t="shared" si="1"/>
        <v>#DIV/0!</v>
      </c>
      <c r="L11" s="24" t="e">
        <f t="shared" si="1"/>
        <v>#DIV/0!</v>
      </c>
      <c r="M11" s="24" t="e">
        <f t="shared" si="1"/>
        <v>#DIV/0!</v>
      </c>
      <c r="N11" s="24" t="e">
        <f t="shared" si="1"/>
        <v>#DIV/0!</v>
      </c>
      <c r="O11" s="24">
        <f t="shared" si="1"/>
        <v>0.1402265606170161</v>
      </c>
      <c r="P11" s="24">
        <f t="shared" si="1"/>
        <v>0.24371151578671557</v>
      </c>
      <c r="Q11" s="24">
        <f>Q10/Q9-1</f>
        <v>9.9762268636438556E-4</v>
      </c>
      <c r="R11" s="24">
        <f t="shared" ref="R11:T11" si="2">R10/R9-1</f>
        <v>-2.4587538042607715E-2</v>
      </c>
      <c r="S11" s="24">
        <f t="shared" si="2"/>
        <v>0.16400124501622959</v>
      </c>
      <c r="T11" s="24">
        <f t="shared" si="2"/>
        <v>3.6599169915733754E-2</v>
      </c>
    </row>
    <row r="12" spans="1:26" s="24" customFormat="1" x14ac:dyDescent="0.25"/>
    <row r="13" spans="1:26" s="19" customFormat="1" x14ac:dyDescent="0.25">
      <c r="C13" s="19" t="s">
        <v>74</v>
      </c>
      <c r="H13" s="19">
        <f t="shared" ref="H13:P13" si="3">H7*H9</f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512401.5</v>
      </c>
      <c r="P13" s="19">
        <f t="shared" si="3"/>
        <v>754140.4</v>
      </c>
      <c r="Q13" s="19">
        <f t="shared" ref="Q13" si="4">Q7*Q9</f>
        <v>1163666.3999999999</v>
      </c>
      <c r="R13" s="19">
        <f>R7*R9</f>
        <v>1233616.8</v>
      </c>
      <c r="S13" s="19">
        <f t="shared" ref="S13:U13" si="5">S7*S9</f>
        <v>1686725.0000000002</v>
      </c>
      <c r="T13" s="19">
        <f t="shared" si="5"/>
        <v>1955946.0000000002</v>
      </c>
      <c r="U13" s="19">
        <f t="shared" si="5"/>
        <v>2908704</v>
      </c>
    </row>
    <row r="14" spans="1:26" s="14" customFormat="1" x14ac:dyDescent="0.25">
      <c r="C14" s="14" t="s">
        <v>76</v>
      </c>
      <c r="O14" s="14">
        <f>13296</f>
        <v>13296</v>
      </c>
      <c r="P14" s="14">
        <f>5079+10241</f>
        <v>15320</v>
      </c>
      <c r="Q14" s="14">
        <f>5783+10240</f>
        <v>16023</v>
      </c>
      <c r="R14" s="14">
        <f>5519+12762</f>
        <v>18281</v>
      </c>
      <c r="S14" s="14">
        <f>7280+18704</f>
        <v>25984</v>
      </c>
      <c r="T14" s="14">
        <f>7587+23851</f>
        <v>31438</v>
      </c>
      <c r="U14" s="14">
        <v>34800</v>
      </c>
    </row>
    <row r="15" spans="1:26" s="14" customFormat="1" x14ac:dyDescent="0.25">
      <c r="C15" s="14" t="s">
        <v>75</v>
      </c>
      <c r="O15" s="14">
        <f>1250+9703+902</f>
        <v>11855</v>
      </c>
      <c r="P15" s="14">
        <f>1250+9704+939</f>
        <v>11893</v>
      </c>
      <c r="Q15" s="14">
        <f>1249+8456+1041</f>
        <v>10746</v>
      </c>
      <c r="R15" s="14">
        <f>1249+8457+1091</f>
        <v>10797</v>
      </c>
      <c r="S15" s="14">
        <f>1250+8459+1119</f>
        <v>10828</v>
      </c>
      <c r="T15" s="14">
        <f>1250+8460+1281</f>
        <v>10991</v>
      </c>
      <c r="U15" s="14">
        <f>8461+1304</f>
        <v>9765</v>
      </c>
    </row>
    <row r="16" spans="1:26" s="19" customFormat="1" x14ac:dyDescent="0.25">
      <c r="C16" s="19" t="s">
        <v>77</v>
      </c>
      <c r="H16" s="19">
        <f t="shared" ref="H16" si="6">H13-H14+H15</f>
        <v>0</v>
      </c>
      <c r="I16" s="19">
        <f t="shared" ref="I16" si="7">I13-I14+I15</f>
        <v>0</v>
      </c>
      <c r="J16" s="19">
        <f t="shared" ref="J16" si="8">J13-J14+J15</f>
        <v>0</v>
      </c>
      <c r="K16" s="19">
        <f t="shared" ref="K16" si="9">K13-K14+K15</f>
        <v>0</v>
      </c>
      <c r="L16" s="19">
        <f t="shared" ref="L16" si="10">L13-L14+L15</f>
        <v>0</v>
      </c>
      <c r="M16" s="19">
        <f t="shared" ref="M16" si="11">M13-M14+M15</f>
        <v>0</v>
      </c>
      <c r="N16" s="19">
        <f t="shared" ref="N16" si="12">N13-N14+N15</f>
        <v>0</v>
      </c>
      <c r="O16" s="19">
        <f t="shared" ref="O16" si="13">O13-O14+O15</f>
        <v>510960.5</v>
      </c>
      <c r="P16" s="19">
        <f t="shared" ref="P16" si="14">P13-P14+P15</f>
        <v>750713.4</v>
      </c>
      <c r="Q16" s="19">
        <f t="shared" ref="Q16" si="15">Q13-Q14+Q15</f>
        <v>1158389.3999999999</v>
      </c>
      <c r="R16" s="19">
        <f>R13-R14+R15</f>
        <v>1226132.8</v>
      </c>
      <c r="S16" s="19">
        <f t="shared" ref="S16:U16" si="16">S13-S14+S15</f>
        <v>1671569.0000000002</v>
      </c>
      <c r="T16" s="19">
        <f t="shared" si="16"/>
        <v>1935499.0000000002</v>
      </c>
      <c r="U16" s="19">
        <f t="shared" si="16"/>
        <v>2883669</v>
      </c>
    </row>
    <row r="17" spans="3:26" s="47" customFormat="1" x14ac:dyDescent="0.25">
      <c r="C17" s="47" t="s">
        <v>148</v>
      </c>
      <c r="O17" s="47">
        <f t="shared" ref="O17" si="17">O13/SUM(L45:O45)</f>
        <v>117.30803571428571</v>
      </c>
      <c r="P17" s="47">
        <f t="shared" ref="P17:Q17" si="18">P13/SUM(M45:P45)</f>
        <v>157.34204047569372</v>
      </c>
      <c r="Q17" s="47">
        <f t="shared" si="18"/>
        <v>112.70376755447941</v>
      </c>
      <c r="R17" s="47">
        <f>R13/SUM(O45:R45)</f>
        <v>65.312198221092757</v>
      </c>
      <c r="S17" s="47">
        <f t="shared" ref="S17" si="19">S13/SUM(P45:S45)</f>
        <v>56.679491918411244</v>
      </c>
      <c r="T17" s="47">
        <f t="shared" ref="T17" si="20">T13/SUM(Q45:T45)</f>
        <v>45.917458975984232</v>
      </c>
      <c r="U17" s="47">
        <f t="shared" ref="U17" si="21">U13/SUM(R45:U45)</f>
        <v>54.872924841533354</v>
      </c>
    </row>
    <row r="18" spans="3:26" s="47" customFormat="1" x14ac:dyDescent="0.25">
      <c r="C18" s="47" t="s">
        <v>149</v>
      </c>
      <c r="O18" s="47">
        <f t="shared" ref="O18" si="22">O13/SUM(L53:O53)</f>
        <v>90.819124423963132</v>
      </c>
      <c r="P18" s="47">
        <f t="shared" ref="P18:Q18" si="23">P13/SUM(M53:P53)</f>
        <v>110.54535326883612</v>
      </c>
      <c r="Q18" s="47">
        <f t="shared" si="23"/>
        <v>97.787092436974788</v>
      </c>
      <c r="R18" s="47">
        <f>R13/SUM(O53:R53)</f>
        <v>65.475123401093356</v>
      </c>
      <c r="S18" s="47">
        <f t="shared" ref="S18" si="24">S13/SUM(P53:S53)</f>
        <v>60.045032216724223</v>
      </c>
      <c r="T18" s="47">
        <f t="shared" ref="T18" si="25">T13/SUM(Q53:T53)</f>
        <v>48.265169648365216</v>
      </c>
      <c r="U18" s="47">
        <f t="shared" ref="U18" si="26">U13/SUM(R53:U53)</f>
        <v>59.76870916039946</v>
      </c>
    </row>
    <row r="19" spans="3:26" s="47" customFormat="1" x14ac:dyDescent="0.25">
      <c r="C19" s="47" t="s">
        <v>150</v>
      </c>
      <c r="O19" s="47">
        <f t="shared" ref="O19" si="27">O13/SUM(L55:O55)</f>
        <v>136.27699468085106</v>
      </c>
      <c r="P19" s="47">
        <f t="shared" ref="P19:Q19" si="28">P13/SUM(M55:P55)</f>
        <v>150.64730323611667</v>
      </c>
      <c r="Q19" s="47">
        <f t="shared" si="28"/>
        <v>113.6282003710575</v>
      </c>
      <c r="R19" s="47">
        <f>R13/SUM(O55:R55)</f>
        <v>70.759252036251013</v>
      </c>
      <c r="S19" s="47">
        <f t="shared" ref="S19" si="29">S13/SUM(P55:S55)</f>
        <v>61.456132041098897</v>
      </c>
      <c r="T19" s="47">
        <f t="shared" ref="T19" si="30">T13/SUM(Q55:T55)</f>
        <v>49.140667788860142</v>
      </c>
      <c r="U19" s="47">
        <f t="shared" ref="U19" si="31">U13/SUM(R55:U55)</f>
        <v>61.917619260489175</v>
      </c>
    </row>
    <row r="20" spans="3:26" s="47" customFormat="1" x14ac:dyDescent="0.25">
      <c r="C20" s="47" t="s">
        <v>152</v>
      </c>
      <c r="O20" s="47">
        <f t="shared" ref="O20" si="32">O16/SUM(L31:O31)</f>
        <v>18.942704085415585</v>
      </c>
      <c r="P20" s="47">
        <f t="shared" ref="P20:Q20" si="33">P16/SUM(M31:P31)</f>
        <v>29.009714815673547</v>
      </c>
      <c r="Q20" s="47">
        <f t="shared" si="33"/>
        <v>35.445347449588446</v>
      </c>
      <c r="R20" s="47">
        <f>R16/SUM(O31:R31)</f>
        <v>27.326338310675286</v>
      </c>
      <c r="S20" s="47">
        <f t="shared" ref="S20" si="34">S16/SUM(P31:S31)</f>
        <v>27.437854962082667</v>
      </c>
      <c r="T20" s="47">
        <f t="shared" ref="T20" si="35">T16/SUM(Q31:T31)</f>
        <v>24.262278436583351</v>
      </c>
      <c r="U20" s="47">
        <f t="shared" ref="U20" si="36">U16/SUM(R31:U31)</f>
        <v>29.942465241363557</v>
      </c>
    </row>
    <row r="21" spans="3:26" s="47" customFormat="1" x14ac:dyDescent="0.25">
      <c r="C21" s="47" t="s">
        <v>153</v>
      </c>
      <c r="O21" s="47">
        <f t="shared" ref="O21" si="37">O16/SUM(L38:O38)</f>
        <v>120.93739644970414</v>
      </c>
      <c r="P21" s="47">
        <f t="shared" ref="P21:Q21" si="38">P16/SUM(M38:P38)</f>
        <v>166.93649099399599</v>
      </c>
      <c r="Q21" s="47">
        <f t="shared" si="38"/>
        <v>107.27814410075939</v>
      </c>
      <c r="R21" s="47">
        <f>R16/SUM(O38:R38)</f>
        <v>59.480586009508102</v>
      </c>
      <c r="S21" s="47">
        <f t="shared" ref="S21" si="39">S16/SUM(P38:S38)</f>
        <v>50.696621375712731</v>
      </c>
      <c r="T21" s="47">
        <f t="shared" ref="T21" si="40">T16/SUM(Q38:T38)</f>
        <v>40.541651829664232</v>
      </c>
      <c r="U21" s="47">
        <f t="shared" ref="U21" si="41">U16/SUM(R38:U38)</f>
        <v>48.397512713357834</v>
      </c>
    </row>
    <row r="22" spans="3:26" s="47" customFormat="1" x14ac:dyDescent="0.25">
      <c r="C22" s="47" t="s">
        <v>154</v>
      </c>
      <c r="O22" s="47">
        <f t="shared" ref="O22" si="42">O16/SUM(L48:O48)</f>
        <v>88.570029467845387</v>
      </c>
      <c r="P22" s="47">
        <f t="shared" ref="P22:Q22" si="43">P16/SUM(M48:P48)</f>
        <v>123.24961418486292</v>
      </c>
      <c r="Q22" s="47">
        <f t="shared" si="43"/>
        <v>93.576977138702631</v>
      </c>
      <c r="R22" s="47">
        <f>R16/SUM(O48:R48)</f>
        <v>55.328405757862917</v>
      </c>
      <c r="S22" s="47">
        <f t="shared" ref="S22" si="44">S16/SUM(P48:S48)</f>
        <v>48.479379350348033</v>
      </c>
      <c r="T22" s="47">
        <f t="shared" ref="T22" si="45">T16/SUM(Q48:T48)</f>
        <v>39.279533231862004</v>
      </c>
      <c r="U22" s="47">
        <f t="shared" ref="U22" si="46">U16/SUM(R48:U48)</f>
        <v>47.130326060308896</v>
      </c>
    </row>
    <row r="23" spans="3:26" s="24" customFormat="1" x14ac:dyDescent="0.25">
      <c r="C23" s="24" t="s">
        <v>155</v>
      </c>
      <c r="O23" s="24">
        <f t="shared" ref="O23" si="47">1/O19</f>
        <v>7.3379956928307198E-3</v>
      </c>
      <c r="P23" s="24">
        <f t="shared" ref="P23:Q23" si="48">1/P19</f>
        <v>6.6380212490936693E-3</v>
      </c>
      <c r="Q23" s="24">
        <f t="shared" si="48"/>
        <v>8.800632208681115E-3</v>
      </c>
      <c r="R23" s="24">
        <f>1/R19</f>
        <v>1.4132427509093584E-2</v>
      </c>
      <c r="S23" s="24">
        <f t="shared" ref="S23:T23" si="49">1/S19</f>
        <v>1.6271769256992096E-2</v>
      </c>
      <c r="T23" s="24">
        <f t="shared" si="49"/>
        <v>2.0349743806833111E-2</v>
      </c>
      <c r="U23" s="24">
        <f t="shared" ref="U23" si="50">1/U19</f>
        <v>1.6150491765404798E-2</v>
      </c>
    </row>
    <row r="24" spans="3:26" s="35" customFormat="1" x14ac:dyDescent="0.25"/>
    <row r="25" spans="3:26" s="19" customFormat="1" x14ac:dyDescent="0.25">
      <c r="J25" s="35"/>
    </row>
    <row r="27" spans="3:26" x14ac:dyDescent="0.25">
      <c r="D27" s="53"/>
      <c r="E27" s="53"/>
      <c r="F27" s="53"/>
      <c r="G27" s="53"/>
      <c r="H27" s="53"/>
      <c r="I27" s="53"/>
      <c r="J27" s="53"/>
      <c r="K27" s="53">
        <v>44591</v>
      </c>
      <c r="L27" s="53">
        <v>44682</v>
      </c>
      <c r="M27" s="53">
        <v>44773</v>
      </c>
      <c r="N27" s="53">
        <v>44864</v>
      </c>
      <c r="O27" s="53">
        <v>44955</v>
      </c>
      <c r="P27" s="53">
        <v>45046</v>
      </c>
      <c r="Q27" s="53">
        <v>45137</v>
      </c>
      <c r="R27" s="53">
        <v>45228</v>
      </c>
      <c r="S27" s="53">
        <v>45319</v>
      </c>
      <c r="T27" s="53">
        <v>45410</v>
      </c>
      <c r="U27" s="53">
        <v>45503</v>
      </c>
      <c r="V27" s="53"/>
      <c r="W27" s="53"/>
      <c r="X27" s="53"/>
      <c r="Y27" s="53"/>
      <c r="Z27" s="53"/>
    </row>
    <row r="28" spans="3:26" s="5" customFormat="1" x14ac:dyDescent="0.25">
      <c r="D28" s="54" t="s">
        <v>167</v>
      </c>
      <c r="E28" s="54" t="s">
        <v>168</v>
      </c>
      <c r="F28" s="54" t="s">
        <v>169</v>
      </c>
      <c r="G28" s="54" t="s">
        <v>170</v>
      </c>
      <c r="H28" s="54" t="s">
        <v>133</v>
      </c>
      <c r="I28" s="54" t="s">
        <v>134</v>
      </c>
      <c r="J28" s="54" t="s">
        <v>135</v>
      </c>
      <c r="K28" s="54" t="s">
        <v>136</v>
      </c>
      <c r="L28" s="54" t="s">
        <v>33</v>
      </c>
      <c r="M28" s="54" t="s">
        <v>34</v>
      </c>
      <c r="N28" s="54" t="s">
        <v>35</v>
      </c>
      <c r="O28" s="54" t="s">
        <v>36</v>
      </c>
      <c r="P28" s="54" t="s">
        <v>30</v>
      </c>
      <c r="Q28" s="54" t="s">
        <v>31</v>
      </c>
      <c r="R28" s="54" t="s">
        <v>32</v>
      </c>
      <c r="S28" s="54" t="s">
        <v>156</v>
      </c>
      <c r="T28" s="54" t="s">
        <v>157</v>
      </c>
      <c r="U28" s="54" t="s">
        <v>185</v>
      </c>
      <c r="V28" s="54" t="s">
        <v>172</v>
      </c>
      <c r="W28" s="54" t="s">
        <v>173</v>
      </c>
      <c r="X28" s="54"/>
      <c r="Y28" s="54"/>
      <c r="Z28" s="54"/>
    </row>
    <row r="29" spans="3:26" s="18" customFormat="1" x14ac:dyDescent="0.25">
      <c r="C29" s="14" t="s">
        <v>89</v>
      </c>
      <c r="K29" s="18">
        <f>11046-SUM(H29:J29)</f>
        <v>11046</v>
      </c>
      <c r="L29" s="18">
        <v>3672</v>
      </c>
      <c r="M29" s="18">
        <v>3907</v>
      </c>
      <c r="N29" s="18">
        <v>3816</v>
      </c>
      <c r="O29" s="18">
        <f>15068-SUM(L29:N29)</f>
        <v>3673</v>
      </c>
      <c r="P29" s="18">
        <v>4460</v>
      </c>
      <c r="Q29" s="18">
        <v>10402</v>
      </c>
      <c r="R29" s="18">
        <v>14645</v>
      </c>
      <c r="S29" s="18">
        <f>47405-SUM(P29:R29)</f>
        <v>17898</v>
      </c>
      <c r="T29" s="18">
        <v>22675</v>
      </c>
      <c r="U29" s="18">
        <v>26272</v>
      </c>
    </row>
    <row r="30" spans="3:26" s="18" customFormat="1" x14ac:dyDescent="0.25">
      <c r="C30" s="14" t="s">
        <v>90</v>
      </c>
      <c r="K30" s="18">
        <f>15868-SUM(H30:J30)</f>
        <v>15868</v>
      </c>
      <c r="L30" s="18">
        <v>4616</v>
      </c>
      <c r="M30" s="18">
        <v>2797</v>
      </c>
      <c r="N30" s="18">
        <v>2115</v>
      </c>
      <c r="O30" s="18">
        <f>11906-SUM(L30:N30)</f>
        <v>2378</v>
      </c>
      <c r="P30" s="18">
        <v>2732</v>
      </c>
      <c r="Q30" s="18">
        <v>3105</v>
      </c>
      <c r="R30" s="18">
        <v>3475</v>
      </c>
      <c r="S30" s="18">
        <f>13517-SUM(P30:R30)</f>
        <v>4205</v>
      </c>
      <c r="T30" s="18">
        <v>3369</v>
      </c>
      <c r="U30" s="18">
        <f>2880+454+346+88</f>
        <v>3768</v>
      </c>
    </row>
    <row r="31" spans="3:26" s="19" customFormat="1" x14ac:dyDescent="0.25">
      <c r="C31" s="19" t="s">
        <v>15</v>
      </c>
      <c r="D31" s="19">
        <f t="shared" ref="D31:G31" si="51">SUM(D29:D30)</f>
        <v>0</v>
      </c>
      <c r="E31" s="19">
        <f t="shared" si="51"/>
        <v>0</v>
      </c>
      <c r="F31" s="19">
        <f t="shared" si="51"/>
        <v>0</v>
      </c>
      <c r="G31" s="19">
        <f t="shared" si="51"/>
        <v>0</v>
      </c>
      <c r="H31" s="19">
        <f t="shared" ref="H31:J31" si="52">SUM(H29:H30)</f>
        <v>0</v>
      </c>
      <c r="I31" s="19">
        <f t="shared" si="52"/>
        <v>0</v>
      </c>
      <c r="J31" s="19">
        <f t="shared" si="52"/>
        <v>0</v>
      </c>
      <c r="K31" s="19">
        <v>7643</v>
      </c>
      <c r="L31" s="19">
        <f t="shared" ref="L31:Q31" si="53">SUM(L29:L30)</f>
        <v>8288</v>
      </c>
      <c r="M31" s="19">
        <f t="shared" si="53"/>
        <v>6704</v>
      </c>
      <c r="N31" s="19">
        <f t="shared" si="53"/>
        <v>5931</v>
      </c>
      <c r="O31" s="19">
        <f>SUM(O29:O30)</f>
        <v>6051</v>
      </c>
      <c r="P31" s="19">
        <f t="shared" si="53"/>
        <v>7192</v>
      </c>
      <c r="Q31" s="19">
        <f t="shared" si="53"/>
        <v>13507</v>
      </c>
      <c r="R31" s="19">
        <f>SUM(R29:R30)</f>
        <v>18120</v>
      </c>
      <c r="S31" s="19">
        <f>SUM(S29:S30)</f>
        <v>22103</v>
      </c>
      <c r="T31" s="19">
        <f t="shared" ref="T31:Z31" si="54">SUM(T29:T30)</f>
        <v>26044</v>
      </c>
      <c r="U31" s="19">
        <f>SUM(U29:U30)</f>
        <v>30040</v>
      </c>
      <c r="V31" s="19">
        <f t="shared" si="54"/>
        <v>0</v>
      </c>
      <c r="W31" s="19">
        <f t="shared" si="54"/>
        <v>0</v>
      </c>
      <c r="X31" s="19">
        <f t="shared" si="54"/>
        <v>0</v>
      </c>
      <c r="Y31" s="19">
        <f t="shared" si="54"/>
        <v>0</v>
      </c>
      <c r="Z31" s="19">
        <f t="shared" si="54"/>
        <v>0</v>
      </c>
    </row>
    <row r="32" spans="3:26" s="14" customFormat="1" x14ac:dyDescent="0.25">
      <c r="C32" s="14" t="s">
        <v>16</v>
      </c>
      <c r="K32" s="14">
        <v>2644</v>
      </c>
      <c r="L32" s="14">
        <v>2857</v>
      </c>
      <c r="M32" s="14">
        <v>3789</v>
      </c>
      <c r="N32" s="14">
        <v>2754</v>
      </c>
      <c r="O32" s="14">
        <v>2218</v>
      </c>
      <c r="P32" s="14">
        <v>2544</v>
      </c>
      <c r="Q32" s="14">
        <v>4045</v>
      </c>
      <c r="R32" s="14">
        <v>4720</v>
      </c>
      <c r="S32" s="14">
        <v>5312</v>
      </c>
      <c r="T32" s="14">
        <v>5638</v>
      </c>
      <c r="U32" s="14">
        <v>7466</v>
      </c>
    </row>
    <row r="33" spans="3:27" s="20" customFormat="1" x14ac:dyDescent="0.25">
      <c r="C33" s="20" t="s">
        <v>17</v>
      </c>
      <c r="D33" s="20">
        <f t="shared" ref="D33:G33" si="55">D31-D32</f>
        <v>0</v>
      </c>
      <c r="E33" s="20">
        <f t="shared" si="55"/>
        <v>0</v>
      </c>
      <c r="F33" s="20">
        <f t="shared" si="55"/>
        <v>0</v>
      </c>
      <c r="G33" s="20">
        <f t="shared" si="55"/>
        <v>0</v>
      </c>
      <c r="H33" s="20">
        <f t="shared" ref="H33:K33" si="56">H31-H32</f>
        <v>0</v>
      </c>
      <c r="I33" s="20">
        <f t="shared" si="56"/>
        <v>0</v>
      </c>
      <c r="J33" s="20">
        <f t="shared" si="56"/>
        <v>0</v>
      </c>
      <c r="K33" s="20">
        <f t="shared" si="56"/>
        <v>4999</v>
      </c>
      <c r="L33" s="20">
        <f t="shared" ref="L33:Q33" si="57">L31-L32</f>
        <v>5431</v>
      </c>
      <c r="M33" s="20">
        <f t="shared" si="57"/>
        <v>2915</v>
      </c>
      <c r="N33" s="20">
        <f t="shared" si="57"/>
        <v>3177</v>
      </c>
      <c r="O33" s="20">
        <f t="shared" si="57"/>
        <v>3833</v>
      </c>
      <c r="P33" s="20">
        <f t="shared" si="57"/>
        <v>4648</v>
      </c>
      <c r="Q33" s="20">
        <f t="shared" si="57"/>
        <v>9462</v>
      </c>
      <c r="R33" s="20">
        <f>R31-R32</f>
        <v>13400</v>
      </c>
      <c r="S33" s="20">
        <f>S31-S32</f>
        <v>16791</v>
      </c>
      <c r="T33" s="20">
        <f t="shared" ref="T33" si="58">T31-T32</f>
        <v>20406</v>
      </c>
      <c r="U33" s="20">
        <f t="shared" ref="U33" si="59">U31-U32</f>
        <v>22574</v>
      </c>
      <c r="V33" s="20">
        <f t="shared" ref="V33" si="60">V31-V32</f>
        <v>0</v>
      </c>
      <c r="W33" s="20">
        <f t="shared" ref="W33" si="61">W31-W32</f>
        <v>0</v>
      </c>
      <c r="X33" s="20">
        <f t="shared" ref="X33" si="62">X31-X32</f>
        <v>0</v>
      </c>
      <c r="Y33" s="20">
        <f t="shared" ref="Y33" si="63">Y31-Y32</f>
        <v>0</v>
      </c>
      <c r="Z33" s="20">
        <f t="shared" ref="Z33" si="64">Z31-Z32</f>
        <v>0</v>
      </c>
    </row>
    <row r="34" spans="3:27" s="14" customFormat="1" x14ac:dyDescent="0.25">
      <c r="C34" s="14" t="s">
        <v>18</v>
      </c>
      <c r="K34" s="14">
        <v>1466</v>
      </c>
      <c r="L34" s="14">
        <v>1618</v>
      </c>
      <c r="M34" s="14">
        <v>1824</v>
      </c>
      <c r="N34" s="14">
        <v>1945</v>
      </c>
      <c r="O34" s="14">
        <v>1951</v>
      </c>
      <c r="P34" s="14">
        <v>1875</v>
      </c>
      <c r="Q34" s="14">
        <v>2040</v>
      </c>
      <c r="R34" s="14">
        <v>2294</v>
      </c>
      <c r="S34" s="14">
        <v>2465</v>
      </c>
      <c r="T34" s="14">
        <v>2720</v>
      </c>
      <c r="U34" s="14">
        <v>3090</v>
      </c>
      <c r="AA34" s="24"/>
    </row>
    <row r="35" spans="3:27" s="14" customFormat="1" x14ac:dyDescent="0.25">
      <c r="C35" s="14" t="s">
        <v>19</v>
      </c>
      <c r="K35" s="14">
        <v>563</v>
      </c>
      <c r="L35" s="14">
        <v>592</v>
      </c>
      <c r="M35" s="14">
        <v>592</v>
      </c>
      <c r="N35" s="14">
        <v>631</v>
      </c>
      <c r="O35" s="14">
        <v>625</v>
      </c>
      <c r="P35" s="14">
        <v>633</v>
      </c>
      <c r="Q35" s="14">
        <v>622</v>
      </c>
      <c r="R35" s="14">
        <v>689</v>
      </c>
      <c r="S35" s="14">
        <v>711</v>
      </c>
      <c r="T35" s="14">
        <v>777</v>
      </c>
      <c r="U35" s="14">
        <v>842</v>
      </c>
    </row>
    <row r="36" spans="3:27" s="14" customFormat="1" x14ac:dyDescent="0.25">
      <c r="C36" s="14" t="s">
        <v>20</v>
      </c>
      <c r="K36" s="14">
        <v>0</v>
      </c>
      <c r="L36" s="14">
        <v>1353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</row>
    <row r="37" spans="3:27" s="14" customFormat="1" x14ac:dyDescent="0.25">
      <c r="C37" s="14" t="s">
        <v>21</v>
      </c>
      <c r="D37" s="14">
        <f t="shared" ref="D37:G37" si="65">SUM(D34:D36)</f>
        <v>0</v>
      </c>
      <c r="E37" s="14">
        <f t="shared" si="65"/>
        <v>0</v>
      </c>
      <c r="F37" s="14">
        <f t="shared" si="65"/>
        <v>0</v>
      </c>
      <c r="G37" s="14">
        <f t="shared" si="65"/>
        <v>0</v>
      </c>
      <c r="H37" s="14">
        <f t="shared" ref="H37:K37" si="66">SUM(H34:H36)</f>
        <v>0</v>
      </c>
      <c r="I37" s="14">
        <f t="shared" si="66"/>
        <v>0</v>
      </c>
      <c r="J37" s="14">
        <f t="shared" si="66"/>
        <v>0</v>
      </c>
      <c r="K37" s="14">
        <f t="shared" si="66"/>
        <v>2029</v>
      </c>
      <c r="L37" s="14">
        <f t="shared" ref="L37:Q37" si="67">SUM(L34:L36)</f>
        <v>3563</v>
      </c>
      <c r="M37" s="14">
        <f t="shared" si="67"/>
        <v>2416</v>
      </c>
      <c r="N37" s="14">
        <f t="shared" si="67"/>
        <v>2576</v>
      </c>
      <c r="O37" s="14">
        <f t="shared" si="67"/>
        <v>2576</v>
      </c>
      <c r="P37" s="14">
        <f t="shared" si="67"/>
        <v>2508</v>
      </c>
      <c r="Q37" s="14">
        <f t="shared" si="67"/>
        <v>2662</v>
      </c>
      <c r="R37" s="14">
        <f>SUM(R34:R36)</f>
        <v>2983</v>
      </c>
      <c r="S37" s="14">
        <f t="shared" ref="S37:Z37" si="68">SUM(S34:S36)</f>
        <v>3176</v>
      </c>
      <c r="T37" s="14">
        <f t="shared" si="68"/>
        <v>3497</v>
      </c>
      <c r="U37" s="14">
        <f t="shared" si="68"/>
        <v>3932</v>
      </c>
      <c r="V37" s="14">
        <f t="shared" si="68"/>
        <v>0</v>
      </c>
      <c r="W37" s="14">
        <f t="shared" si="68"/>
        <v>0</v>
      </c>
      <c r="X37" s="14">
        <f t="shared" si="68"/>
        <v>0</v>
      </c>
      <c r="Y37" s="14">
        <f t="shared" si="68"/>
        <v>0</v>
      </c>
      <c r="Z37" s="14">
        <f t="shared" si="68"/>
        <v>0</v>
      </c>
    </row>
    <row r="38" spans="3:27" s="20" customFormat="1" x14ac:dyDescent="0.25">
      <c r="C38" s="20" t="s">
        <v>22</v>
      </c>
      <c r="D38" s="20">
        <f t="shared" ref="D38:G38" si="69">D33-D37</f>
        <v>0</v>
      </c>
      <c r="E38" s="20">
        <f t="shared" si="69"/>
        <v>0</v>
      </c>
      <c r="F38" s="20">
        <f t="shared" si="69"/>
        <v>0</v>
      </c>
      <c r="G38" s="20">
        <f t="shared" si="69"/>
        <v>0</v>
      </c>
      <c r="H38" s="20">
        <f t="shared" ref="H38:K38" si="70">H33-H37</f>
        <v>0</v>
      </c>
      <c r="I38" s="20">
        <f t="shared" si="70"/>
        <v>0</v>
      </c>
      <c r="J38" s="20">
        <f t="shared" si="70"/>
        <v>0</v>
      </c>
      <c r="K38" s="20">
        <f t="shared" si="70"/>
        <v>2970</v>
      </c>
      <c r="L38" s="20">
        <f t="shared" ref="L38:Q38" si="71">L33-L37</f>
        <v>1868</v>
      </c>
      <c r="M38" s="20">
        <f t="shared" si="71"/>
        <v>499</v>
      </c>
      <c r="N38" s="20">
        <f t="shared" si="71"/>
        <v>601</v>
      </c>
      <c r="O38" s="20">
        <f t="shared" si="71"/>
        <v>1257</v>
      </c>
      <c r="P38" s="20">
        <f t="shared" si="71"/>
        <v>2140</v>
      </c>
      <c r="Q38" s="20">
        <f t="shared" si="71"/>
        <v>6800</v>
      </c>
      <c r="R38" s="20">
        <f>R33-R37</f>
        <v>10417</v>
      </c>
      <c r="S38" s="20">
        <f t="shared" ref="S38:Z38" si="72">S33-S37</f>
        <v>13615</v>
      </c>
      <c r="T38" s="20">
        <f t="shared" si="72"/>
        <v>16909</v>
      </c>
      <c r="U38" s="20">
        <f t="shared" si="72"/>
        <v>18642</v>
      </c>
      <c r="V38" s="20">
        <f t="shared" si="72"/>
        <v>0</v>
      </c>
      <c r="W38" s="20">
        <f t="shared" si="72"/>
        <v>0</v>
      </c>
      <c r="X38" s="20">
        <f t="shared" si="72"/>
        <v>0</v>
      </c>
      <c r="Y38" s="20">
        <f t="shared" si="72"/>
        <v>0</v>
      </c>
      <c r="Z38" s="20">
        <f t="shared" si="72"/>
        <v>0</v>
      </c>
    </row>
    <row r="39" spans="3:27" s="14" customFormat="1" x14ac:dyDescent="0.25">
      <c r="C39" s="14" t="s">
        <v>23</v>
      </c>
      <c r="K39" s="14">
        <v>9</v>
      </c>
      <c r="L39" s="14">
        <v>18</v>
      </c>
      <c r="M39" s="14">
        <v>46</v>
      </c>
      <c r="N39" s="14">
        <v>88</v>
      </c>
      <c r="O39" s="14">
        <v>115</v>
      </c>
      <c r="P39" s="14">
        <v>150</v>
      </c>
      <c r="Q39" s="14">
        <v>187</v>
      </c>
      <c r="R39" s="14">
        <v>234</v>
      </c>
      <c r="S39" s="14">
        <v>294</v>
      </c>
      <c r="T39" s="14">
        <v>359</v>
      </c>
      <c r="U39" s="14">
        <v>444</v>
      </c>
    </row>
    <row r="40" spans="3:27" s="14" customFormat="1" x14ac:dyDescent="0.25">
      <c r="C40" s="14" t="s">
        <v>24</v>
      </c>
      <c r="K40" s="14">
        <v>-61</v>
      </c>
      <c r="L40" s="14">
        <v>-68</v>
      </c>
      <c r="M40" s="14">
        <v>-65</v>
      </c>
      <c r="N40" s="14">
        <v>-65</v>
      </c>
      <c r="O40" s="14">
        <v>-65</v>
      </c>
      <c r="P40" s="14">
        <v>-66</v>
      </c>
      <c r="Q40" s="14">
        <v>-65</v>
      </c>
      <c r="R40" s="14">
        <v>-63</v>
      </c>
      <c r="S40" s="14">
        <v>-63</v>
      </c>
      <c r="T40" s="14">
        <v>-64</v>
      </c>
      <c r="U40" s="14">
        <v>-61</v>
      </c>
    </row>
    <row r="41" spans="3:27" s="14" customFormat="1" x14ac:dyDescent="0.25">
      <c r="C41" s="14" t="s">
        <v>25</v>
      </c>
      <c r="K41" s="14">
        <v>-53</v>
      </c>
      <c r="L41" s="14">
        <v>-13</v>
      </c>
      <c r="M41" s="14">
        <v>-5</v>
      </c>
      <c r="N41" s="14">
        <v>-11</v>
      </c>
      <c r="O41" s="14">
        <v>-18</v>
      </c>
      <c r="P41" s="14">
        <v>-15</v>
      </c>
      <c r="Q41" s="14">
        <v>59</v>
      </c>
      <c r="R41" s="14">
        <v>-66</v>
      </c>
      <c r="S41" s="14">
        <v>260</v>
      </c>
      <c r="T41" s="14">
        <v>75</v>
      </c>
      <c r="U41" s="14">
        <v>189</v>
      </c>
    </row>
    <row r="42" spans="3:27" s="14" customFormat="1" x14ac:dyDescent="0.25">
      <c r="C42" s="14" t="s">
        <v>26</v>
      </c>
      <c r="D42" s="14">
        <f t="shared" ref="D42:G42" si="73">SUM(D39:D41)</f>
        <v>0</v>
      </c>
      <c r="E42" s="14">
        <f t="shared" si="73"/>
        <v>0</v>
      </c>
      <c r="F42" s="14">
        <f t="shared" si="73"/>
        <v>0</v>
      </c>
      <c r="G42" s="14">
        <f t="shared" si="73"/>
        <v>0</v>
      </c>
      <c r="H42" s="14">
        <f t="shared" ref="H42:K42" si="74">SUM(H39:H41)</f>
        <v>0</v>
      </c>
      <c r="I42" s="14">
        <f t="shared" si="74"/>
        <v>0</v>
      </c>
      <c r="J42" s="14">
        <f t="shared" si="74"/>
        <v>0</v>
      </c>
      <c r="K42" s="14">
        <f t="shared" si="74"/>
        <v>-105</v>
      </c>
      <c r="L42" s="14">
        <f t="shared" ref="L42:Q42" si="75">SUM(L39:L41)</f>
        <v>-63</v>
      </c>
      <c r="M42" s="14">
        <f t="shared" si="75"/>
        <v>-24</v>
      </c>
      <c r="N42" s="14">
        <f t="shared" si="75"/>
        <v>12</v>
      </c>
      <c r="O42" s="14">
        <f t="shared" si="75"/>
        <v>32</v>
      </c>
      <c r="P42" s="14">
        <f t="shared" si="75"/>
        <v>69</v>
      </c>
      <c r="Q42" s="14">
        <f t="shared" si="75"/>
        <v>181</v>
      </c>
      <c r="R42" s="14">
        <f>SUM(R39:R41)</f>
        <v>105</v>
      </c>
      <c r="S42" s="14">
        <f t="shared" ref="S42:X42" si="76">SUM(S39:S41)</f>
        <v>491</v>
      </c>
      <c r="T42" s="14">
        <f t="shared" si="76"/>
        <v>370</v>
      </c>
      <c r="U42" s="14">
        <f t="shared" si="76"/>
        <v>572</v>
      </c>
      <c r="V42" s="14">
        <f t="shared" si="76"/>
        <v>0</v>
      </c>
      <c r="W42" s="14">
        <f t="shared" si="76"/>
        <v>0</v>
      </c>
      <c r="X42" s="14">
        <f t="shared" si="76"/>
        <v>0</v>
      </c>
    </row>
    <row r="43" spans="3:27" s="14" customFormat="1" x14ac:dyDescent="0.25">
      <c r="C43" s="14" t="s">
        <v>27</v>
      </c>
      <c r="D43" s="14">
        <f t="shared" ref="D43:G43" si="77">D38+D42</f>
        <v>0</v>
      </c>
      <c r="E43" s="14">
        <f t="shared" si="77"/>
        <v>0</v>
      </c>
      <c r="F43" s="14">
        <f t="shared" si="77"/>
        <v>0</v>
      </c>
      <c r="G43" s="14">
        <f t="shared" si="77"/>
        <v>0</v>
      </c>
      <c r="H43" s="14">
        <f t="shared" ref="H43:K43" si="78">H38+H42</f>
        <v>0</v>
      </c>
      <c r="I43" s="14">
        <f t="shared" si="78"/>
        <v>0</v>
      </c>
      <c r="J43" s="14">
        <f t="shared" si="78"/>
        <v>0</v>
      </c>
      <c r="K43" s="14">
        <f t="shared" si="78"/>
        <v>2865</v>
      </c>
      <c r="L43" s="14">
        <f t="shared" ref="L43:Q43" si="79">L38+L42</f>
        <v>1805</v>
      </c>
      <c r="M43" s="14">
        <f t="shared" si="79"/>
        <v>475</v>
      </c>
      <c r="N43" s="14">
        <f t="shared" si="79"/>
        <v>613</v>
      </c>
      <c r="O43" s="14">
        <f t="shared" si="79"/>
        <v>1289</v>
      </c>
      <c r="P43" s="14">
        <f t="shared" si="79"/>
        <v>2209</v>
      </c>
      <c r="Q43" s="14">
        <f t="shared" si="79"/>
        <v>6981</v>
      </c>
      <c r="R43" s="14">
        <f>R38+R42</f>
        <v>10522</v>
      </c>
      <c r="S43" s="14">
        <f t="shared" ref="S43:Z43" si="80">S38+S42</f>
        <v>14106</v>
      </c>
      <c r="T43" s="14">
        <f t="shared" si="80"/>
        <v>17279</v>
      </c>
      <c r="U43" s="14">
        <f t="shared" si="80"/>
        <v>19214</v>
      </c>
      <c r="V43" s="14">
        <f t="shared" si="80"/>
        <v>0</v>
      </c>
      <c r="W43" s="14">
        <f t="shared" si="80"/>
        <v>0</v>
      </c>
      <c r="X43" s="14">
        <f t="shared" si="80"/>
        <v>0</v>
      </c>
      <c r="Y43" s="14">
        <f t="shared" si="80"/>
        <v>0</v>
      </c>
      <c r="Z43" s="14">
        <f t="shared" si="80"/>
        <v>0</v>
      </c>
    </row>
    <row r="44" spans="3:27" s="14" customFormat="1" x14ac:dyDescent="0.25">
      <c r="C44" s="14" t="s">
        <v>28</v>
      </c>
      <c r="K44" s="14">
        <v>-138</v>
      </c>
      <c r="L44" s="14">
        <v>187</v>
      </c>
      <c r="M44" s="14">
        <v>-181</v>
      </c>
      <c r="N44" s="14">
        <v>-67</v>
      </c>
      <c r="O44" s="14">
        <v>-125</v>
      </c>
      <c r="P44" s="14">
        <v>166</v>
      </c>
      <c r="Q44" s="14">
        <v>793</v>
      </c>
      <c r="R44" s="14">
        <v>1279</v>
      </c>
      <c r="S44" s="14">
        <v>1821</v>
      </c>
      <c r="T44" s="14">
        <v>2398</v>
      </c>
      <c r="U44" s="14">
        <v>2615</v>
      </c>
    </row>
    <row r="45" spans="3:27" s="19" customFormat="1" x14ac:dyDescent="0.25">
      <c r="C45" s="19" t="s">
        <v>29</v>
      </c>
      <c r="D45" s="19">
        <f t="shared" ref="D45:G45" si="81">D43-D44</f>
        <v>0</v>
      </c>
      <c r="E45" s="19">
        <f t="shared" si="81"/>
        <v>0</v>
      </c>
      <c r="F45" s="19">
        <f t="shared" si="81"/>
        <v>0</v>
      </c>
      <c r="G45" s="19">
        <f t="shared" si="81"/>
        <v>0</v>
      </c>
      <c r="H45" s="19">
        <f t="shared" ref="H45:K45" si="82">H43-H44</f>
        <v>0</v>
      </c>
      <c r="I45" s="19">
        <f t="shared" si="82"/>
        <v>0</v>
      </c>
      <c r="J45" s="19">
        <f t="shared" si="82"/>
        <v>0</v>
      </c>
      <c r="K45" s="19">
        <f t="shared" si="82"/>
        <v>3003</v>
      </c>
      <c r="L45" s="19">
        <f t="shared" ref="L45:Q45" si="83">L43-L44</f>
        <v>1618</v>
      </c>
      <c r="M45" s="19">
        <f t="shared" si="83"/>
        <v>656</v>
      </c>
      <c r="N45" s="19">
        <f t="shared" si="83"/>
        <v>680</v>
      </c>
      <c r="O45" s="19">
        <f t="shared" si="83"/>
        <v>1414</v>
      </c>
      <c r="P45" s="19">
        <f t="shared" si="83"/>
        <v>2043</v>
      </c>
      <c r="Q45" s="19">
        <f t="shared" si="83"/>
        <v>6188</v>
      </c>
      <c r="R45" s="19">
        <f>R43-R44</f>
        <v>9243</v>
      </c>
      <c r="S45" s="19">
        <f t="shared" ref="S45:Z45" si="84">S43-S44</f>
        <v>12285</v>
      </c>
      <c r="T45" s="19">
        <f t="shared" si="84"/>
        <v>14881</v>
      </c>
      <c r="U45" s="19">
        <f t="shared" si="84"/>
        <v>16599</v>
      </c>
      <c r="V45" s="19">
        <f t="shared" si="84"/>
        <v>0</v>
      </c>
      <c r="W45" s="19">
        <f t="shared" si="84"/>
        <v>0</v>
      </c>
      <c r="X45" s="19">
        <f t="shared" si="84"/>
        <v>0</v>
      </c>
      <c r="Y45" s="19">
        <f t="shared" si="84"/>
        <v>0</v>
      </c>
      <c r="Z45" s="19">
        <f t="shared" si="84"/>
        <v>0</v>
      </c>
    </row>
    <row r="47" spans="3:27" s="14" customFormat="1" x14ac:dyDescent="0.25">
      <c r="C47" s="14" t="s">
        <v>78</v>
      </c>
      <c r="K47" s="14">
        <v>309</v>
      </c>
      <c r="L47" s="14">
        <v>334</v>
      </c>
      <c r="M47" s="14">
        <v>378</v>
      </c>
      <c r="N47" s="14">
        <v>406</v>
      </c>
      <c r="O47" s="14">
        <v>426</v>
      </c>
      <c r="P47" s="14">
        <v>384</v>
      </c>
      <c r="Q47" s="14">
        <v>365</v>
      </c>
      <c r="R47" s="14">
        <v>372</v>
      </c>
      <c r="S47" s="14">
        <v>387</v>
      </c>
      <c r="T47" s="14">
        <v>410</v>
      </c>
      <c r="U47" s="14">
        <v>433</v>
      </c>
    </row>
    <row r="48" spans="3:27" s="19" customFormat="1" x14ac:dyDescent="0.25">
      <c r="C48" s="19" t="s">
        <v>79</v>
      </c>
      <c r="D48" s="19">
        <f t="shared" ref="D48:G48" si="85">D47+D38</f>
        <v>0</v>
      </c>
      <c r="E48" s="19">
        <f t="shared" si="85"/>
        <v>0</v>
      </c>
      <c r="F48" s="19">
        <f t="shared" si="85"/>
        <v>0</v>
      </c>
      <c r="G48" s="19">
        <f t="shared" si="85"/>
        <v>0</v>
      </c>
      <c r="H48" s="19">
        <f t="shared" ref="H48:K48" si="86">H47+H38</f>
        <v>0</v>
      </c>
      <c r="I48" s="19">
        <f t="shared" si="86"/>
        <v>0</v>
      </c>
      <c r="J48" s="19">
        <f t="shared" si="86"/>
        <v>0</v>
      </c>
      <c r="K48" s="19">
        <f t="shared" si="86"/>
        <v>3279</v>
      </c>
      <c r="L48" s="19">
        <f t="shared" ref="L48:Q48" si="87">L47+L38</f>
        <v>2202</v>
      </c>
      <c r="M48" s="19">
        <f t="shared" si="87"/>
        <v>877</v>
      </c>
      <c r="N48" s="19">
        <f t="shared" si="87"/>
        <v>1007</v>
      </c>
      <c r="O48" s="19">
        <f t="shared" si="87"/>
        <v>1683</v>
      </c>
      <c r="P48" s="19">
        <f t="shared" si="87"/>
        <v>2524</v>
      </c>
      <c r="Q48" s="19">
        <f t="shared" si="87"/>
        <v>7165</v>
      </c>
      <c r="R48" s="19">
        <f>R47+R38</f>
        <v>10789</v>
      </c>
      <c r="S48" s="19">
        <f t="shared" ref="S48:Z48" si="88">S47+S38</f>
        <v>14002</v>
      </c>
      <c r="T48" s="19">
        <f t="shared" si="88"/>
        <v>17319</v>
      </c>
      <c r="U48" s="19">
        <f t="shared" si="88"/>
        <v>19075</v>
      </c>
      <c r="V48" s="19">
        <f t="shared" si="88"/>
        <v>0</v>
      </c>
      <c r="W48" s="19">
        <f t="shared" si="88"/>
        <v>0</v>
      </c>
      <c r="X48" s="19">
        <f t="shared" si="88"/>
        <v>0</v>
      </c>
      <c r="Y48" s="19">
        <f t="shared" si="88"/>
        <v>0</v>
      </c>
      <c r="Z48" s="19">
        <f t="shared" si="88"/>
        <v>0</v>
      </c>
    </row>
    <row r="49" spans="3:26" s="24" customFormat="1" x14ac:dyDescent="0.25">
      <c r="C49" s="24" t="s">
        <v>80</v>
      </c>
      <c r="D49" s="24" t="e">
        <f t="shared" ref="D49:G49" si="89">D48/D31</f>
        <v>#DIV/0!</v>
      </c>
      <c r="E49" s="24" t="e">
        <f t="shared" si="89"/>
        <v>#DIV/0!</v>
      </c>
      <c r="F49" s="24" t="e">
        <f t="shared" si="89"/>
        <v>#DIV/0!</v>
      </c>
      <c r="G49" s="24" t="e">
        <f t="shared" si="89"/>
        <v>#DIV/0!</v>
      </c>
      <c r="H49" s="24" t="e">
        <f t="shared" ref="H49:K49" si="90">H48/H31</f>
        <v>#DIV/0!</v>
      </c>
      <c r="I49" s="24" t="e">
        <f t="shared" si="90"/>
        <v>#DIV/0!</v>
      </c>
      <c r="J49" s="24" t="e">
        <f t="shared" si="90"/>
        <v>#DIV/0!</v>
      </c>
      <c r="K49" s="24">
        <f t="shared" si="90"/>
        <v>0.42902001831741465</v>
      </c>
      <c r="L49" s="24">
        <f t="shared" ref="L49" si="91">L48/L31</f>
        <v>0.2656853281853282</v>
      </c>
      <c r="M49" s="24">
        <f>M48/M31</f>
        <v>0.13081742243436753</v>
      </c>
      <c r="N49" s="24">
        <f>N48/N31</f>
        <v>0.16978587084808633</v>
      </c>
      <c r="O49" s="24">
        <f t="shared" ref="O49:P49" si="92">O48/O31</f>
        <v>0.27813584531482399</v>
      </c>
      <c r="P49" s="24">
        <f t="shared" si="92"/>
        <v>0.35094549499443828</v>
      </c>
      <c r="Q49" s="24">
        <f t="shared" ref="Q49" si="93">Q48/Q31</f>
        <v>0.53046568445990971</v>
      </c>
      <c r="R49" s="24">
        <f>R48/R31</f>
        <v>0.59541942604856513</v>
      </c>
      <c r="S49" s="24">
        <f t="shared" ref="S49:Z49" si="94">S48/S31</f>
        <v>0.63348866669682846</v>
      </c>
      <c r="T49" s="24">
        <f t="shared" si="94"/>
        <v>0.66499001689448622</v>
      </c>
      <c r="U49" s="24">
        <f t="shared" si="94"/>
        <v>0.63498668442077233</v>
      </c>
      <c r="V49" s="24" t="e">
        <f t="shared" si="94"/>
        <v>#DIV/0!</v>
      </c>
      <c r="W49" s="24" t="e">
        <f t="shared" si="94"/>
        <v>#DIV/0!</v>
      </c>
      <c r="X49" s="24" t="e">
        <f t="shared" si="94"/>
        <v>#DIV/0!</v>
      </c>
      <c r="Y49" s="24" t="e">
        <f t="shared" si="94"/>
        <v>#DIV/0!</v>
      </c>
      <c r="Z49" s="24" t="e">
        <f t="shared" si="94"/>
        <v>#DIV/0!</v>
      </c>
    </row>
    <row r="51" spans="3:26" s="14" customFormat="1" x14ac:dyDescent="0.25">
      <c r="C51" s="14" t="s">
        <v>81</v>
      </c>
      <c r="K51" s="14">
        <v>551</v>
      </c>
      <c r="L51" s="14">
        <v>578</v>
      </c>
      <c r="M51" s="14">
        <v>648</v>
      </c>
      <c r="N51" s="14">
        <v>745</v>
      </c>
      <c r="O51" s="14">
        <v>738</v>
      </c>
      <c r="P51" s="14">
        <v>735</v>
      </c>
      <c r="Q51" s="14">
        <v>842</v>
      </c>
      <c r="R51" s="14">
        <v>979</v>
      </c>
      <c r="S51" s="14">
        <v>993</v>
      </c>
      <c r="T51" s="14">
        <v>1011</v>
      </c>
      <c r="U51" s="14">
        <v>1154</v>
      </c>
    </row>
    <row r="53" spans="3:26" s="14" customFormat="1" x14ac:dyDescent="0.25">
      <c r="C53" s="14" t="s">
        <v>82</v>
      </c>
      <c r="K53" s="14">
        <v>3033</v>
      </c>
      <c r="L53" s="14">
        <v>1731</v>
      </c>
      <c r="M53" s="14">
        <v>1270</v>
      </c>
      <c r="N53" s="14">
        <v>392</v>
      </c>
      <c r="O53" s="14">
        <v>2249</v>
      </c>
      <c r="P53" s="14">
        <v>2911</v>
      </c>
      <c r="Q53" s="14">
        <v>6348</v>
      </c>
      <c r="R53" s="14">
        <v>7333</v>
      </c>
      <c r="S53" s="14">
        <v>11499</v>
      </c>
      <c r="T53" s="14">
        <v>15345</v>
      </c>
      <c r="U53" s="14">
        <v>14489</v>
      </c>
    </row>
    <row r="54" spans="3:26" s="14" customFormat="1" x14ac:dyDescent="0.25">
      <c r="C54" s="14" t="s">
        <v>83</v>
      </c>
      <c r="K54" s="14">
        <f>-273-60</f>
        <v>-333</v>
      </c>
      <c r="L54" s="14">
        <f>-361-36</f>
        <v>-397</v>
      </c>
      <c r="M54" s="14">
        <f>-433-13</f>
        <v>-446</v>
      </c>
      <c r="N54" s="14">
        <v>-530</v>
      </c>
      <c r="O54" s="14">
        <f>-509-0</f>
        <v>-509</v>
      </c>
      <c r="P54" s="14">
        <f>-248-83</f>
        <v>-331</v>
      </c>
      <c r="Q54" s="14">
        <v>-289</v>
      </c>
      <c r="R54" s="14">
        <v>-278</v>
      </c>
      <c r="S54" s="14">
        <f>--253</f>
        <v>253</v>
      </c>
      <c r="T54" s="14">
        <f>-369-39</f>
        <v>-408</v>
      </c>
      <c r="U54" s="14">
        <f>-977-279</f>
        <v>-1256</v>
      </c>
    </row>
    <row r="55" spans="3:26" s="19" customFormat="1" x14ac:dyDescent="0.25">
      <c r="C55" s="19" t="s">
        <v>84</v>
      </c>
      <c r="D55" s="19">
        <f t="shared" ref="D55:G55" si="95">SUM(D53:D54)</f>
        <v>0</v>
      </c>
      <c r="E55" s="19">
        <f t="shared" si="95"/>
        <v>0</v>
      </c>
      <c r="F55" s="19">
        <f t="shared" si="95"/>
        <v>0</v>
      </c>
      <c r="G55" s="19">
        <f t="shared" si="95"/>
        <v>0</v>
      </c>
      <c r="H55" s="19">
        <f t="shared" ref="H55:J55" si="96">SUM(H53:H54)</f>
        <v>0</v>
      </c>
      <c r="I55" s="19">
        <f t="shared" si="96"/>
        <v>0</v>
      </c>
      <c r="J55" s="19">
        <f t="shared" si="96"/>
        <v>0</v>
      </c>
      <c r="K55" s="19">
        <f t="shared" ref="K55:Q55" si="97">SUM(K53:K54)</f>
        <v>2700</v>
      </c>
      <c r="L55" s="19">
        <f t="shared" si="97"/>
        <v>1334</v>
      </c>
      <c r="M55" s="19">
        <f t="shared" si="97"/>
        <v>824</v>
      </c>
      <c r="N55" s="19">
        <f t="shared" si="97"/>
        <v>-138</v>
      </c>
      <c r="O55" s="19">
        <f t="shared" si="97"/>
        <v>1740</v>
      </c>
      <c r="P55" s="19">
        <f t="shared" si="97"/>
        <v>2580</v>
      </c>
      <c r="Q55" s="19">
        <f t="shared" si="97"/>
        <v>6059</v>
      </c>
      <c r="R55" s="19">
        <f>SUM(R53:R54)</f>
        <v>7055</v>
      </c>
      <c r="S55" s="19">
        <f t="shared" ref="S55:U55" si="98">SUM(S53:S54)</f>
        <v>11752</v>
      </c>
      <c r="T55" s="19">
        <f t="shared" si="98"/>
        <v>14937</v>
      </c>
      <c r="U55" s="19">
        <f t="shared" si="98"/>
        <v>13233</v>
      </c>
    </row>
    <row r="58" spans="3:26" s="24" customFormat="1" x14ac:dyDescent="0.25">
      <c r="C58" s="24" t="s">
        <v>132</v>
      </c>
      <c r="M58" s="24">
        <f t="shared" ref="M58" si="99">M31/L31-1</f>
        <v>-0.19111969111969107</v>
      </c>
      <c r="N58" s="24">
        <f t="shared" ref="N58" si="100">N31/M31-1</f>
        <v>-0.11530429594272074</v>
      </c>
      <c r="O58" s="24">
        <f>O31/N31-1</f>
        <v>2.0232675771370667E-2</v>
      </c>
      <c r="P58" s="24">
        <f t="shared" ref="P58" si="101">P31/O31-1</f>
        <v>0.1885638737398776</v>
      </c>
      <c r="Q58" s="24">
        <f t="shared" ref="Q58" si="102">Q31/P31-1</f>
        <v>0.87805895439377091</v>
      </c>
      <c r="R58" s="24">
        <f>R31/Q31-1</f>
        <v>0.34152661582882948</v>
      </c>
      <c r="S58" s="24">
        <f t="shared" ref="S58" si="103">S31/R31-1</f>
        <v>0.21981236203090515</v>
      </c>
      <c r="T58" s="24">
        <f t="shared" ref="T58" si="104">T31/S31-1</f>
        <v>0.17830158801972584</v>
      </c>
      <c r="U58" s="24">
        <f t="shared" ref="U58" si="105">U31/T31-1</f>
        <v>0.1534326524343419</v>
      </c>
    </row>
    <row r="59" spans="3:26" s="24" customFormat="1" x14ac:dyDescent="0.25">
      <c r="C59" s="24" t="s">
        <v>131</v>
      </c>
      <c r="P59" s="24">
        <f t="shared" ref="P59" si="106">P31/L31-1</f>
        <v>-0.13223938223938225</v>
      </c>
      <c r="Q59" s="24">
        <f t="shared" ref="Q59" si="107">Q31/M31-1</f>
        <v>1.0147673031026252</v>
      </c>
      <c r="R59" s="24">
        <f>R31/N31-1</f>
        <v>2.0551340414769852</v>
      </c>
      <c r="S59" s="24">
        <f t="shared" ref="S59" si="108">S31/O31-1</f>
        <v>2.6527846636919516</v>
      </c>
      <c r="T59" s="24">
        <f t="shared" ref="T59" si="109">T31/P31-1</f>
        <v>2.6212458286985538</v>
      </c>
      <c r="U59" s="24">
        <f t="shared" ref="U59" si="110">U31/Q31-1</f>
        <v>1.2240319834160065</v>
      </c>
    </row>
    <row r="60" spans="3:26" s="24" customFormat="1" x14ac:dyDescent="0.25"/>
    <row r="61" spans="3:26" s="24" customFormat="1" x14ac:dyDescent="0.25">
      <c r="C61" s="24" t="s">
        <v>181</v>
      </c>
      <c r="L61" s="24">
        <f t="shared" ref="L61:P61" si="111">L38/K38-1</f>
        <v>-0.37104377104377106</v>
      </c>
      <c r="M61" s="24">
        <f t="shared" si="111"/>
        <v>-0.73286937901498928</v>
      </c>
      <c r="N61" s="24">
        <f t="shared" si="111"/>
        <v>0.20440881763527052</v>
      </c>
      <c r="O61" s="24">
        <f t="shared" si="111"/>
        <v>1.0915141430948418</v>
      </c>
      <c r="P61" s="24">
        <f t="shared" ref="P61:U61" si="112">P38/O38-1</f>
        <v>0.70246618933969773</v>
      </c>
      <c r="Q61" s="24">
        <f t="shared" si="112"/>
        <v>2.1775700934579438</v>
      </c>
      <c r="R61" s="24">
        <f t="shared" si="112"/>
        <v>0.53191176470588242</v>
      </c>
      <c r="S61" s="24">
        <f t="shared" si="112"/>
        <v>0.30699817605836621</v>
      </c>
      <c r="T61" s="24">
        <f t="shared" si="112"/>
        <v>0.24193903782592718</v>
      </c>
      <c r="U61" s="24">
        <f>U38/T38-1</f>
        <v>0.10248979833224903</v>
      </c>
    </row>
    <row r="62" spans="3:26" s="24" customFormat="1" x14ac:dyDescent="0.25">
      <c r="C62" s="24" t="s">
        <v>182</v>
      </c>
      <c r="O62" s="24">
        <f t="shared" ref="O62:T62" si="113">O38/K38-1</f>
        <v>-0.57676767676767682</v>
      </c>
      <c r="P62" s="24">
        <f t="shared" si="113"/>
        <v>0.145610278372591</v>
      </c>
      <c r="Q62" s="24">
        <f t="shared" si="113"/>
        <v>12.627254509018035</v>
      </c>
      <c r="R62" s="24">
        <f t="shared" si="113"/>
        <v>16.332778702163061</v>
      </c>
      <c r="S62" s="24">
        <f t="shared" si="113"/>
        <v>9.831344470962609</v>
      </c>
      <c r="T62" s="24">
        <f t="shared" si="113"/>
        <v>6.9014018691588781</v>
      </c>
      <c r="U62" s="24">
        <f>U38/Q38-1</f>
        <v>1.7414705882352943</v>
      </c>
    </row>
    <row r="63" spans="3:26" s="24" customFormat="1" x14ac:dyDescent="0.25"/>
    <row r="64" spans="3:26" s="24" customFormat="1" x14ac:dyDescent="0.25">
      <c r="C64" s="24" t="s">
        <v>183</v>
      </c>
      <c r="L64" s="24">
        <f t="shared" ref="L64:P64" si="114">L45/K45-1</f>
        <v>-0.46120546120546124</v>
      </c>
      <c r="M64" s="24">
        <f t="shared" si="114"/>
        <v>-0.59456118665018542</v>
      </c>
      <c r="N64" s="24">
        <f t="shared" si="114"/>
        <v>3.6585365853658569E-2</v>
      </c>
      <c r="O64" s="24">
        <f t="shared" si="114"/>
        <v>1.0794117647058825</v>
      </c>
      <c r="P64" s="24">
        <f t="shared" ref="P64:U64" si="115">P45/O45-1</f>
        <v>0.44483734087694482</v>
      </c>
      <c r="Q64" s="24">
        <f t="shared" si="115"/>
        <v>2.0288790993636807</v>
      </c>
      <c r="R64" s="24">
        <f t="shared" si="115"/>
        <v>0.49369747899159666</v>
      </c>
      <c r="S64" s="24">
        <f t="shared" si="115"/>
        <v>0.32911392405063289</v>
      </c>
      <c r="T64" s="24">
        <f t="shared" si="115"/>
        <v>0.21131461131461138</v>
      </c>
      <c r="U64" s="24">
        <f>U45/T45-1</f>
        <v>0.11544923056246215</v>
      </c>
    </row>
    <row r="65" spans="3:24" s="24" customFormat="1" x14ac:dyDescent="0.25">
      <c r="C65" s="24" t="s">
        <v>184</v>
      </c>
      <c r="O65" s="24">
        <f t="shared" ref="O65" si="116">O45/K45-1</f>
        <v>-0.52913752913752909</v>
      </c>
      <c r="P65" s="24">
        <f t="shared" ref="P65:T65" si="117">P45/L45-1</f>
        <v>0.26266996291718181</v>
      </c>
      <c r="Q65" s="24">
        <f t="shared" si="117"/>
        <v>8.4329268292682933</v>
      </c>
      <c r="R65" s="24">
        <f t="shared" si="117"/>
        <v>12.592647058823529</v>
      </c>
      <c r="S65" s="24">
        <f t="shared" si="117"/>
        <v>7.6881188118811874</v>
      </c>
      <c r="T65" s="24">
        <f t="shared" si="117"/>
        <v>6.283896231032795</v>
      </c>
      <c r="U65" s="24">
        <f>U45/Q45-1</f>
        <v>1.6824499030381381</v>
      </c>
    </row>
    <row r="66" spans="3:24" s="24" customFormat="1" x14ac:dyDescent="0.25"/>
    <row r="68" spans="3:24" s="48" customFormat="1" x14ac:dyDescent="0.25">
      <c r="C68" s="48" t="s">
        <v>85</v>
      </c>
      <c r="D68" s="48" t="e">
        <f t="shared" ref="D68:J68" si="118">D33/D31</f>
        <v>#DIV/0!</v>
      </c>
      <c r="E68" s="48" t="e">
        <f t="shared" si="118"/>
        <v>#DIV/0!</v>
      </c>
      <c r="F68" s="48" t="e">
        <f t="shared" si="118"/>
        <v>#DIV/0!</v>
      </c>
      <c r="G68" s="48" t="e">
        <f t="shared" si="118"/>
        <v>#DIV/0!</v>
      </c>
      <c r="H68" s="48" t="e">
        <f t="shared" si="118"/>
        <v>#DIV/0!</v>
      </c>
      <c r="I68" s="48" t="e">
        <f t="shared" si="118"/>
        <v>#DIV/0!</v>
      </c>
      <c r="J68" s="48" t="e">
        <f t="shared" si="118"/>
        <v>#DIV/0!</v>
      </c>
      <c r="K68" s="48">
        <f t="shared" ref="K68:L68" si="119">K33/K31</f>
        <v>0.65406254088708626</v>
      </c>
      <c r="L68" s="48">
        <f t="shared" si="119"/>
        <v>0.65528474903474898</v>
      </c>
      <c r="M68" s="48">
        <f>M33/M31</f>
        <v>0.43481503579952269</v>
      </c>
      <c r="N68" s="48">
        <f>N33/N31</f>
        <v>0.53566009104704093</v>
      </c>
      <c r="O68" s="48">
        <f t="shared" ref="O68:P68" si="120">O33/O31</f>
        <v>0.63344901669145592</v>
      </c>
      <c r="P68" s="48">
        <f t="shared" si="120"/>
        <v>0.64627363737486099</v>
      </c>
      <c r="Q68" s="48">
        <f t="shared" ref="Q68" si="121">Q33/Q31</f>
        <v>0.7005256533649219</v>
      </c>
      <c r="R68" s="48">
        <f>R33/R31</f>
        <v>0.73951434878587197</v>
      </c>
      <c r="S68" s="48">
        <f>S33/S31</f>
        <v>0.75967063294575399</v>
      </c>
      <c r="T68" s="48">
        <f>T33/T31</f>
        <v>0.78352019659038552</v>
      </c>
      <c r="U68" s="48">
        <f t="shared" ref="U68" si="122">U33/U31</f>
        <v>0.75146471371504664</v>
      </c>
      <c r="V68" s="48" t="e">
        <f>V33/V31</f>
        <v>#DIV/0!</v>
      </c>
      <c r="W68" s="48" t="e">
        <f>W33/W31</f>
        <v>#DIV/0!</v>
      </c>
      <c r="X68" s="48" t="e">
        <f>X33/X31</f>
        <v>#DIV/0!</v>
      </c>
    </row>
    <row r="69" spans="3:24" s="48" customFormat="1" x14ac:dyDescent="0.25">
      <c r="C69" s="48" t="s">
        <v>86</v>
      </c>
      <c r="D69" s="48" t="e">
        <f t="shared" ref="D69:J69" si="123">D38/D31</f>
        <v>#DIV/0!</v>
      </c>
      <c r="E69" s="48" t="e">
        <f t="shared" si="123"/>
        <v>#DIV/0!</v>
      </c>
      <c r="F69" s="48" t="e">
        <f t="shared" si="123"/>
        <v>#DIV/0!</v>
      </c>
      <c r="G69" s="48" t="e">
        <f t="shared" si="123"/>
        <v>#DIV/0!</v>
      </c>
      <c r="H69" s="48" t="e">
        <f t="shared" si="123"/>
        <v>#DIV/0!</v>
      </c>
      <c r="I69" s="48" t="e">
        <f t="shared" si="123"/>
        <v>#DIV/0!</v>
      </c>
      <c r="J69" s="48" t="e">
        <f t="shared" si="123"/>
        <v>#DIV/0!</v>
      </c>
      <c r="K69" s="48">
        <f t="shared" ref="K69:L69" si="124">K38/K31</f>
        <v>0.38859086746042132</v>
      </c>
      <c r="L69" s="48">
        <f t="shared" si="124"/>
        <v>0.22538610038610038</v>
      </c>
      <c r="M69" s="48">
        <f>M38/M31</f>
        <v>7.4433174224343673E-2</v>
      </c>
      <c r="N69" s="48">
        <f>N38/N31</f>
        <v>0.10133198448828191</v>
      </c>
      <c r="O69" s="48">
        <f t="shared" ref="O69:P69" si="125">O38/O31</f>
        <v>0.2077342588001983</v>
      </c>
      <c r="P69" s="48">
        <f t="shared" si="125"/>
        <v>0.29755283648498332</v>
      </c>
      <c r="Q69" s="48">
        <f t="shared" ref="Q69" si="126">Q38/Q31</f>
        <v>0.50344265936181243</v>
      </c>
      <c r="R69" s="48">
        <f>R38/R31</f>
        <v>0.5748896247240618</v>
      </c>
      <c r="S69" s="48">
        <f t="shared" ref="S69:X69" si="127">S38/S31</f>
        <v>0.61597973125820027</v>
      </c>
      <c r="T69" s="48">
        <f t="shared" si="127"/>
        <v>0.64924742743050223</v>
      </c>
      <c r="U69" s="48">
        <f t="shared" ref="U69" si="128">U38/U31</f>
        <v>0.62057256990679099</v>
      </c>
      <c r="V69" s="48" t="e">
        <f t="shared" si="127"/>
        <v>#DIV/0!</v>
      </c>
      <c r="W69" s="48" t="e">
        <f t="shared" si="127"/>
        <v>#DIV/0!</v>
      </c>
      <c r="X69" s="48" t="e">
        <f t="shared" si="127"/>
        <v>#DIV/0!</v>
      </c>
    </row>
    <row r="70" spans="3:24" s="48" customFormat="1" x14ac:dyDescent="0.25">
      <c r="C70" s="48" t="s">
        <v>87</v>
      </c>
      <c r="D70" s="48" t="e">
        <f t="shared" ref="D70:J70" si="129">D45/D31</f>
        <v>#DIV/0!</v>
      </c>
      <c r="E70" s="48" t="e">
        <f t="shared" si="129"/>
        <v>#DIV/0!</v>
      </c>
      <c r="F70" s="48" t="e">
        <f t="shared" si="129"/>
        <v>#DIV/0!</v>
      </c>
      <c r="G70" s="48" t="e">
        <f t="shared" si="129"/>
        <v>#DIV/0!</v>
      </c>
      <c r="H70" s="48" t="e">
        <f t="shared" si="129"/>
        <v>#DIV/0!</v>
      </c>
      <c r="I70" s="48" t="e">
        <f t="shared" si="129"/>
        <v>#DIV/0!</v>
      </c>
      <c r="J70" s="48" t="e">
        <f t="shared" si="129"/>
        <v>#DIV/0!</v>
      </c>
      <c r="K70" s="48">
        <f t="shared" ref="K70:L70" si="130">K45/K31</f>
        <v>0.39290854376553708</v>
      </c>
      <c r="L70" s="48">
        <f t="shared" si="130"/>
        <v>0.19522200772200773</v>
      </c>
      <c r="M70" s="48">
        <f>M45/M31</f>
        <v>9.7852028639618144E-2</v>
      </c>
      <c r="N70" s="48">
        <f>N45/N31</f>
        <v>0.11465182937110099</v>
      </c>
      <c r="O70" s="48">
        <f t="shared" ref="O70:P70" si="131">O45/O31</f>
        <v>0.2336803834077012</v>
      </c>
      <c r="P70" s="48">
        <f t="shared" si="131"/>
        <v>0.28406562847608452</v>
      </c>
      <c r="Q70" s="48">
        <f t="shared" ref="Q70" si="132">Q45/Q31</f>
        <v>0.45813282001924927</v>
      </c>
      <c r="R70" s="48">
        <f>R45/R31</f>
        <v>0.51009933774834437</v>
      </c>
      <c r="S70" s="48">
        <f t="shared" ref="S70:X70" si="133">S45/S31</f>
        <v>0.55580690404017552</v>
      </c>
      <c r="T70" s="48">
        <f t="shared" si="133"/>
        <v>0.57137920442328372</v>
      </c>
      <c r="U70" s="48">
        <f t="shared" ref="U70" si="134">U45/U31</f>
        <v>0.55256324900133158</v>
      </c>
      <c r="V70" s="48" t="e">
        <f t="shared" si="133"/>
        <v>#DIV/0!</v>
      </c>
      <c r="W70" s="48" t="e">
        <f t="shared" si="133"/>
        <v>#DIV/0!</v>
      </c>
      <c r="X70" s="48" t="e">
        <f t="shared" si="133"/>
        <v>#DIV/0!</v>
      </c>
    </row>
    <row r="71" spans="3:24" s="48" customFormat="1" x14ac:dyDescent="0.25">
      <c r="C71" s="48" t="s">
        <v>88</v>
      </c>
      <c r="D71" s="48" t="e">
        <f t="shared" ref="D71:J71" si="135">D44/D43</f>
        <v>#DIV/0!</v>
      </c>
      <c r="E71" s="48" t="e">
        <f t="shared" si="135"/>
        <v>#DIV/0!</v>
      </c>
      <c r="F71" s="48" t="e">
        <f t="shared" si="135"/>
        <v>#DIV/0!</v>
      </c>
      <c r="G71" s="48" t="e">
        <f t="shared" si="135"/>
        <v>#DIV/0!</v>
      </c>
      <c r="H71" s="48" t="e">
        <f t="shared" si="135"/>
        <v>#DIV/0!</v>
      </c>
      <c r="I71" s="48" t="e">
        <f t="shared" si="135"/>
        <v>#DIV/0!</v>
      </c>
      <c r="J71" s="48" t="e">
        <f t="shared" si="135"/>
        <v>#DIV/0!</v>
      </c>
      <c r="K71" s="48">
        <f t="shared" ref="K71:L71" si="136">K44/K43</f>
        <v>-4.8167539267015703E-2</v>
      </c>
      <c r="L71" s="48">
        <f t="shared" si="136"/>
        <v>0.10360110803324099</v>
      </c>
      <c r="M71" s="48">
        <f>M44/M43</f>
        <v>-0.38105263157894737</v>
      </c>
      <c r="N71" s="48">
        <f>N44/N43</f>
        <v>-0.10929853181076672</v>
      </c>
      <c r="O71" s="48">
        <f t="shared" ref="O71:P71" si="137">O44/O43</f>
        <v>-9.6974398758727695E-2</v>
      </c>
      <c r="P71" s="48">
        <f t="shared" si="137"/>
        <v>7.5147125396106837E-2</v>
      </c>
      <c r="Q71" s="48">
        <f t="shared" ref="Q71" si="138">Q44/Q43</f>
        <v>0.11359404096834265</v>
      </c>
      <c r="R71" s="48">
        <f>R44/R43</f>
        <v>0.12155483748336818</v>
      </c>
      <c r="S71" s="48">
        <f>S44/S43</f>
        <v>0.12909400255210549</v>
      </c>
      <c r="T71" s="48">
        <f>T44/T43</f>
        <v>0.13878117946640431</v>
      </c>
      <c r="U71" s="48">
        <f t="shared" ref="U71" si="139">U44/U43</f>
        <v>0.1360986780472572</v>
      </c>
      <c r="V71" s="48" t="e">
        <f>V44/V43</f>
        <v>#DIV/0!</v>
      </c>
      <c r="W71" s="48" t="e">
        <f>W44/W43</f>
        <v>#DIV/0!</v>
      </c>
      <c r="X71" s="48" t="e">
        <f>X44/X43</f>
        <v>#DIV/0!</v>
      </c>
    </row>
    <row r="74" spans="3:24" s="14" customFormat="1" x14ac:dyDescent="0.25">
      <c r="C74" s="14" t="s">
        <v>39</v>
      </c>
      <c r="K74" s="14">
        <v>-692</v>
      </c>
      <c r="L74" s="14">
        <v>-788</v>
      </c>
      <c r="M74" s="14">
        <v>120</v>
      </c>
      <c r="N74" s="14">
        <v>410</v>
      </c>
      <c r="O74" s="14">
        <v>1081</v>
      </c>
      <c r="P74" s="14">
        <v>-252</v>
      </c>
      <c r="Q74" s="14">
        <v>-2986</v>
      </c>
      <c r="R74" s="14">
        <v>-1243</v>
      </c>
      <c r="S74" s="14">
        <v>-1690</v>
      </c>
      <c r="T74" s="14">
        <v>-2366</v>
      </c>
      <c r="U74" s="14">
        <v>-1767</v>
      </c>
    </row>
    <row r="75" spans="3:24" s="14" customFormat="1" x14ac:dyDescent="0.25">
      <c r="C75" s="14" t="s">
        <v>115</v>
      </c>
      <c r="K75" s="14">
        <v>-374</v>
      </c>
      <c r="L75" s="14">
        <v>-560</v>
      </c>
      <c r="M75" s="14">
        <v>-725</v>
      </c>
      <c r="N75" s="14">
        <v>-563</v>
      </c>
      <c r="O75" s="14">
        <v>-706</v>
      </c>
      <c r="P75" s="14">
        <v>566</v>
      </c>
      <c r="Q75" s="14">
        <v>296</v>
      </c>
      <c r="R75" s="14">
        <v>-457</v>
      </c>
      <c r="S75" s="14">
        <v>-503</v>
      </c>
      <c r="T75" s="14">
        <v>-577</v>
      </c>
      <c r="U75" s="14">
        <v>-803</v>
      </c>
    </row>
    <row r="76" spans="3:24" s="14" customFormat="1" x14ac:dyDescent="0.25">
      <c r="C76" s="14" t="s">
        <v>41</v>
      </c>
      <c r="K76" s="14">
        <v>-158</v>
      </c>
      <c r="L76" s="14">
        <v>-1261</v>
      </c>
      <c r="M76" s="14">
        <v>-293</v>
      </c>
      <c r="N76" s="14">
        <v>247</v>
      </c>
      <c r="O76" s="14">
        <v>-210</v>
      </c>
      <c r="P76" s="14">
        <v>-215</v>
      </c>
      <c r="Q76" s="14">
        <v>-376</v>
      </c>
      <c r="R76" s="14">
        <v>254</v>
      </c>
      <c r="S76" s="14">
        <v>-1184</v>
      </c>
      <c r="T76" s="14">
        <v>-726</v>
      </c>
      <c r="U76" s="14">
        <v>714</v>
      </c>
    </row>
    <row r="77" spans="3:24" s="14" customFormat="1" x14ac:dyDescent="0.25">
      <c r="C77" s="14" t="s">
        <v>113</v>
      </c>
      <c r="K77" s="14">
        <v>183</v>
      </c>
      <c r="L77" s="14">
        <v>255</v>
      </c>
      <c r="M77" s="14">
        <v>304</v>
      </c>
      <c r="N77" s="14">
        <v>-917</v>
      </c>
      <c r="O77" s="14">
        <v>-193</v>
      </c>
      <c r="P77" s="14">
        <v>11</v>
      </c>
      <c r="Q77" s="14">
        <v>777</v>
      </c>
      <c r="R77" s="14">
        <v>461</v>
      </c>
      <c r="S77" s="14">
        <v>281</v>
      </c>
      <c r="T77" s="14">
        <v>-22</v>
      </c>
      <c r="U77" s="14">
        <v>823</v>
      </c>
    </row>
    <row r="78" spans="3:24" s="14" customFormat="1" x14ac:dyDescent="0.25">
      <c r="C78" s="14" t="s">
        <v>116</v>
      </c>
      <c r="K78" s="14">
        <v>423</v>
      </c>
      <c r="L78" s="14">
        <v>634</v>
      </c>
      <c r="M78" s="14">
        <v>633</v>
      </c>
      <c r="N78" s="14">
        <v>-92</v>
      </c>
      <c r="O78" s="14">
        <v>166</v>
      </c>
      <c r="P78" s="14">
        <v>689</v>
      </c>
      <c r="Q78" s="14">
        <v>1986</v>
      </c>
      <c r="R78" s="14">
        <v>-1722</v>
      </c>
      <c r="S78" s="14">
        <v>1072</v>
      </c>
      <c r="T78" s="14">
        <v>4202</v>
      </c>
      <c r="U78" s="14">
        <v>-888</v>
      </c>
    </row>
    <row r="79" spans="3:24" s="14" customFormat="1" x14ac:dyDescent="0.25">
      <c r="C79" s="14" t="s">
        <v>114</v>
      </c>
      <c r="K79" s="14">
        <v>-61</v>
      </c>
      <c r="L79" s="14">
        <v>70</v>
      </c>
      <c r="M79" s="14">
        <v>-10</v>
      </c>
      <c r="N79" s="14">
        <v>42</v>
      </c>
      <c r="O79" s="14">
        <v>150</v>
      </c>
      <c r="P79" s="14">
        <v>105</v>
      </c>
      <c r="Q79" s="14">
        <v>131</v>
      </c>
      <c r="R79" s="14">
        <v>-28</v>
      </c>
      <c r="S79" s="14">
        <v>305</v>
      </c>
      <c r="T79" s="14">
        <v>323</v>
      </c>
      <c r="U79" s="14">
        <v>260</v>
      </c>
    </row>
    <row r="80" spans="3:24" s="5" customFormat="1" x14ac:dyDescent="0.25">
      <c r="E80" s="36"/>
      <c r="F80" s="36"/>
      <c r="G80" s="36"/>
      <c r="H80" s="36" t="s">
        <v>118</v>
      </c>
      <c r="I80" s="36" t="s">
        <v>118</v>
      </c>
      <c r="J80" s="36" t="s">
        <v>118</v>
      </c>
      <c r="K80" s="36" t="s">
        <v>118</v>
      </c>
      <c r="L80" s="36" t="s">
        <v>118</v>
      </c>
      <c r="M80" s="36" t="s">
        <v>118</v>
      </c>
      <c r="N80" s="36" t="s">
        <v>118</v>
      </c>
      <c r="O80" s="36" t="s">
        <v>118</v>
      </c>
      <c r="P80" s="36" t="s">
        <v>118</v>
      </c>
      <c r="Q80" s="36" t="s">
        <v>118</v>
      </c>
      <c r="R80" s="36" t="s">
        <v>118</v>
      </c>
      <c r="S80" s="36" t="s">
        <v>118</v>
      </c>
      <c r="T80" s="36" t="s">
        <v>118</v>
      </c>
      <c r="U80" s="36" t="s">
        <v>118</v>
      </c>
      <c r="V80" s="36" t="s">
        <v>118</v>
      </c>
      <c r="W80" s="36" t="s">
        <v>118</v>
      </c>
    </row>
    <row r="81" spans="3:24" s="37" customFormat="1" x14ac:dyDescent="0.25">
      <c r="C81" s="20" t="s">
        <v>117</v>
      </c>
      <c r="J81" s="18"/>
      <c r="K81" s="37">
        <f t="shared" ref="K81:S81" si="140">SUM(K74:K79)</f>
        <v>-679</v>
      </c>
      <c r="L81" s="37">
        <f t="shared" si="140"/>
        <v>-1650</v>
      </c>
      <c r="M81" s="37">
        <f t="shared" si="140"/>
        <v>29</v>
      </c>
      <c r="N81" s="37">
        <f t="shared" si="140"/>
        <v>-873</v>
      </c>
      <c r="O81" s="37">
        <f t="shared" si="140"/>
        <v>288</v>
      </c>
      <c r="P81" s="37">
        <f t="shared" si="140"/>
        <v>904</v>
      </c>
      <c r="Q81" s="37">
        <f t="shared" si="140"/>
        <v>-172</v>
      </c>
      <c r="R81" s="37">
        <f t="shared" si="140"/>
        <v>-2735</v>
      </c>
      <c r="S81" s="37">
        <f t="shared" si="140"/>
        <v>-1719</v>
      </c>
      <c r="T81" s="37">
        <f>SUM(T74:T79)</f>
        <v>834</v>
      </c>
      <c r="U81" s="37">
        <f t="shared" ref="U81" si="141">SUM(U74:U79)</f>
        <v>-1661</v>
      </c>
    </row>
    <row r="85" spans="3:24" x14ac:dyDescent="0.25">
      <c r="C85" s="38" t="s">
        <v>120</v>
      </c>
      <c r="D85" s="39"/>
      <c r="E85" s="39"/>
      <c r="F85" s="39"/>
      <c r="G85" s="39"/>
      <c r="H85" s="39"/>
      <c r="I85" s="40"/>
      <c r="J85" s="40"/>
      <c r="K85" s="40"/>
      <c r="L85" s="40">
        <v>3750</v>
      </c>
      <c r="M85" s="40">
        <v>3806</v>
      </c>
      <c r="N85" s="40">
        <v>3833</v>
      </c>
      <c r="O85" s="40">
        <f>15005-SUM(L85:N85)</f>
        <v>3616</v>
      </c>
      <c r="P85" s="40">
        <v>4284</v>
      </c>
      <c r="Q85" s="40">
        <v>10323</v>
      </c>
      <c r="R85" s="40">
        <v>14514</v>
      </c>
      <c r="S85" s="40">
        <f>47525-SUM(P85:R85)</f>
        <v>18404</v>
      </c>
      <c r="T85" s="40">
        <v>22563</v>
      </c>
      <c r="U85" s="40">
        <v>26272</v>
      </c>
      <c r="V85" s="39"/>
      <c r="W85" s="39"/>
      <c r="X85" s="39"/>
    </row>
    <row r="86" spans="3:24" x14ac:dyDescent="0.25">
      <c r="C86" s="41" t="s">
        <v>119</v>
      </c>
      <c r="I86" s="14"/>
      <c r="J86" s="14"/>
      <c r="K86" s="14"/>
      <c r="L86" s="14">
        <v>3620</v>
      </c>
      <c r="M86" s="14">
        <v>2042</v>
      </c>
      <c r="N86" s="14">
        <v>1574</v>
      </c>
      <c r="O86" s="14">
        <f>9067-SUM(L86:N86)</f>
        <v>1831</v>
      </c>
      <c r="P86" s="14">
        <v>2240</v>
      </c>
      <c r="Q86" s="14">
        <v>2486</v>
      </c>
      <c r="R86" s="14">
        <v>2856</v>
      </c>
      <c r="S86" s="14">
        <f>10447-SUM(P86:R86)</f>
        <v>2865</v>
      </c>
      <c r="T86" s="14">
        <v>2647</v>
      </c>
      <c r="U86" s="14">
        <v>2880</v>
      </c>
    </row>
    <row r="87" spans="3:24" x14ac:dyDescent="0.25">
      <c r="C87" s="41" t="s">
        <v>122</v>
      </c>
      <c r="I87" s="14"/>
      <c r="J87" s="14"/>
      <c r="K87" s="14"/>
      <c r="L87" s="14">
        <v>622</v>
      </c>
      <c r="M87" s="14">
        <v>496</v>
      </c>
      <c r="N87" s="14">
        <v>200</v>
      </c>
      <c r="O87" s="14">
        <f>1544-SUM(L87:N87)</f>
        <v>226</v>
      </c>
      <c r="P87" s="14">
        <v>295</v>
      </c>
      <c r="Q87" s="14">
        <v>379</v>
      </c>
      <c r="R87" s="14">
        <v>416</v>
      </c>
      <c r="S87" s="14">
        <f>1553-SUM(P87:R87)</f>
        <v>463</v>
      </c>
      <c r="T87" s="14">
        <v>427</v>
      </c>
      <c r="U87" s="14">
        <v>454</v>
      </c>
    </row>
    <row r="88" spans="3:24" x14ac:dyDescent="0.25">
      <c r="C88" s="41" t="s">
        <v>123</v>
      </c>
      <c r="I88" s="14"/>
      <c r="J88" s="14"/>
      <c r="K88" s="14"/>
      <c r="L88" s="14">
        <v>138</v>
      </c>
      <c r="M88" s="14">
        <v>220</v>
      </c>
      <c r="N88" s="14">
        <v>251</v>
      </c>
      <c r="O88" s="14">
        <f>903-SUM(L88:N88)</f>
        <v>294</v>
      </c>
      <c r="P88" s="14">
        <v>296</v>
      </c>
      <c r="Q88" s="14">
        <v>253</v>
      </c>
      <c r="R88" s="14">
        <v>261</v>
      </c>
      <c r="S88" s="14">
        <f>1091-SUM(P88:R88)</f>
        <v>281</v>
      </c>
      <c r="T88" s="14">
        <v>329</v>
      </c>
      <c r="U88" s="14">
        <v>346</v>
      </c>
    </row>
    <row r="89" spans="3:24" x14ac:dyDescent="0.25">
      <c r="C89" s="41" t="s">
        <v>121</v>
      </c>
      <c r="I89" s="14"/>
      <c r="J89" s="14"/>
      <c r="K89" s="14"/>
      <c r="L89" s="14">
        <v>158</v>
      </c>
      <c r="M89" s="14">
        <v>140</v>
      </c>
      <c r="N89" s="14">
        <v>73</v>
      </c>
      <c r="O89" s="14">
        <f>455-SUM(L89:N89)</f>
        <v>84</v>
      </c>
      <c r="P89" s="14">
        <v>77</v>
      </c>
      <c r="Q89" s="14">
        <v>66</v>
      </c>
      <c r="R89" s="14">
        <v>73</v>
      </c>
      <c r="S89" s="14">
        <f>306-SUM(P89:R89)</f>
        <v>90</v>
      </c>
      <c r="T89" s="14">
        <v>78</v>
      </c>
      <c r="U89" s="14">
        <v>88</v>
      </c>
    </row>
    <row r="90" spans="3:24" s="15" customFormat="1" x14ac:dyDescent="0.25">
      <c r="C90" s="42" t="s">
        <v>124</v>
      </c>
      <c r="H90" s="20">
        <f t="shared" ref="H90:Q90" si="142">SUM(H85:H89)</f>
        <v>0</v>
      </c>
      <c r="I90" s="20">
        <f t="shared" si="142"/>
        <v>0</v>
      </c>
      <c r="J90" s="20">
        <f t="shared" si="142"/>
        <v>0</v>
      </c>
      <c r="K90" s="20">
        <f t="shared" si="142"/>
        <v>0</v>
      </c>
      <c r="L90" s="20">
        <f t="shared" si="142"/>
        <v>8288</v>
      </c>
      <c r="M90" s="20">
        <f t="shared" si="142"/>
        <v>6704</v>
      </c>
      <c r="N90" s="20">
        <f t="shared" si="142"/>
        <v>5931</v>
      </c>
      <c r="O90" s="20">
        <f t="shared" si="142"/>
        <v>6051</v>
      </c>
      <c r="P90" s="20">
        <f t="shared" si="142"/>
        <v>7192</v>
      </c>
      <c r="Q90" s="20">
        <f t="shared" si="142"/>
        <v>13507</v>
      </c>
      <c r="R90" s="20">
        <f>SUM(R85:R89)</f>
        <v>18120</v>
      </c>
      <c r="S90" s="20">
        <f t="shared" ref="S90:U90" si="143">SUM(S85:S89)</f>
        <v>22103</v>
      </c>
      <c r="T90" s="20">
        <f t="shared" si="143"/>
        <v>26044</v>
      </c>
      <c r="U90" s="20">
        <f t="shared" si="143"/>
        <v>30040</v>
      </c>
    </row>
    <row r="91" spans="3:24" x14ac:dyDescent="0.25">
      <c r="C91" s="41"/>
    </row>
    <row r="92" spans="3:24" s="24" customFormat="1" x14ac:dyDescent="0.25">
      <c r="C92" s="43" t="s">
        <v>127</v>
      </c>
      <c r="P92" s="24">
        <f t="shared" ref="P92:P97" si="144">P85/L85-1</f>
        <v>0.14240000000000008</v>
      </c>
      <c r="Q92" s="24">
        <f t="shared" ref="Q92:Q97" si="145">Q85/M85-1</f>
        <v>1.712296374146085</v>
      </c>
      <c r="R92" s="24">
        <f>R85/N85-1</f>
        <v>2.7865901382728935</v>
      </c>
      <c r="S92" s="24">
        <f t="shared" ref="S92:S97" si="146">S85/O85-1</f>
        <v>4.0896017699115044</v>
      </c>
      <c r="T92" s="24">
        <f t="shared" ref="T92:T97" si="147">T85/P85-1</f>
        <v>4.2668067226890756</v>
      </c>
      <c r="U92" s="24">
        <f t="shared" ref="U92:U97" si="148">U85/Q85-1</f>
        <v>1.5449966095127388</v>
      </c>
    </row>
    <row r="93" spans="3:24" s="24" customFormat="1" x14ac:dyDescent="0.25">
      <c r="C93" s="43" t="s">
        <v>126</v>
      </c>
      <c r="P93" s="24">
        <f t="shared" si="144"/>
        <v>-0.38121546961325969</v>
      </c>
      <c r="Q93" s="24">
        <f t="shared" si="145"/>
        <v>0.21743388834475996</v>
      </c>
      <c r="R93" s="24">
        <f t="shared" ref="R93:R97" si="149">R86/N86-1</f>
        <v>0.81448538754764921</v>
      </c>
      <c r="S93" s="24">
        <f t="shared" si="146"/>
        <v>0.5647187329328236</v>
      </c>
      <c r="T93" s="24">
        <f t="shared" si="147"/>
        <v>0.18169642857142865</v>
      </c>
      <c r="U93" s="24">
        <f t="shared" si="148"/>
        <v>0.15848753016894612</v>
      </c>
    </row>
    <row r="94" spans="3:24" s="24" customFormat="1" x14ac:dyDescent="0.25">
      <c r="C94" s="43" t="s">
        <v>125</v>
      </c>
      <c r="P94" s="24">
        <f t="shared" si="144"/>
        <v>-0.52572347266881025</v>
      </c>
      <c r="Q94" s="24">
        <f t="shared" si="145"/>
        <v>-0.23588709677419351</v>
      </c>
      <c r="R94" s="24">
        <f t="shared" si="149"/>
        <v>1.08</v>
      </c>
      <c r="S94" s="24">
        <f t="shared" si="146"/>
        <v>1.0486725663716814</v>
      </c>
      <c r="T94" s="24">
        <f t="shared" si="147"/>
        <v>0.44745762711864412</v>
      </c>
      <c r="U94" s="24">
        <f t="shared" si="148"/>
        <v>0.19788918205804751</v>
      </c>
    </row>
    <row r="95" spans="3:24" s="24" customFormat="1" x14ac:dyDescent="0.25">
      <c r="C95" s="43" t="s">
        <v>128</v>
      </c>
      <c r="P95" s="24">
        <f t="shared" si="144"/>
        <v>1.1449275362318843</v>
      </c>
      <c r="Q95" s="24">
        <f t="shared" si="145"/>
        <v>0.14999999999999991</v>
      </c>
      <c r="R95" s="24">
        <f t="shared" si="149"/>
        <v>3.9840637450199168E-2</v>
      </c>
      <c r="S95" s="24">
        <f t="shared" si="146"/>
        <v>-4.4217687074829981E-2</v>
      </c>
      <c r="T95" s="24">
        <f t="shared" si="147"/>
        <v>0.1114864864864864</v>
      </c>
      <c r="U95" s="24">
        <f t="shared" si="148"/>
        <v>0.36758893280632421</v>
      </c>
    </row>
    <row r="96" spans="3:24" s="24" customFormat="1" x14ac:dyDescent="0.25">
      <c r="C96" s="43" t="s">
        <v>129</v>
      </c>
      <c r="P96" s="24">
        <f t="shared" si="144"/>
        <v>-0.51265822784810133</v>
      </c>
      <c r="Q96" s="24">
        <f t="shared" si="145"/>
        <v>-0.52857142857142858</v>
      </c>
      <c r="R96" s="24">
        <f t="shared" si="149"/>
        <v>0</v>
      </c>
      <c r="S96" s="24">
        <f t="shared" si="146"/>
        <v>7.1428571428571397E-2</v>
      </c>
      <c r="T96" s="24">
        <f t="shared" si="147"/>
        <v>1.298701298701288E-2</v>
      </c>
      <c r="U96" s="24">
        <f t="shared" si="148"/>
        <v>0.33333333333333326</v>
      </c>
    </row>
    <row r="97" spans="3:24" s="34" customFormat="1" x14ac:dyDescent="0.25">
      <c r="C97" s="58" t="s">
        <v>130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7">
        <f t="shared" si="144"/>
        <v>-0.13223938223938225</v>
      </c>
      <c r="Q97" s="57">
        <f t="shared" si="145"/>
        <v>1.0147673031026252</v>
      </c>
      <c r="R97" s="57">
        <f t="shared" si="149"/>
        <v>2.0551340414769852</v>
      </c>
      <c r="S97" s="57">
        <f t="shared" si="146"/>
        <v>2.6527846636919516</v>
      </c>
      <c r="T97" s="57">
        <f t="shared" si="147"/>
        <v>2.6212458286985538</v>
      </c>
      <c r="U97" s="57">
        <f t="shared" si="148"/>
        <v>1.2240319834160065</v>
      </c>
    </row>
    <row r="98" spans="3:24" x14ac:dyDescent="0.25">
      <c r="C98" s="41"/>
    </row>
    <row r="99" spans="3:24" x14ac:dyDescent="0.25">
      <c r="C99" s="41"/>
    </row>
    <row r="100" spans="3:24" s="24" customFormat="1" x14ac:dyDescent="0.25">
      <c r="C100" s="43" t="s">
        <v>174</v>
      </c>
      <c r="M100" s="24">
        <f t="shared" ref="M100:T100" si="150">M85/L85-1</f>
        <v>1.4933333333333243E-2</v>
      </c>
      <c r="N100" s="24">
        <f t="shared" si="150"/>
        <v>7.0940620073567384E-3</v>
      </c>
      <c r="O100" s="24">
        <f t="shared" si="150"/>
        <v>-5.6613618575528268E-2</v>
      </c>
      <c r="P100" s="24">
        <f t="shared" si="150"/>
        <v>0.18473451327433632</v>
      </c>
      <c r="Q100" s="24">
        <f t="shared" si="150"/>
        <v>1.4096638655462184</v>
      </c>
      <c r="R100" s="24">
        <f t="shared" si="150"/>
        <v>0.40598663179308336</v>
      </c>
      <c r="S100" s="24">
        <f t="shared" si="150"/>
        <v>0.2680170869505305</v>
      </c>
      <c r="T100" s="24">
        <f>T85/S85-1</f>
        <v>0.22598348185177142</v>
      </c>
      <c r="U100" s="24">
        <f t="shared" ref="U100" si="151">U85/T85-1</f>
        <v>0.16438416877188322</v>
      </c>
    </row>
    <row r="101" spans="3:24" s="24" customFormat="1" x14ac:dyDescent="0.25">
      <c r="C101" s="43" t="s">
        <v>175</v>
      </c>
      <c r="M101" s="24">
        <f t="shared" ref="M101:T101" si="152">M86/L86-1</f>
        <v>-0.43591160220994474</v>
      </c>
      <c r="N101" s="24">
        <f t="shared" si="152"/>
        <v>-0.2291870714985309</v>
      </c>
      <c r="O101" s="24">
        <f t="shared" si="152"/>
        <v>0.1632782719186785</v>
      </c>
      <c r="P101" s="24">
        <f t="shared" si="152"/>
        <v>0.22337520480611683</v>
      </c>
      <c r="Q101" s="24">
        <f t="shared" si="152"/>
        <v>0.10982142857142851</v>
      </c>
      <c r="R101" s="24">
        <f t="shared" si="152"/>
        <v>0.14883346741753822</v>
      </c>
      <c r="S101" s="24">
        <f t="shared" si="152"/>
        <v>3.1512605042016695E-3</v>
      </c>
      <c r="T101" s="24">
        <f t="shared" ref="T101:U105" si="153">T86/S86-1</f>
        <v>-7.6090750436300203E-2</v>
      </c>
      <c r="U101" s="24">
        <f t="shared" si="153"/>
        <v>8.8024178315073698E-2</v>
      </c>
    </row>
    <row r="102" spans="3:24" s="24" customFormat="1" x14ac:dyDescent="0.25">
      <c r="C102" s="43" t="s">
        <v>176</v>
      </c>
      <c r="M102" s="24">
        <f t="shared" ref="M102:T102" si="154">M87/L87-1</f>
        <v>-0.202572347266881</v>
      </c>
      <c r="N102" s="24">
        <f t="shared" si="154"/>
        <v>-0.59677419354838712</v>
      </c>
      <c r="O102" s="24">
        <f t="shared" si="154"/>
        <v>0.12999999999999989</v>
      </c>
      <c r="P102" s="24">
        <f t="shared" si="154"/>
        <v>0.30530973451327426</v>
      </c>
      <c r="Q102" s="24">
        <f t="shared" si="154"/>
        <v>0.28474576271186436</v>
      </c>
      <c r="R102" s="24">
        <f t="shared" si="154"/>
        <v>9.7625329815303363E-2</v>
      </c>
      <c r="S102" s="24">
        <f t="shared" si="154"/>
        <v>0.11298076923076916</v>
      </c>
      <c r="T102" s="24">
        <f t="shared" si="153"/>
        <v>-7.7753779697624203E-2</v>
      </c>
      <c r="U102" s="24">
        <f t="shared" si="153"/>
        <v>6.3231850117096089E-2</v>
      </c>
    </row>
    <row r="103" spans="3:24" s="24" customFormat="1" x14ac:dyDescent="0.25">
      <c r="C103" s="43" t="s">
        <v>177</v>
      </c>
      <c r="M103" s="24">
        <f t="shared" ref="M103:T103" si="155">M88/L88-1</f>
        <v>0.59420289855072461</v>
      </c>
      <c r="N103" s="24">
        <f t="shared" si="155"/>
        <v>0.14090909090909087</v>
      </c>
      <c r="O103" s="24">
        <f t="shared" si="155"/>
        <v>0.17131474103585664</v>
      </c>
      <c r="P103" s="24">
        <f t="shared" si="155"/>
        <v>6.8027210884353817E-3</v>
      </c>
      <c r="Q103" s="24">
        <f t="shared" si="155"/>
        <v>-0.14527027027027029</v>
      </c>
      <c r="R103" s="24">
        <f t="shared" si="155"/>
        <v>3.1620553359683834E-2</v>
      </c>
      <c r="S103" s="24">
        <f t="shared" si="155"/>
        <v>7.6628352490421436E-2</v>
      </c>
      <c r="T103" s="24">
        <f t="shared" si="153"/>
        <v>0.17081850533807819</v>
      </c>
      <c r="U103" s="24">
        <f t="shared" si="153"/>
        <v>5.1671732522796443E-2</v>
      </c>
    </row>
    <row r="104" spans="3:24" s="24" customFormat="1" x14ac:dyDescent="0.25">
      <c r="C104" s="43" t="s">
        <v>178</v>
      </c>
      <c r="M104" s="24">
        <f t="shared" ref="M104:T104" si="156">M89/L89-1</f>
        <v>-0.11392405063291144</v>
      </c>
      <c r="N104" s="24">
        <f t="shared" si="156"/>
        <v>-0.47857142857142854</v>
      </c>
      <c r="O104" s="24">
        <f t="shared" si="156"/>
        <v>0.15068493150684925</v>
      </c>
      <c r="P104" s="24">
        <f t="shared" si="156"/>
        <v>-8.333333333333337E-2</v>
      </c>
      <c r="Q104" s="24">
        <f t="shared" si="156"/>
        <v>-0.1428571428571429</v>
      </c>
      <c r="R104" s="24">
        <f t="shared" si="156"/>
        <v>0.10606060606060597</v>
      </c>
      <c r="S104" s="24">
        <f t="shared" si="156"/>
        <v>0.23287671232876717</v>
      </c>
      <c r="T104" s="24">
        <f t="shared" si="153"/>
        <v>-0.1333333333333333</v>
      </c>
      <c r="U104" s="24">
        <f t="shared" si="153"/>
        <v>0.12820512820512819</v>
      </c>
    </row>
    <row r="105" spans="3:24" s="24" customFormat="1" x14ac:dyDescent="0.25">
      <c r="C105" s="44" t="s">
        <v>179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>
        <f t="shared" ref="M105:T105" si="157">M90/L90-1</f>
        <v>-0.19111969111969107</v>
      </c>
      <c r="N105" s="45">
        <f t="shared" si="157"/>
        <v>-0.11530429594272074</v>
      </c>
      <c r="O105" s="45">
        <f t="shared" si="157"/>
        <v>2.0232675771370667E-2</v>
      </c>
      <c r="P105" s="45">
        <f t="shared" si="157"/>
        <v>0.1885638737398776</v>
      </c>
      <c r="Q105" s="45">
        <f t="shared" si="157"/>
        <v>0.87805895439377091</v>
      </c>
      <c r="R105" s="45">
        <f t="shared" si="157"/>
        <v>0.34152661582882948</v>
      </c>
      <c r="S105" s="45">
        <f t="shared" si="157"/>
        <v>0.21981236203090515</v>
      </c>
      <c r="T105" s="45">
        <f t="shared" si="153"/>
        <v>0.17830158801972584</v>
      </c>
      <c r="U105" s="45">
        <f t="shared" si="153"/>
        <v>0.1534326524343419</v>
      </c>
      <c r="V105" s="45"/>
      <c r="W105" s="45"/>
      <c r="X105" s="45"/>
    </row>
    <row r="109" spans="3:24" s="14" customFormat="1" x14ac:dyDescent="0.25">
      <c r="C109" s="14" t="s">
        <v>186</v>
      </c>
      <c r="P109" s="14">
        <v>0</v>
      </c>
      <c r="Q109" s="14">
        <v>-3067</v>
      </c>
      <c r="T109" s="14">
        <v>-7740</v>
      </c>
      <c r="U109" s="14">
        <v>-7158</v>
      </c>
    </row>
    <row r="110" spans="3:24" s="14" customFormat="1" x14ac:dyDescent="0.25">
      <c r="C110" s="14" t="s">
        <v>187</v>
      </c>
      <c r="P110" s="14">
        <v>-99</v>
      </c>
      <c r="Q110" s="14">
        <v>-99</v>
      </c>
      <c r="T110" s="14">
        <v>-98</v>
      </c>
      <c r="U110" s="14">
        <v>-246</v>
      </c>
    </row>
    <row r="111" spans="3:24" s="15" customFormat="1" x14ac:dyDescent="0.25">
      <c r="C111" s="15" t="s">
        <v>163</v>
      </c>
      <c r="J111" s="20">
        <f t="shared" ref="J111:T111" si="158">SUM(J109:J110)</f>
        <v>0</v>
      </c>
      <c r="K111" s="20">
        <f t="shared" si="158"/>
        <v>0</v>
      </c>
      <c r="L111" s="20">
        <f t="shared" si="158"/>
        <v>0</v>
      </c>
      <c r="M111" s="20">
        <f t="shared" si="158"/>
        <v>0</v>
      </c>
      <c r="N111" s="20">
        <f t="shared" si="158"/>
        <v>0</v>
      </c>
      <c r="O111" s="20">
        <f t="shared" si="158"/>
        <v>0</v>
      </c>
      <c r="P111" s="20">
        <f t="shared" si="158"/>
        <v>-99</v>
      </c>
      <c r="Q111" s="20">
        <f t="shared" si="158"/>
        <v>-3166</v>
      </c>
      <c r="R111" s="20">
        <f t="shared" si="158"/>
        <v>0</v>
      </c>
      <c r="S111" s="20">
        <f t="shared" si="158"/>
        <v>0</v>
      </c>
      <c r="T111" s="20">
        <f t="shared" si="158"/>
        <v>-7838</v>
      </c>
      <c r="U111" s="20">
        <f>SUM(U109:U110)</f>
        <v>-7404</v>
      </c>
      <c r="V111" s="20">
        <f t="shared" ref="V111:X111" si="159">SUM(V109:V110)</f>
        <v>0</v>
      </c>
      <c r="W111" s="20">
        <f t="shared" si="159"/>
        <v>0</v>
      </c>
      <c r="X111" s="20">
        <f t="shared" si="159"/>
        <v>0</v>
      </c>
    </row>
    <row r="119" spans="21:21" x14ac:dyDescent="0.25">
      <c r="U119" s="35"/>
    </row>
    <row r="120" spans="21:21" x14ac:dyDescent="0.25">
      <c r="U120" s="35"/>
    </row>
    <row r="123" spans="21:21" x14ac:dyDescent="0.25">
      <c r="U123" s="24"/>
    </row>
    <row r="124" spans="21:21" x14ac:dyDescent="0.25">
      <c r="U12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1BD9-9A91-42E9-AFD0-18F6769F8766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47CD-6B75-40AC-80E5-322D0BFAF7C9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E883-A610-46F9-834A-FF27230B590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Notes</vt:lpstr>
      <vt:lpstr>Stock prices</vt:lpstr>
      <vt:lpstr>Quarterly model</vt:lpstr>
      <vt:lpstr>WACC</vt:lpstr>
      <vt:lpstr>Comparables analysis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Rodriguez</dc:creator>
  <cp:lastModifiedBy>Eric Rodriguez</cp:lastModifiedBy>
  <dcterms:created xsi:type="dcterms:W3CDTF">2023-11-22T01:46:03Z</dcterms:created>
  <dcterms:modified xsi:type="dcterms:W3CDTF">2024-08-28T22:30:52Z</dcterms:modified>
</cp:coreProperties>
</file>