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elsae\OneDrive\Desktop\G17N34-hospital project\TENDER\"/>
    </mc:Choice>
  </mc:AlternateContent>
  <xr:revisionPtr revIDLastSave="0" documentId="8_{CE968C5A-9C4A-4788-B435-CB11FC894997}" xr6:coauthVersionLast="47" xr6:coauthVersionMax="47" xr10:uidLastSave="{00000000-0000-0000-0000-000000000000}"/>
  <bookViews>
    <workbookView xWindow="-108" yWindow="-108" windowWidth="23256" windowHeight="12456" activeTab="3" xr2:uid="{00000000-000D-0000-FFFF-FFFF00000000}"/>
  </bookViews>
  <sheets>
    <sheet name="ELV Works" sheetId="1" r:id="rId1"/>
    <sheet name="devices" sheetId="2" r:id="rId2"/>
    <sheet name="OUTLET" sheetId="4" r:id="rId3"/>
    <sheet name="LC-AVG-L" sheetId="5" r:id="rId4"/>
    <sheet name="F.A" sheetId="6" r:id="rId5"/>
  </sheets>
  <externalReferences>
    <externalReference r:id="rId6"/>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1" l="1"/>
  <c r="E31" i="1"/>
  <c r="E30" i="1"/>
  <c r="E42" i="1"/>
  <c r="D8" i="4"/>
  <c r="D9" i="4"/>
  <c r="D10" i="4"/>
  <c r="D11" i="4"/>
  <c r="D12" i="4"/>
  <c r="D7" i="4"/>
  <c r="D22" i="2"/>
  <c r="D23" i="2"/>
  <c r="D24" i="2"/>
  <c r="D25" i="2"/>
  <c r="D26" i="2"/>
  <c r="D21" i="2"/>
  <c r="D16" i="2"/>
  <c r="D17" i="2"/>
  <c r="D15" i="2"/>
  <c r="D8" i="2"/>
  <c r="D9" i="2"/>
  <c r="D10" i="2"/>
  <c r="D11" i="2"/>
  <c r="D12" i="2"/>
  <c r="D7" i="2"/>
  <c r="L23" i="6"/>
  <c r="R138" i="5"/>
  <c r="P120" i="5"/>
  <c r="D163" i="5"/>
  <c r="E163" i="5"/>
  <c r="M163" i="5"/>
  <c r="R163" i="5"/>
  <c r="S163" i="5"/>
  <c r="O162" i="5"/>
  <c r="P162" i="5"/>
  <c r="R90" i="5" l="1"/>
  <c r="E90" i="5"/>
  <c r="M90" i="5" s="1"/>
  <c r="D90" i="5"/>
  <c r="P89" i="5"/>
  <c r="O89" i="5"/>
  <c r="L89" i="5"/>
  <c r="Q89" i="5" s="1"/>
  <c r="S89" i="5" s="1"/>
  <c r="P88" i="5"/>
  <c r="O88" i="5"/>
  <c r="L88" i="5"/>
  <c r="Q88" i="5" s="1"/>
  <c r="S88" i="5" s="1"/>
  <c r="P87" i="5"/>
  <c r="O87" i="5"/>
  <c r="L87" i="5"/>
  <c r="Q87" i="5" s="1"/>
  <c r="S87" i="5" s="1"/>
  <c r="P86" i="5"/>
  <c r="O86" i="5"/>
  <c r="L86" i="5"/>
  <c r="Q86" i="5" s="1"/>
  <c r="S86" i="5" s="1"/>
  <c r="P85" i="5"/>
  <c r="O85" i="5"/>
  <c r="L85" i="5"/>
  <c r="Q85" i="5" s="1"/>
  <c r="S85" i="5" s="1"/>
  <c r="P84" i="5"/>
  <c r="O84" i="5"/>
  <c r="L84" i="5"/>
  <c r="Q84" i="5" s="1"/>
  <c r="S84" i="5" s="1"/>
  <c r="P83" i="5"/>
  <c r="O83" i="5"/>
  <c r="L83" i="5"/>
  <c r="Q83" i="5" s="1"/>
  <c r="S83" i="5" s="1"/>
  <c r="P82" i="5"/>
  <c r="O82" i="5"/>
  <c r="L82" i="5"/>
  <c r="Q82" i="5" s="1"/>
  <c r="S82" i="5" s="1"/>
  <c r="P81" i="5"/>
  <c r="O81" i="5"/>
  <c r="L81" i="5"/>
  <c r="Q81" i="5" s="1"/>
  <c r="S81" i="5" s="1"/>
  <c r="L41" i="5"/>
  <c r="Q41" i="5" s="1"/>
  <c r="S41" i="5" s="1"/>
  <c r="O41" i="5"/>
  <c r="P41" i="5"/>
  <c r="L42" i="5"/>
  <c r="Q42" i="5" s="1"/>
  <c r="S42" i="5" s="1"/>
  <c r="O42" i="5"/>
  <c r="P42" i="5"/>
  <c r="L43" i="5"/>
  <c r="Q43" i="5" s="1"/>
  <c r="S43" i="5" s="1"/>
  <c r="O43" i="5"/>
  <c r="P43" i="5"/>
  <c r="L44" i="5"/>
  <c r="Q44" i="5" s="1"/>
  <c r="S44" i="5" s="1"/>
  <c r="O44" i="5"/>
  <c r="P44" i="5"/>
  <c r="L45" i="5"/>
  <c r="Q45" i="5" s="1"/>
  <c r="S45" i="5" s="1"/>
  <c r="O45" i="5"/>
  <c r="P45" i="5"/>
  <c r="L46" i="5"/>
  <c r="Q46" i="5" s="1"/>
  <c r="S46" i="5" s="1"/>
  <c r="O46" i="5"/>
  <c r="P46" i="5"/>
  <c r="L47" i="5"/>
  <c r="Q47" i="5" s="1"/>
  <c r="S47" i="5" s="1"/>
  <c r="O47" i="5"/>
  <c r="P47" i="5"/>
  <c r="L48" i="5"/>
  <c r="Q48" i="5" s="1"/>
  <c r="S48" i="5" s="1"/>
  <c r="O48" i="5"/>
  <c r="P48" i="5"/>
  <c r="L49" i="5"/>
  <c r="Q49" i="5" s="1"/>
  <c r="S49" i="5" s="1"/>
  <c r="O49" i="5"/>
  <c r="P49" i="5"/>
  <c r="L50" i="5"/>
  <c r="Q50" i="5" s="1"/>
  <c r="S50" i="5" s="1"/>
  <c r="O50" i="5"/>
  <c r="P50" i="5"/>
  <c r="L51" i="5"/>
  <c r="Q51" i="5" s="1"/>
  <c r="S51" i="5" s="1"/>
  <c r="O51" i="5"/>
  <c r="P51" i="5"/>
  <c r="L52" i="5"/>
  <c r="Q52" i="5" s="1"/>
  <c r="S52" i="5" s="1"/>
  <c r="O52" i="5"/>
  <c r="P52" i="5"/>
  <c r="L53" i="5"/>
  <c r="Q53" i="5" s="1"/>
  <c r="S53" i="5" s="1"/>
  <c r="O53" i="5"/>
  <c r="P53" i="5"/>
  <c r="L54" i="5"/>
  <c r="Q54" i="5" s="1"/>
  <c r="S54" i="5" s="1"/>
  <c r="O54" i="5"/>
  <c r="P54" i="5"/>
  <c r="L55" i="5"/>
  <c r="Q55" i="5" s="1"/>
  <c r="S55" i="5" s="1"/>
  <c r="O55" i="5"/>
  <c r="P55" i="5"/>
  <c r="L56" i="5"/>
  <c r="Q56" i="5" s="1"/>
  <c r="S56" i="5" s="1"/>
  <c r="O56" i="5"/>
  <c r="P56" i="5"/>
  <c r="L57" i="5"/>
  <c r="Q57" i="5" s="1"/>
  <c r="S57" i="5" s="1"/>
  <c r="O57" i="5"/>
  <c r="P57" i="5"/>
  <c r="L58" i="5"/>
  <c r="Q58" i="5" s="1"/>
  <c r="S58" i="5" s="1"/>
  <c r="O58" i="5"/>
  <c r="P58" i="5"/>
  <c r="L59" i="5"/>
  <c r="Q59" i="5" s="1"/>
  <c r="S59" i="5" s="1"/>
  <c r="O59" i="5"/>
  <c r="P59" i="5"/>
  <c r="L60" i="5"/>
  <c r="Q60" i="5" s="1"/>
  <c r="S60" i="5" s="1"/>
  <c r="O60" i="5"/>
  <c r="P60" i="5"/>
  <c r="L61" i="5"/>
  <c r="Q61" i="5" s="1"/>
  <c r="S61" i="5" s="1"/>
  <c r="O61" i="5"/>
  <c r="P61" i="5"/>
  <c r="L62" i="5"/>
  <c r="Q62" i="5" s="1"/>
  <c r="S62" i="5" s="1"/>
  <c r="O62" i="5"/>
  <c r="P62" i="5"/>
  <c r="L63" i="5"/>
  <c r="Q63" i="5" s="1"/>
  <c r="S63" i="5" s="1"/>
  <c r="O63" i="5"/>
  <c r="P63" i="5"/>
  <c r="L64" i="5"/>
  <c r="Q64" i="5" s="1"/>
  <c r="S64" i="5" s="1"/>
  <c r="O64" i="5"/>
  <c r="P64" i="5"/>
  <c r="L65" i="5"/>
  <c r="Q65" i="5" s="1"/>
  <c r="S65" i="5" s="1"/>
  <c r="O65" i="5"/>
  <c r="P65" i="5"/>
  <c r="L66" i="5"/>
  <c r="Q66" i="5" s="1"/>
  <c r="S66" i="5" s="1"/>
  <c r="O66" i="5"/>
  <c r="P66" i="5"/>
  <c r="L67" i="5"/>
  <c r="Q67" i="5" s="1"/>
  <c r="S67" i="5" s="1"/>
  <c r="O67" i="5"/>
  <c r="P67" i="5"/>
  <c r="D27" i="5"/>
  <c r="L6" i="5"/>
  <c r="Q6" i="5" s="1"/>
  <c r="S6" i="5" s="1"/>
  <c r="O6" i="5"/>
  <c r="P6" i="5"/>
  <c r="L7" i="5"/>
  <c r="Q7" i="5" s="1"/>
  <c r="S7" i="5" s="1"/>
  <c r="O7" i="5"/>
  <c r="P7" i="5"/>
  <c r="L8" i="5"/>
  <c r="Q8" i="5" s="1"/>
  <c r="S8" i="5" s="1"/>
  <c r="O8" i="5"/>
  <c r="P8" i="5"/>
  <c r="L9" i="5"/>
  <c r="Q9" i="5" s="1"/>
  <c r="S9" i="5" s="1"/>
  <c r="O9" i="5"/>
  <c r="P9" i="5"/>
  <c r="L10" i="5"/>
  <c r="Q10" i="5" s="1"/>
  <c r="S10" i="5" s="1"/>
  <c r="O10" i="5"/>
  <c r="P10" i="5"/>
  <c r="L11" i="5"/>
  <c r="Q11" i="5" s="1"/>
  <c r="S11" i="5" s="1"/>
  <c r="O11" i="5"/>
  <c r="P11" i="5"/>
  <c r="L12" i="5"/>
  <c r="Q12" i="5" s="1"/>
  <c r="S12" i="5" s="1"/>
  <c r="O12" i="5"/>
  <c r="P12" i="5"/>
  <c r="L13" i="5"/>
  <c r="Q13" i="5" s="1"/>
  <c r="S13" i="5" s="1"/>
  <c r="O13" i="5"/>
  <c r="P13" i="5"/>
  <c r="L14" i="5"/>
  <c r="Q14" i="5" s="1"/>
  <c r="S14" i="5" s="1"/>
  <c r="O14" i="5"/>
  <c r="P14" i="5"/>
  <c r="L15" i="5"/>
  <c r="Q15" i="5" s="1"/>
  <c r="S15" i="5" s="1"/>
  <c r="O15" i="5"/>
  <c r="P15" i="5"/>
  <c r="L16" i="5"/>
  <c r="Q16" i="5" s="1"/>
  <c r="S16" i="5" s="1"/>
  <c r="O16" i="5"/>
  <c r="P16" i="5"/>
  <c r="L17" i="5"/>
  <c r="Q17" i="5" s="1"/>
  <c r="S17" i="5" s="1"/>
  <c r="O17" i="5"/>
  <c r="P17" i="5"/>
  <c r="L18" i="5"/>
  <c r="Q18" i="5" s="1"/>
  <c r="S18" i="5" s="1"/>
  <c r="O18" i="5"/>
  <c r="P18" i="5"/>
  <c r="L19" i="5"/>
  <c r="Q19" i="5" s="1"/>
  <c r="S19" i="5" s="1"/>
  <c r="O19" i="5"/>
  <c r="P19" i="5"/>
  <c r="L20" i="5"/>
  <c r="Q20" i="5" s="1"/>
  <c r="S20" i="5" s="1"/>
  <c r="O20" i="5"/>
  <c r="P20" i="5"/>
  <c r="L21" i="5"/>
  <c r="Q21" i="5" s="1"/>
  <c r="S21" i="5" s="1"/>
  <c r="O21" i="5"/>
  <c r="P21" i="5"/>
  <c r="L22" i="5"/>
  <c r="Q22" i="5" s="1"/>
  <c r="S22" i="5" s="1"/>
  <c r="O22" i="5"/>
  <c r="P22" i="5"/>
  <c r="L23" i="5"/>
  <c r="Q23" i="5" s="1"/>
  <c r="S23" i="5" s="1"/>
  <c r="O23" i="5"/>
  <c r="P23" i="5"/>
  <c r="L24" i="5"/>
  <c r="Q24" i="5" s="1"/>
  <c r="S24" i="5" s="1"/>
  <c r="O24" i="5"/>
  <c r="P24" i="5"/>
  <c r="L25" i="5"/>
  <c r="Q25" i="5" s="1"/>
  <c r="S25" i="5" s="1"/>
  <c r="O25" i="5"/>
  <c r="P25" i="5"/>
  <c r="L26" i="5"/>
  <c r="Q26" i="5" s="1"/>
  <c r="S26" i="5" s="1"/>
  <c r="O26" i="5"/>
  <c r="P26" i="5"/>
  <c r="E92" i="5" l="1"/>
  <c r="E94" i="5" s="1"/>
  <c r="Q90" i="5"/>
  <c r="S90" i="5"/>
  <c r="I16" i="4"/>
  <c r="J16" i="4"/>
  <c r="N16" i="4"/>
  <c r="P16" i="4" s="1"/>
  <c r="S16" i="4"/>
  <c r="T16" i="4"/>
  <c r="Y16" i="4"/>
  <c r="Z16" i="4"/>
  <c r="F10" i="4"/>
  <c r="F11" i="4"/>
  <c r="F12" i="4"/>
  <c r="F9" i="4"/>
  <c r="G15" i="4"/>
  <c r="S24" i="6"/>
  <c r="Q24" i="6"/>
  <c r="N24" i="6"/>
  <c r="M24" i="6"/>
  <c r="L24" i="6"/>
  <c r="K24" i="6"/>
  <c r="J24" i="6"/>
  <c r="T23" i="6"/>
  <c r="V23" i="6" s="1"/>
  <c r="R23" i="6"/>
  <c r="R24" i="6" s="1"/>
  <c r="V5" i="6"/>
  <c r="T5" i="6"/>
  <c r="S5" i="6"/>
  <c r="P5" i="6"/>
  <c r="O5" i="6"/>
  <c r="J5" i="6"/>
  <c r="I6" i="6" s="1"/>
  <c r="V4" i="6"/>
  <c r="R4" i="6"/>
  <c r="R5" i="6" s="1"/>
  <c r="U16" i="4" l="1"/>
  <c r="AA16" i="4"/>
  <c r="V24" i="6"/>
  <c r="I25" i="6"/>
  <c r="U4" i="6"/>
  <c r="U5" i="6" s="1"/>
  <c r="B8" i="6" s="1"/>
  <c r="B10" i="6"/>
  <c r="T24" i="6"/>
  <c r="E95" i="5"/>
  <c r="E93" i="5"/>
  <c r="AD16" i="4"/>
  <c r="K16" i="4"/>
  <c r="U23" i="6"/>
  <c r="R180" i="5"/>
  <c r="E180" i="5"/>
  <c r="M180" i="5" s="1"/>
  <c r="D180" i="5"/>
  <c r="Q179" i="5"/>
  <c r="P179" i="5"/>
  <c r="O179" i="5"/>
  <c r="M179" i="5"/>
  <c r="Q178" i="5"/>
  <c r="S178" i="5" s="1"/>
  <c r="P178" i="5"/>
  <c r="O178" i="5"/>
  <c r="Q177" i="5"/>
  <c r="S177" i="5" s="1"/>
  <c r="P177" i="5"/>
  <c r="O177" i="5"/>
  <c r="A172" i="5"/>
  <c r="Q121" i="5"/>
  <c r="E121" i="5"/>
  <c r="M121" i="5" s="1"/>
  <c r="D121" i="5"/>
  <c r="R120" i="5"/>
  <c r="S120" i="5" s="1"/>
  <c r="O120" i="5"/>
  <c r="A117" i="5"/>
  <c r="A116" i="5"/>
  <c r="R107" i="5"/>
  <c r="E107" i="5"/>
  <c r="M107" i="5" s="1"/>
  <c r="D107" i="5"/>
  <c r="P106" i="5"/>
  <c r="O106" i="5"/>
  <c r="L106" i="5"/>
  <c r="Q106" i="5" s="1"/>
  <c r="S106" i="5" s="1"/>
  <c r="P105" i="5"/>
  <c r="O105" i="5"/>
  <c r="L105" i="5"/>
  <c r="Q105" i="5" s="1"/>
  <c r="S105" i="5" s="1"/>
  <c r="A102" i="5"/>
  <c r="A101" i="5"/>
  <c r="R68" i="5"/>
  <c r="E68" i="5"/>
  <c r="M68" i="5" s="1"/>
  <c r="D68" i="5"/>
  <c r="P40" i="5"/>
  <c r="O40" i="5"/>
  <c r="L40" i="5"/>
  <c r="Q40" i="5" s="1"/>
  <c r="A37" i="5"/>
  <c r="A36" i="5"/>
  <c r="R27" i="5"/>
  <c r="E27" i="5"/>
  <c r="M27" i="5" s="1"/>
  <c r="P5" i="5"/>
  <c r="O5" i="5"/>
  <c r="L5" i="5"/>
  <c r="Q5" i="5" s="1"/>
  <c r="A2" i="5"/>
  <c r="A1" i="5"/>
  <c r="W4" i="6" l="1"/>
  <c r="W5" i="6" s="1"/>
  <c r="B12" i="6" s="1"/>
  <c r="B29" i="6"/>
  <c r="G7" i="4" s="1"/>
  <c r="E29" i="5"/>
  <c r="E70" i="5"/>
  <c r="E72" i="5" s="1"/>
  <c r="E123" i="5"/>
  <c r="E124" i="5" s="1"/>
  <c r="F24" i="4" s="1"/>
  <c r="E165" i="5"/>
  <c r="E166" i="5" s="1"/>
  <c r="F27" i="4" s="1"/>
  <c r="E182" i="5"/>
  <c r="E184" i="5" s="1"/>
  <c r="S107" i="5"/>
  <c r="R121" i="5"/>
  <c r="Q180" i="5"/>
  <c r="E109" i="5"/>
  <c r="E111" i="5" s="1"/>
  <c r="U24" i="6"/>
  <c r="B27" i="6" s="1"/>
  <c r="F7" i="4" s="1"/>
  <c r="W23" i="6"/>
  <c r="W24" i="6" s="1"/>
  <c r="B31" i="6" s="1"/>
  <c r="H7" i="4" s="1"/>
  <c r="Q68" i="5"/>
  <c r="S121" i="5"/>
  <c r="Q27" i="5"/>
  <c r="S5" i="5"/>
  <c r="S27" i="5" s="1"/>
  <c r="S40" i="5"/>
  <c r="S68" i="5" s="1"/>
  <c r="Q107" i="5"/>
  <c r="S179" i="5"/>
  <c r="S180" i="5" s="1"/>
  <c r="E183" i="5" l="1"/>
  <c r="F28" i="4" s="1"/>
  <c r="E31" i="5"/>
  <c r="E30" i="5"/>
  <c r="F15" i="4" s="1"/>
  <c r="E110" i="5"/>
  <c r="E126" i="5"/>
  <c r="H24" i="4" s="1"/>
  <c r="E125" i="5"/>
  <c r="G24" i="4" s="1"/>
  <c r="E32" i="5"/>
  <c r="H15" i="4" s="1"/>
  <c r="E71" i="5"/>
  <c r="E73" i="5"/>
  <c r="E168" i="5"/>
  <c r="E185" i="5"/>
  <c r="E167" i="5"/>
  <c r="E112" i="5"/>
  <c r="Z28" i="4"/>
  <c r="Z27" i="4"/>
  <c r="Z24" i="4"/>
  <c r="Z21" i="4"/>
  <c r="Z20" i="4"/>
  <c r="Z15" i="4"/>
  <c r="Z8" i="4"/>
  <c r="Z9" i="4"/>
  <c r="Z10" i="4"/>
  <c r="Z11" i="4"/>
  <c r="Z12" i="4"/>
  <c r="Z7" i="4"/>
  <c r="T21" i="4"/>
  <c r="T20" i="4"/>
  <c r="T15" i="4"/>
  <c r="T6" i="4"/>
  <c r="T8" i="4"/>
  <c r="T9" i="4"/>
  <c r="T10" i="4"/>
  <c r="T11" i="4"/>
  <c r="T12" i="4"/>
  <c r="T7" i="4"/>
  <c r="O8" i="4"/>
  <c r="O9" i="4"/>
  <c r="O10" i="4"/>
  <c r="O11" i="4"/>
  <c r="O12" i="4"/>
  <c r="O7" i="4"/>
  <c r="J28" i="4"/>
  <c r="J27" i="4"/>
  <c r="J21" i="4"/>
  <c r="Q16" i="4" s="1"/>
  <c r="R16" i="4" s="1"/>
  <c r="J20" i="4"/>
  <c r="J15" i="4"/>
  <c r="J6" i="4"/>
  <c r="E21" i="2"/>
  <c r="E39" i="2"/>
  <c r="E29" i="2"/>
  <c r="E25" i="2"/>
  <c r="E23" i="2"/>
  <c r="E26" i="2"/>
  <c r="E24" i="2"/>
  <c r="E22" i="2"/>
  <c r="F15" i="2"/>
  <c r="E6" i="2"/>
  <c r="L16" i="4" l="1"/>
  <c r="M16" i="4" s="1"/>
  <c r="V16" i="4"/>
  <c r="W16" i="4" s="1"/>
  <c r="F12" i="1"/>
  <c r="F42" i="1"/>
  <c r="E12" i="2"/>
  <c r="E15" i="2"/>
  <c r="AB16" i="4" l="1"/>
  <c r="AC16" i="4" s="1"/>
  <c r="AE16" i="4" s="1"/>
  <c r="AF16" i="4" s="1"/>
  <c r="E32" i="2"/>
  <c r="I6" i="4"/>
  <c r="K6" i="4" s="1"/>
  <c r="N6" i="4"/>
  <c r="P6" i="4" s="1"/>
  <c r="Q6" i="4" s="1"/>
  <c r="R6" i="4" s="1"/>
  <c r="S6" i="4"/>
  <c r="U6" i="4" s="1"/>
  <c r="V6" i="4" s="1"/>
  <c r="W6" i="4" s="1"/>
  <c r="Y6" i="4"/>
  <c r="AA6" i="4" s="1"/>
  <c r="I8" i="4"/>
  <c r="K8" i="4" s="1"/>
  <c r="L8" i="4" s="1"/>
  <c r="N8" i="4"/>
  <c r="P8" i="4" s="1"/>
  <c r="Q8" i="4" s="1"/>
  <c r="R8" i="4" s="1"/>
  <c r="S8" i="4"/>
  <c r="U8" i="4" s="1"/>
  <c r="V8" i="4" s="1"/>
  <c r="W8" i="4" s="1"/>
  <c r="Y8" i="4"/>
  <c r="AA8" i="4" s="1"/>
  <c r="I9" i="4"/>
  <c r="K9" i="4" s="1"/>
  <c r="L9" i="4" s="1"/>
  <c r="N9" i="4"/>
  <c r="P9" i="4" s="1"/>
  <c r="Q9" i="4" s="1"/>
  <c r="R9" i="4" s="1"/>
  <c r="S9" i="4"/>
  <c r="U9" i="4" s="1"/>
  <c r="V9" i="4" s="1"/>
  <c r="W9" i="4" s="1"/>
  <c r="Y9" i="4"/>
  <c r="AA9" i="4" s="1"/>
  <c r="I10" i="4"/>
  <c r="K10" i="4" s="1"/>
  <c r="L10" i="4" s="1"/>
  <c r="N10" i="4"/>
  <c r="P10" i="4" s="1"/>
  <c r="Q10" i="4" s="1"/>
  <c r="R10" i="4" s="1"/>
  <c r="S10" i="4"/>
  <c r="U10" i="4" s="1"/>
  <c r="V10" i="4" s="1"/>
  <c r="W10" i="4" s="1"/>
  <c r="Y10" i="4"/>
  <c r="AA10" i="4" s="1"/>
  <c r="I11" i="4"/>
  <c r="K11" i="4" s="1"/>
  <c r="L11" i="4" s="1"/>
  <c r="N11" i="4"/>
  <c r="P11" i="4" s="1"/>
  <c r="Q11" i="4" s="1"/>
  <c r="R11" i="4" s="1"/>
  <c r="S11" i="4"/>
  <c r="U11" i="4" s="1"/>
  <c r="V11" i="4" s="1"/>
  <c r="W11" i="4" s="1"/>
  <c r="Y11" i="4"/>
  <c r="AA11" i="4" s="1"/>
  <c r="I12" i="4"/>
  <c r="K12" i="4" s="1"/>
  <c r="L12" i="4" s="1"/>
  <c r="N12" i="4"/>
  <c r="P12" i="4" s="1"/>
  <c r="Q12" i="4" s="1"/>
  <c r="R12" i="4" s="1"/>
  <c r="S12" i="4"/>
  <c r="U12" i="4" s="1"/>
  <c r="V12" i="4" s="1"/>
  <c r="W12" i="4" s="1"/>
  <c r="Y12" i="4"/>
  <c r="AA12" i="4" s="1"/>
  <c r="I15" i="4"/>
  <c r="K15" i="4" s="1"/>
  <c r="N15" i="4"/>
  <c r="P15" i="4" s="1"/>
  <c r="Q15" i="4" s="1"/>
  <c r="R15" i="4" s="1"/>
  <c r="S15" i="4"/>
  <c r="U15" i="4" s="1"/>
  <c r="V15" i="4" s="1"/>
  <c r="W15" i="4" s="1"/>
  <c r="Y15" i="4"/>
  <c r="AA15" i="4" s="1"/>
  <c r="I20" i="4"/>
  <c r="K20" i="4" s="1"/>
  <c r="N20" i="4"/>
  <c r="P20" i="4" s="1"/>
  <c r="Q20" i="4" s="1"/>
  <c r="R20" i="4" s="1"/>
  <c r="S20" i="4"/>
  <c r="U20" i="4" s="1"/>
  <c r="V20" i="4" s="1"/>
  <c r="W20" i="4" s="1"/>
  <c r="Y20" i="4"/>
  <c r="AA20" i="4" s="1"/>
  <c r="I21" i="4"/>
  <c r="K21" i="4" s="1"/>
  <c r="N21" i="4"/>
  <c r="P21" i="4" s="1"/>
  <c r="Q21" i="4" s="1"/>
  <c r="R21" i="4" s="1"/>
  <c r="S21" i="4"/>
  <c r="U21" i="4" s="1"/>
  <c r="V21" i="4" s="1"/>
  <c r="W21" i="4" s="1"/>
  <c r="Y21" i="4"/>
  <c r="AA21" i="4" s="1"/>
  <c r="I22" i="4"/>
  <c r="I23" i="4"/>
  <c r="I24" i="4"/>
  <c r="K24" i="4" s="1"/>
  <c r="N24" i="4"/>
  <c r="P24" i="4" s="1"/>
  <c r="Q24" i="4" s="1"/>
  <c r="R24" i="4" s="1"/>
  <c r="S24" i="4"/>
  <c r="U24" i="4" s="1"/>
  <c r="V24" i="4" s="1"/>
  <c r="W24" i="4" s="1"/>
  <c r="Y24" i="4"/>
  <c r="AA24" i="4" s="1"/>
  <c r="I27" i="4"/>
  <c r="K27" i="4" s="1"/>
  <c r="L27" i="4" s="1"/>
  <c r="N27" i="4"/>
  <c r="P27" i="4" s="1"/>
  <c r="Q27" i="4" s="1"/>
  <c r="R27" i="4" s="1"/>
  <c r="S27" i="4"/>
  <c r="U27" i="4" s="1"/>
  <c r="V27" i="4" s="1"/>
  <c r="W27" i="4" s="1"/>
  <c r="Y27" i="4"/>
  <c r="AA27" i="4" s="1"/>
  <c r="I28" i="4"/>
  <c r="K28" i="4" s="1"/>
  <c r="N28" i="4"/>
  <c r="P28" i="4" s="1"/>
  <c r="Q28" i="4" s="1"/>
  <c r="R28" i="4" s="1"/>
  <c r="S28" i="4"/>
  <c r="U28" i="4" s="1"/>
  <c r="V28" i="4" s="1"/>
  <c r="W28" i="4" s="1"/>
  <c r="Y28" i="4"/>
  <c r="AA28" i="4" s="1"/>
  <c r="Y7" i="4"/>
  <c r="S7" i="4"/>
  <c r="N7" i="4"/>
  <c r="I7" i="4"/>
  <c r="E40" i="2"/>
  <c r="AG16" i="4" l="1"/>
  <c r="AH16" i="4" s="1"/>
  <c r="L28" i="4"/>
  <c r="M28" i="4" s="1"/>
  <c r="AB28" i="4" s="1"/>
  <c r="AC28" i="4" s="1"/>
  <c r="AD6" i="4"/>
  <c r="AD24" i="4"/>
  <c r="AD12" i="4"/>
  <c r="AD11" i="4"/>
  <c r="AD10" i="4"/>
  <c r="AD8" i="4"/>
  <c r="AD9" i="4"/>
  <c r="AD28" i="4"/>
  <c r="AD21" i="4"/>
  <c r="AD20" i="4"/>
  <c r="L6" i="4"/>
  <c r="M6" i="4" s="1"/>
  <c r="AB6" i="4" s="1"/>
  <c r="AC6" i="4" s="1"/>
  <c r="L24" i="4"/>
  <c r="M24" i="4" s="1"/>
  <c r="AB24" i="4" s="1"/>
  <c r="AC24" i="4" s="1"/>
  <c r="L21" i="4"/>
  <c r="M21" i="4" s="1"/>
  <c r="AB21" i="4" s="1"/>
  <c r="AC21" i="4" s="1"/>
  <c r="L20" i="4"/>
  <c r="M20" i="4" s="1"/>
  <c r="AB20" i="4" s="1"/>
  <c r="AC20" i="4" s="1"/>
  <c r="AD15" i="4"/>
  <c r="L15" i="4"/>
  <c r="M15" i="4" s="1"/>
  <c r="AB15" i="4" s="1"/>
  <c r="AC15" i="4" s="1"/>
  <c r="AD27" i="4"/>
  <c r="M27" i="4"/>
  <c r="AB27" i="4" s="1"/>
  <c r="AC27" i="4" s="1"/>
  <c r="M12" i="4"/>
  <c r="AB12" i="4" s="1"/>
  <c r="AC12" i="4" s="1"/>
  <c r="M11" i="4"/>
  <c r="AB11" i="4" s="1"/>
  <c r="AC11" i="4" s="1"/>
  <c r="M10" i="4"/>
  <c r="AB10" i="4" s="1"/>
  <c r="AC10" i="4" s="1"/>
  <c r="M9" i="4"/>
  <c r="AB9" i="4" s="1"/>
  <c r="AC9" i="4" s="1"/>
  <c r="AE9" i="4" s="1"/>
  <c r="M8" i="4"/>
  <c r="AB8" i="4" s="1"/>
  <c r="AC8" i="4" s="1"/>
  <c r="U7" i="4"/>
  <c r="V7" i="4" s="1"/>
  <c r="W7" i="4" s="1"/>
  <c r="AD7" i="4"/>
  <c r="K7" i="4"/>
  <c r="L7" i="4" s="1"/>
  <c r="M7" i="4" s="1"/>
  <c r="P7" i="4"/>
  <c r="Q7" i="4" s="1"/>
  <c r="R7" i="4" s="1"/>
  <c r="AA7" i="4"/>
  <c r="E11" i="2"/>
  <c r="E37" i="2"/>
  <c r="E16" i="2"/>
  <c r="AI16" i="4" l="1"/>
  <c r="AJ16" i="4" s="1"/>
  <c r="AK16" i="4" s="1"/>
  <c r="AE6" i="4"/>
  <c r="AE11" i="4"/>
  <c r="AF11" i="4" s="1"/>
  <c r="AG11" i="4" s="1"/>
  <c r="AE12" i="4"/>
  <c r="AF12" i="4" s="1"/>
  <c r="AG12" i="4" s="1"/>
  <c r="AE28" i="4"/>
  <c r="AF28" i="4" s="1"/>
  <c r="AG28" i="4" s="1"/>
  <c r="AE24" i="4"/>
  <c r="AF24" i="4" s="1"/>
  <c r="AG24" i="4" s="1"/>
  <c r="AE21" i="4"/>
  <c r="AF21" i="4" s="1"/>
  <c r="AG21" i="4" s="1"/>
  <c r="AE10" i="4"/>
  <c r="AF10" i="4" s="1"/>
  <c r="AG10" i="4" s="1"/>
  <c r="AE8" i="4"/>
  <c r="AF8" i="4" s="1"/>
  <c r="AG8" i="4" s="1"/>
  <c r="AE20" i="4"/>
  <c r="AF20" i="4" s="1"/>
  <c r="AG20" i="4" s="1"/>
  <c r="AF6" i="4"/>
  <c r="AG6" i="4" s="1"/>
  <c r="AF9" i="4"/>
  <c r="AG9" i="4" s="1"/>
  <c r="AE27" i="4"/>
  <c r="AE15" i="4"/>
  <c r="AB7" i="4"/>
  <c r="AC7" i="4" s="1"/>
  <c r="AE7" i="4" s="1"/>
  <c r="AF7" i="4" s="1"/>
  <c r="AG7" i="4" s="1"/>
  <c r="G26" i="2"/>
  <c r="H26" i="2" s="1"/>
  <c r="I26" i="2" s="1"/>
  <c r="G24" i="2"/>
  <c r="H24" i="2" s="1"/>
  <c r="G25" i="2"/>
  <c r="H25" i="2" s="1"/>
  <c r="I25" i="2" s="1"/>
  <c r="G22" i="2"/>
  <c r="H22" i="2" s="1"/>
  <c r="I22" i="2" s="1"/>
  <c r="E10" i="2"/>
  <c r="G10" i="2" s="1"/>
  <c r="H10" i="2" s="1"/>
  <c r="I10" i="2" s="1"/>
  <c r="E9" i="2"/>
  <c r="G9" i="2" s="1"/>
  <c r="H9" i="2" s="1"/>
  <c r="E8" i="2"/>
  <c r="G8" i="2" s="1"/>
  <c r="H8" i="2" s="1"/>
  <c r="E7" i="2"/>
  <c r="G7" i="2" s="1"/>
  <c r="H7" i="2" s="1"/>
  <c r="F6" i="2"/>
  <c r="G6" i="2" s="1"/>
  <c r="H6" i="2" s="1"/>
  <c r="G11" i="2"/>
  <c r="H11" i="2" s="1"/>
  <c r="I11" i="2" s="1"/>
  <c r="G12" i="2"/>
  <c r="H12" i="2" s="1"/>
  <c r="G15" i="2"/>
  <c r="H15" i="2" s="1"/>
  <c r="I15" i="2" s="1"/>
  <c r="G16" i="2"/>
  <c r="H16" i="2" s="1"/>
  <c r="G17" i="2"/>
  <c r="H17" i="2" s="1"/>
  <c r="G21" i="2"/>
  <c r="H21" i="2" s="1"/>
  <c r="I21" i="2" s="1"/>
  <c r="G23" i="2"/>
  <c r="H23" i="2" s="1"/>
  <c r="G29" i="2"/>
  <c r="H29" i="2" s="1"/>
  <c r="I29" i="2" s="1"/>
  <c r="G32" i="2"/>
  <c r="H32" i="2" s="1"/>
  <c r="I32" i="2" s="1"/>
  <c r="G36" i="2"/>
  <c r="H36" i="2" s="1"/>
  <c r="I36" i="2" s="1"/>
  <c r="G37" i="2"/>
  <c r="H37" i="2" s="1"/>
  <c r="I37" i="2" s="1"/>
  <c r="G39" i="2"/>
  <c r="H39" i="2" s="1"/>
  <c r="G40" i="2"/>
  <c r="H40" i="2" s="1"/>
  <c r="I40" i="2" s="1"/>
  <c r="AH6" i="4" l="1"/>
  <c r="AI6" i="4" s="1"/>
  <c r="AH8" i="4"/>
  <c r="AI8" i="4" s="1"/>
  <c r="AH10" i="4"/>
  <c r="AI10" i="4" s="1"/>
  <c r="AH24" i="4"/>
  <c r="AI24" i="4" s="1"/>
  <c r="AF15" i="4"/>
  <c r="AG15" i="4" s="1"/>
  <c r="AF27" i="4"/>
  <c r="AG27" i="4" s="1"/>
  <c r="AH20" i="4"/>
  <c r="AI20" i="4" s="1"/>
  <c r="AH21" i="4"/>
  <c r="AI21" i="4" s="1"/>
  <c r="AH11" i="4"/>
  <c r="AI11" i="4" s="1"/>
  <c r="AH12" i="4"/>
  <c r="AI12" i="4" s="1"/>
  <c r="AH9" i="4"/>
  <c r="AI9" i="4" s="1"/>
  <c r="AH28" i="4"/>
  <c r="AI28" i="4" s="1"/>
  <c r="AH7" i="4"/>
  <c r="AI7" i="4" s="1"/>
  <c r="J36" i="2"/>
  <c r="K36" i="2" s="1"/>
  <c r="J21" i="2"/>
  <c r="K21" i="2" s="1"/>
  <c r="J32" i="2"/>
  <c r="K32" i="2" s="1"/>
  <c r="J15" i="2"/>
  <c r="K15" i="2" s="1"/>
  <c r="J29" i="2"/>
  <c r="K29" i="2" s="1"/>
  <c r="J26" i="2"/>
  <c r="K26" i="2" s="1"/>
  <c r="J11" i="2"/>
  <c r="K11" i="2" s="1"/>
  <c r="J40" i="2"/>
  <c r="K40" i="2" s="1"/>
  <c r="J37" i="2"/>
  <c r="K37" i="2" s="1"/>
  <c r="J25" i="2"/>
  <c r="K25" i="2" s="1"/>
  <c r="J22" i="2"/>
  <c r="K22" i="2" s="1"/>
  <c r="J10" i="2"/>
  <c r="K10" i="2" s="1"/>
  <c r="I23" i="2"/>
  <c r="I16" i="2"/>
  <c r="I12" i="2"/>
  <c r="I7" i="2"/>
  <c r="I39" i="2"/>
  <c r="I24" i="2"/>
  <c r="I17" i="2"/>
  <c r="I9" i="2"/>
  <c r="I8" i="2"/>
  <c r="I6" i="2"/>
  <c r="J6" i="2" s="1"/>
  <c r="AJ6" i="4" l="1"/>
  <c r="AK6" i="4" s="1"/>
  <c r="AJ28" i="4"/>
  <c r="AK28" i="4" s="1"/>
  <c r="AJ11" i="4"/>
  <c r="AK11" i="4" s="1"/>
  <c r="AJ8" i="4"/>
  <c r="AK8" i="4" s="1"/>
  <c r="AJ9" i="4"/>
  <c r="AK9" i="4" s="1"/>
  <c r="AJ12" i="4"/>
  <c r="AK12" i="4" s="1"/>
  <c r="AJ10" i="4"/>
  <c r="AK10" i="4" s="1"/>
  <c r="AJ21" i="4"/>
  <c r="AK21" i="4" s="1"/>
  <c r="AJ24" i="4"/>
  <c r="AK24" i="4" s="1"/>
  <c r="AJ20" i="4"/>
  <c r="AK20" i="4" s="1"/>
  <c r="AH27" i="4"/>
  <c r="AI27" i="4" s="1"/>
  <c r="AH15" i="4"/>
  <c r="AI15" i="4" s="1"/>
  <c r="AJ7" i="4"/>
  <c r="AK7" i="4" s="1"/>
  <c r="K6" i="2"/>
  <c r="L6" i="2" s="1"/>
  <c r="J7" i="2"/>
  <c r="K7" i="2" s="1"/>
  <c r="L10" i="2"/>
  <c r="M10" i="2" s="1"/>
  <c r="E10" i="1" s="1"/>
  <c r="F10" i="1" s="1"/>
  <c r="L25" i="2"/>
  <c r="M25" i="2" s="1"/>
  <c r="E28" i="1" s="1"/>
  <c r="F28" i="1" s="1"/>
  <c r="L40" i="2"/>
  <c r="M40" i="2" s="1"/>
  <c r="E43" i="1" s="1"/>
  <c r="F43" i="1" s="1"/>
  <c r="L29" i="2"/>
  <c r="M29" i="2" s="1"/>
  <c r="E34" i="1" s="1"/>
  <c r="F34" i="1" s="1"/>
  <c r="L32" i="2"/>
  <c r="M32" i="2" s="1"/>
  <c r="J17" i="2"/>
  <c r="K17" i="2" s="1"/>
  <c r="J23" i="2"/>
  <c r="K23" i="2" s="1"/>
  <c r="J8" i="2"/>
  <c r="K8" i="2" s="1"/>
  <c r="J12" i="2"/>
  <c r="K12" i="2" s="1"/>
  <c r="L22" i="2"/>
  <c r="M22" i="2" s="1"/>
  <c r="E25" i="1" s="1"/>
  <c r="F25" i="1" s="1"/>
  <c r="L37" i="2"/>
  <c r="M37" i="2" s="1"/>
  <c r="E39" i="1" s="1"/>
  <c r="F39" i="1" s="1"/>
  <c r="L11" i="2"/>
  <c r="M11" i="2" s="1"/>
  <c r="E11" i="1" s="1"/>
  <c r="F11" i="1" s="1"/>
  <c r="L26" i="2"/>
  <c r="M26" i="2" s="1"/>
  <c r="E29" i="1" s="1"/>
  <c r="F29" i="1" s="1"/>
  <c r="L15" i="2"/>
  <c r="M15" i="2" s="1"/>
  <c r="E16" i="1" s="1"/>
  <c r="F16" i="1" s="1"/>
  <c r="L21" i="2"/>
  <c r="M21" i="2" s="1"/>
  <c r="E24" i="1" s="1"/>
  <c r="F24" i="1" s="1"/>
  <c r="L36" i="2"/>
  <c r="M36" i="2" s="1"/>
  <c r="E38" i="1" s="1"/>
  <c r="F38" i="1" s="1"/>
  <c r="J9" i="2"/>
  <c r="K9" i="2" s="1"/>
  <c r="J24" i="2"/>
  <c r="K24" i="2" s="1"/>
  <c r="J39" i="2"/>
  <c r="K39" i="2" s="1"/>
  <c r="J16" i="2"/>
  <c r="K16" i="2" s="1"/>
  <c r="AJ15" i="4" l="1"/>
  <c r="AK15" i="4" s="1"/>
  <c r="AJ27" i="4"/>
  <c r="AK27" i="4" s="1"/>
  <c r="M6" i="2"/>
  <c r="E6" i="1" s="1"/>
  <c r="F6" i="1" s="1"/>
  <c r="L12" i="2"/>
  <c r="M12" i="2" s="1"/>
  <c r="E13" i="1" s="1"/>
  <c r="F13" i="1" s="1"/>
  <c r="L16" i="2"/>
  <c r="M16" i="2" s="1"/>
  <c r="E17" i="1" s="1"/>
  <c r="F17" i="1" s="1"/>
  <c r="L7" i="2"/>
  <c r="M7" i="2" s="1"/>
  <c r="E7" i="1" s="1"/>
  <c r="F7" i="1" s="1"/>
  <c r="L9" i="2"/>
  <c r="M9" i="2" s="1"/>
  <c r="E9" i="1" s="1"/>
  <c r="F9" i="1" s="1"/>
  <c r="L17" i="2"/>
  <c r="M17" i="2" s="1"/>
  <c r="E18" i="1" s="1"/>
  <c r="F18" i="1" s="1"/>
  <c r="L23" i="2"/>
  <c r="M23" i="2" s="1"/>
  <c r="E26" i="1" s="1"/>
  <c r="F26" i="1" s="1"/>
  <c r="L24" i="2"/>
  <c r="M24" i="2" s="1"/>
  <c r="E27" i="1" s="1"/>
  <c r="F27" i="1" s="1"/>
  <c r="L39" i="2"/>
  <c r="M39" i="2" s="1"/>
  <c r="E41" i="1" s="1"/>
  <c r="F41" i="1" s="1"/>
  <c r="L8" i="2"/>
  <c r="M8" i="2" s="1"/>
  <c r="E8" i="1" s="1"/>
  <c r="F8" i="1" s="1"/>
  <c r="D20" i="1" l="1"/>
  <c r="D16" i="4" s="1"/>
  <c r="D19" i="1"/>
  <c r="D15" i="4" s="1"/>
  <c r="F19" i="1" l="1"/>
  <c r="F30" i="1"/>
  <c r="D20" i="4"/>
  <c r="F20" i="1"/>
  <c r="F31" i="1"/>
  <c r="D21" i="4"/>
  <c r="F44" i="1" l="1"/>
</calcChain>
</file>

<file path=xl/sharedStrings.xml><?xml version="1.0" encoding="utf-8"?>
<sst xmlns="http://schemas.openxmlformats.org/spreadsheetml/2006/main" count="716" uniqueCount="270">
  <si>
    <t>ECLAT MALL- Commercial Building</t>
  </si>
  <si>
    <t>مقايسة الأعمال الكهربية  - BOQ - ECLAT MALL</t>
  </si>
  <si>
    <t>م</t>
  </si>
  <si>
    <t>البيان</t>
  </si>
  <si>
    <t>الوحدة</t>
  </si>
  <si>
    <t>الكمية</t>
  </si>
  <si>
    <t>سعر
الوحدة</t>
  </si>
  <si>
    <t>الإجمالى</t>
  </si>
  <si>
    <t>1.00</t>
  </si>
  <si>
    <t>SECTION 16721
نظام إنذار الحريق</t>
  </si>
  <si>
    <t>توريد و تركيب و توصيل و برمجة و اختبار اجهزة إنذار الحريق التالية و البند يشمل قواعد للحساسات وشبكة كابلات مضادة للحريق) FIRE RESISTANT CABLES ( مطابقه لاختبارات ) BS 6387 CWZ ( من النوع ) 2 * 1.5 مم( تركب داخل مواسير من الصلب المجلفن EMT و تكوم UL LISTED والبند يشمل لوازم تثبيت المواسير وعلب و جميع الإكسسورات والأعمال الملحقة والخامات المطلوبة اللازمة لعمل النظام كما بالمواصفات و مخططات التصميم للعناصر التالية :</t>
  </si>
  <si>
    <t>توريد , تركيب , توصيل و برمجة , اختبار نظام إنذار الحريق شاملة لوحة الانذار ضد الحريق FACP ذات سعه 3 لوب مغلقه للحريق قابله للزياده الي 4 حلقه و جهاز حاسب الي مع وجود Grahgic User Interface GUI مزود بعدد 2 شاشه للعرض لاتقل عن 32 بوصه و الطابعة ولوحة لمبات مضيئة ) MIMIC PANEL ) - البند يشمل الربط مع وحدة التغذية بالكهرباء) شاملة وحدة تغذية بالكهرباء احتياطية (و البطاريات و الشاحن وكل الكماليات والأعمال الملحقة والخامات المطلوبة اللازمة لعمل النظام كما بالمواصفات و مخططات التصميم للعناصر التالية :</t>
  </si>
  <si>
    <t>بالعدد</t>
  </si>
  <si>
    <t>حساسات دخان معنونة</t>
  </si>
  <si>
    <t>حساسات حراره معنونة</t>
  </si>
  <si>
    <t>كارت مراقبه معنون</t>
  </si>
  <si>
    <t>كارت تحكم معنون</t>
  </si>
  <si>
    <t>كاسر زجاجي</t>
  </si>
  <si>
    <t xml:space="preserve">مخرج سرينة </t>
  </si>
  <si>
    <t>سارينة انذار مع فلاشر معنون معلق بالسقف من النوع المضاد للعوامل الجويه</t>
  </si>
  <si>
    <t>2.00</t>
  </si>
  <si>
    <t xml:space="preserve"> SECTION 16783
نظام كاميرات المراقبة</t>
  </si>
  <si>
    <t>توريد تركيب، اختبار وتشغيل نظام الدائرة التلفزيونية المغلقة (  CCTV ) بالمبنى  شاملا الكاميرات cameras والاجهزة الرئيسية والخوادم ووحدة تخزين المعلومات DVR وشاشات  LCD للمراقبة - على أن توضع الشاشات بغرفة التحكم فى الانظمة والاجهزة الرئيسية والخوادم و محطة تشغيل ووحدات فك الشفرة وجميع الاكسسوارات اللازمة للتركيب والتشغيل  على ان يتم التعديل بالنظام طبقا للمخططات والمواصفات وباعتماد المهندس المشرف والبند يشمل على</t>
  </si>
  <si>
    <t>2.01</t>
  </si>
  <si>
    <t>كاميرا ثابته معلقه عل الحائط من النوع الداخلى</t>
  </si>
  <si>
    <t>2.02</t>
  </si>
  <si>
    <t>كاميرا ثابته معلقه عل الحائط من النوع الخارجى</t>
  </si>
  <si>
    <t>2.03</t>
  </si>
  <si>
    <t>كاميرا ثابته معلقه عل السقف من النوع الداخلى</t>
  </si>
  <si>
    <t>2.05</t>
  </si>
  <si>
    <t>مخرج RG 11 لنظام كاميرات المراقبه التليفزيونيه معلق على الحائط</t>
  </si>
  <si>
    <t>2.06</t>
  </si>
  <si>
    <t>مخرج RG 11   من نوع المضاد للعوامل الجويه لنظام كاميرات المراقبه التليفزيونيه معلق على الحائط</t>
  </si>
  <si>
    <t>3.00</t>
  </si>
  <si>
    <t>SECTION 16725
نظام التحكم فى الدخول و الخروج</t>
  </si>
  <si>
    <t>توريد و تركيب و توصيل و اختبارنظام التحكم فى الدخول و الخروج شاملة مزود بالكهرباء الخاص بالنظام وجميع متطلبات التركيب, كابلات وكل الكماليات اللازمة والأعمال الملحقة والخامات المطلوبة للتركيب والتشغيل لنظام لتحكم فى الدخول و الخروج والبند يشمل وحدة التشغيل النظام الرئيسية ( AC Working station) و هي تعمل كخادم رئيسي للنظام ووحده Card (Paging) Printer , والتركيب و التشغيل و الاختبار الكامل للنظام</t>
  </si>
  <si>
    <t>3.02</t>
  </si>
  <si>
    <t xml:space="preserve">توريد و تركيب الأجهزة الآتية و البند يشمل توريد و اختبار الكابلات , مواسير , لوازم تثبيتات المواسير , علب , حوامل الكابلات وكل الكماليات اللازمة والأعمال الملحقة والخامات المطلوبة للتركيب والتشغيل حسب المواصفات والمساقط ومخططات التصميم للعناصر التالية :
</t>
  </si>
  <si>
    <t>3.02.01</t>
  </si>
  <si>
    <t>(4 Door Reader Capacity) Door Controller لوحه تحكم فرعيه بالابواب</t>
  </si>
  <si>
    <t>3.02.02</t>
  </si>
  <si>
    <t>قارىء كروت للدخول الخاص بالابواب</t>
  </si>
  <si>
    <t>3.02.03</t>
  </si>
  <si>
    <t>قارىء كروت للدخول الخاص بالابواب من النوع المضاد للعوامل الجويه</t>
  </si>
  <si>
    <t>3.02.04</t>
  </si>
  <si>
    <t>قفل باب كهرومغناطيسى مربوط بالقفل الموجود اعلي الباب</t>
  </si>
  <si>
    <t>3.02.05</t>
  </si>
  <si>
    <t>حساس باب كهرومغناطيسى مربوط بالقفل الموجود اعلي الباب</t>
  </si>
  <si>
    <t>3.02.06</t>
  </si>
  <si>
    <t>زر ضاغط لفتح الباب من داخل الغرفه.</t>
  </si>
  <si>
    <t>3.02.07</t>
  </si>
  <si>
    <t>مخرج RG 45 لنظام التحكم فى الدخول و الخروج معلق على الحائط</t>
  </si>
  <si>
    <t>3.02.08</t>
  </si>
  <si>
    <t xml:space="preserve">مخرج RG 45 لنظام التحكم فى الدخول و الخروج معلق على الحائطمن من نوع المضاد للعوامل الجويه </t>
  </si>
  <si>
    <t>4.00</t>
  </si>
  <si>
    <t>SECTION 16780
نظام الاذاعه الداخليه</t>
  </si>
  <si>
    <t>4.01</t>
  </si>
  <si>
    <t>توريد و تركيب و توصيل و اختبارنظام الاذاعه الداخليه  شاملة مزود بالكهرباء الخاص بالنظام وجميع متطلبات التركيب, كابلات وكل الكماليات اللازمة والأعمال الملحقة والخامات المطلوبة للتركيب والتشغيل والبند يشمل راك يحتوى على مكبر صوت ووحده التحكم ومشغل الكهرباء والمراوح والربط مع نظام انذار الحريق وكاميرات المراقبه ومايك ومفتاح سيلكتور , والتركيب و التشغيل و الاختبار الكامل للنظام</t>
  </si>
  <si>
    <t>4.02</t>
  </si>
  <si>
    <t>سماعه سقف 6 وات تشمل كابل  (2x1.5mm2 105º)</t>
  </si>
  <si>
    <t>5.00</t>
  </si>
  <si>
    <t>SECTION 16785
نظام الدش المركزى</t>
  </si>
  <si>
    <t>توريد و تركيب و توصيل و اختبارنظام الدش المركزى مزود بالكهرباء الخاصه بالنظام وجميع متطلبات التركيب, كابلات وكل الكماليات اللازمة والأعمال الملحقة والخامات المطلوبة للتركيب والتشغيل كما بالمواصفات و مخططات التصميم للعناصر التالية :</t>
  </si>
  <si>
    <t>5.01</t>
  </si>
  <si>
    <t>محطة Head end كامله مع مستقبلات/معدلات القنوات الرقمية المجانيه لاجهزة الاستقبال /المعدلات الرقميه c/w وحدة الواجهه المشتركه CI وحدة قاعدة المحولات الرقميه لمعدلات AN مع مصدر طاقه ووحدة تحكم ومضخم رأسى ومقسمات RF ومقسمات وجميع الملحقات الضروريه</t>
  </si>
  <si>
    <t>6.00</t>
  </si>
  <si>
    <t>16750 SECTION 
نظام شبكة الإتصالات</t>
  </si>
  <si>
    <t>6.01</t>
  </si>
  <si>
    <t>كبائن التوزيع الرئيسية لكلا من نظام شبكة الإتصالات و نظام الامن</t>
  </si>
  <si>
    <t>توريد , تركيب , توصيل , اختبار كبائن التوزيع شاملة مزود للكهرباء , مراوح , تأريض وكل الكماليات والأعمال الملحقة والخامات المطلوبة للتركيب والتشغيل حسب المواصفات ومخططات التصميم للعناصر التالية</t>
  </si>
  <si>
    <t>6.01.01</t>
  </si>
  <si>
    <t>راك معدنيMDF تركب في غرف الاتصالات الرئيسيه بالدور الارضى</t>
  </si>
  <si>
    <t>6.01.02</t>
  </si>
  <si>
    <t>غرفه تفتيش مقاس 40cm x 40cm وكا يشمل من مواسير وغيره لاتمام العمل على الوجهه الامثل</t>
  </si>
  <si>
    <t>6.02</t>
  </si>
  <si>
    <t xml:space="preserve">نظام المعلومات والتليفونات  </t>
  </si>
  <si>
    <t>6.02.01</t>
  </si>
  <si>
    <t>صندوق تجميع لاعمال التيار الخفيف وكذلك أدوات التثبيت والاختبارات حسب الرسومات والمواصفات.</t>
  </si>
  <si>
    <t>6.02.02</t>
  </si>
  <si>
    <t>6.02.03</t>
  </si>
  <si>
    <t>توريد وتركيب وحدة  داتا على الحائط بكل وحدة بالاسلاك حسب الرسومات  ومحمل على البند  العلبة  طراز بيتشينو لايت أو ما يماثله و مواسير الـ P.V.C  من المخرج إلى Junction box  وكذلك أدوات التثبيت والاختبارات حسب الرسومات والمواصفات.</t>
  </si>
  <si>
    <r>
      <t>توريد و تركيب و توصيل و اختبارنظام الاذاعه الداخليه  شاملة مزود بالكهرباء الخاص بالنظام وجميع متطلبات التركيب</t>
    </r>
    <r>
      <rPr>
        <sz val="14"/>
        <color rgb="FFFF0000"/>
        <rFont val="Arial"/>
        <family val="2"/>
      </rPr>
      <t>, كابلات وكل</t>
    </r>
    <r>
      <rPr>
        <sz val="14"/>
        <rFont val="Arial"/>
        <family val="2"/>
      </rPr>
      <t xml:space="preserve"> </t>
    </r>
    <r>
      <rPr>
        <sz val="14"/>
        <color rgb="FFFF0000"/>
        <rFont val="Arial"/>
        <family val="2"/>
      </rPr>
      <t>الكماليات اللازمة والأعمال الملحقة والخامات المطلوبة للتركيب والتشغيل والبند يشمل راك</t>
    </r>
    <r>
      <rPr>
        <sz val="14"/>
        <rFont val="Arial"/>
        <family val="2"/>
      </rPr>
      <t xml:space="preserve"> يحتوى على مكبر صوت ووحده التحكم ومشغل الكهرباء والمراوح والربط مع نظام انذار الحريق وكاميرات المراق به ومايك ومفتاح سيلكتور , والتركيب و التشغيل و الاختبار الكامل للنظام</t>
    </r>
  </si>
  <si>
    <t>Supply</t>
  </si>
  <si>
    <t>Install</t>
  </si>
  <si>
    <t>Direct</t>
  </si>
  <si>
    <t>Indirect</t>
  </si>
  <si>
    <t>Dry cost</t>
  </si>
  <si>
    <t>Profit</t>
  </si>
  <si>
    <t>Price</t>
  </si>
  <si>
    <t>Deduction</t>
  </si>
  <si>
    <t>BOQ</t>
  </si>
  <si>
    <t>Conduits</t>
  </si>
  <si>
    <t>Wires</t>
  </si>
  <si>
    <t>PVC</t>
  </si>
  <si>
    <t>EMT</t>
  </si>
  <si>
    <t>Flexible</t>
  </si>
  <si>
    <t>Cond size</t>
  </si>
  <si>
    <t xml:space="preserve"> Cond AVG LEN</t>
  </si>
  <si>
    <t>Flexible AVG LEN</t>
  </si>
  <si>
    <t>Cable AVG LEN</t>
  </si>
  <si>
    <t>Length</t>
  </si>
  <si>
    <t>U.P</t>
  </si>
  <si>
    <t>T.P</t>
  </si>
  <si>
    <t>Fitting</t>
  </si>
  <si>
    <t>T.M</t>
  </si>
  <si>
    <t>Type</t>
  </si>
  <si>
    <t>W.M</t>
  </si>
  <si>
    <t>الاجمالي</t>
  </si>
  <si>
    <t>RG11</t>
  </si>
  <si>
    <t>RG45</t>
  </si>
  <si>
    <t>RG46</t>
  </si>
  <si>
    <t>20 PVC</t>
  </si>
  <si>
    <t>3/4 EMT</t>
  </si>
  <si>
    <t>20  mm PVC</t>
  </si>
  <si>
    <t>2*1.5 fire resistance</t>
  </si>
  <si>
    <t>2*1.5  mm2</t>
  </si>
  <si>
    <t>Data</t>
  </si>
  <si>
    <t>NO.Of Outlet</t>
  </si>
  <si>
    <t>Levels</t>
  </si>
  <si>
    <t>Tray</t>
  </si>
  <si>
    <t>Conduit</t>
  </si>
  <si>
    <t>Cable</t>
  </si>
  <si>
    <t>Floor</t>
  </si>
  <si>
    <t>Panel</t>
  </si>
  <si>
    <t>Line</t>
  </si>
  <si>
    <t>Celing CCTV</t>
  </si>
  <si>
    <t>Wall CCTV</t>
  </si>
  <si>
    <t>FloorLevel</t>
  </si>
  <si>
    <t>CCTV Level</t>
  </si>
  <si>
    <t>Panel Level</t>
  </si>
  <si>
    <t>False Celing level</t>
  </si>
  <si>
    <t>V</t>
  </si>
  <si>
    <t>H</t>
  </si>
  <si>
    <t>Wall</t>
  </si>
  <si>
    <t>RISER</t>
  </si>
  <si>
    <t>Celing</t>
  </si>
  <si>
    <t>ربط التراى</t>
  </si>
  <si>
    <t>نزلات السقف</t>
  </si>
  <si>
    <t>GROUND</t>
  </si>
  <si>
    <t>MDF</t>
  </si>
  <si>
    <t>C1</t>
  </si>
  <si>
    <t>C2</t>
  </si>
  <si>
    <t>C3</t>
  </si>
  <si>
    <t>Total NO.</t>
  </si>
  <si>
    <t>AVG COND</t>
  </si>
  <si>
    <t>AVG FLE</t>
  </si>
  <si>
    <t>AVG CABLE</t>
  </si>
  <si>
    <t>First</t>
  </si>
  <si>
    <t>Celing TELE</t>
  </si>
  <si>
    <t>Wall TELE</t>
  </si>
  <si>
    <t>TELE Level</t>
  </si>
  <si>
    <t>Celing DATA</t>
  </si>
  <si>
    <t>Wall DATA</t>
  </si>
  <si>
    <t>CATA Level</t>
  </si>
  <si>
    <t>fire alarm sarine</t>
  </si>
  <si>
    <t>level</t>
  </si>
  <si>
    <t>NO .OF outlet</t>
  </si>
  <si>
    <t>RAISER</t>
  </si>
  <si>
    <t>TOTAL
FLEXIBLE</t>
  </si>
  <si>
    <t>floor</t>
  </si>
  <si>
    <t>NO.L/F</t>
  </si>
  <si>
    <t>failse ceiling</t>
  </si>
  <si>
    <t>Beam dete</t>
  </si>
  <si>
    <t>CM&amp;MM</t>
  </si>
  <si>
    <t>SARINE</t>
  </si>
  <si>
    <t>PH</t>
  </si>
  <si>
    <t>MCS
L</t>
  </si>
  <si>
    <t>MCS</t>
  </si>
  <si>
    <t>celing</t>
  </si>
  <si>
    <t>BEAM</t>
  </si>
  <si>
    <t>CM&amp;&amp;MM</t>
  </si>
  <si>
    <t>TOTAL</t>
  </si>
  <si>
    <t>TOTAL OUTLET</t>
  </si>
  <si>
    <t>AVG LENGTH OF CONDUIT</t>
  </si>
  <si>
    <t>AVG LENGTH OF Flexible</t>
  </si>
  <si>
    <t>AVG LENGTH OF cable</t>
  </si>
  <si>
    <t>fire alarm detectors</t>
  </si>
  <si>
    <t>wall
detector</t>
  </si>
  <si>
    <t>Wall
detector</t>
  </si>
  <si>
    <t>ID1</t>
  </si>
  <si>
    <t>ID2</t>
  </si>
  <si>
    <t>ID3</t>
  </si>
  <si>
    <t>ID4</t>
  </si>
  <si>
    <t>ID5</t>
  </si>
  <si>
    <t>ID6</t>
  </si>
  <si>
    <t>ID7</t>
  </si>
  <si>
    <t>ID8</t>
  </si>
  <si>
    <t>ID9</t>
  </si>
  <si>
    <t>ID10</t>
  </si>
  <si>
    <t>ID11</t>
  </si>
  <si>
    <t>ID12</t>
  </si>
  <si>
    <t>ID13</t>
  </si>
  <si>
    <t>ID14</t>
  </si>
  <si>
    <t>ID15</t>
  </si>
  <si>
    <t>ID16</t>
  </si>
  <si>
    <t>ID17</t>
  </si>
  <si>
    <t>ID18</t>
  </si>
  <si>
    <t>ID19</t>
  </si>
  <si>
    <t>ID20</t>
  </si>
  <si>
    <t>ID21</t>
  </si>
  <si>
    <t>ID22</t>
  </si>
  <si>
    <t>BASEMENT</t>
  </si>
  <si>
    <t>RG1</t>
  </si>
  <si>
    <t>RG2</t>
  </si>
  <si>
    <t>RG3</t>
  </si>
  <si>
    <t>RG4</t>
  </si>
  <si>
    <t>RG5</t>
  </si>
  <si>
    <t>RG6</t>
  </si>
  <si>
    <t>RG7</t>
  </si>
  <si>
    <t>RG8</t>
  </si>
  <si>
    <t>RG9</t>
  </si>
  <si>
    <t>RG10</t>
  </si>
  <si>
    <t>RG12</t>
  </si>
  <si>
    <t>RG13</t>
  </si>
  <si>
    <t>RG14</t>
  </si>
  <si>
    <t>RG15</t>
  </si>
  <si>
    <t>RG16</t>
  </si>
  <si>
    <t>RG17</t>
  </si>
  <si>
    <t>RG18</t>
  </si>
  <si>
    <t>RG19</t>
  </si>
  <si>
    <t>RG20</t>
  </si>
  <si>
    <t>RG21</t>
  </si>
  <si>
    <t>RG22</t>
  </si>
  <si>
    <t>RG23</t>
  </si>
  <si>
    <t>RG24</t>
  </si>
  <si>
    <t>RG25</t>
  </si>
  <si>
    <t>RG26</t>
  </si>
  <si>
    <t>RG27</t>
  </si>
  <si>
    <t>RG28</t>
  </si>
  <si>
    <t>مخرج RJ11 عالحائط OUTDOOR</t>
  </si>
  <si>
    <t>ID(WP)1</t>
  </si>
  <si>
    <t>ID(WP)2</t>
  </si>
  <si>
    <t>ID(WP)3</t>
  </si>
  <si>
    <t>ID(WP)4</t>
  </si>
  <si>
    <t>ID(WP)5</t>
  </si>
  <si>
    <t>ID(WP)6</t>
  </si>
  <si>
    <t>ID(WP)7</t>
  </si>
  <si>
    <t>ID(WP)8</t>
  </si>
  <si>
    <t>ID(WP)9</t>
  </si>
  <si>
    <t>ID CAMERA ON WALL</t>
  </si>
  <si>
    <t>RG CAMERA ON CELING</t>
  </si>
  <si>
    <t>ID(wp) CAMERA ON WALL</t>
  </si>
  <si>
    <t>توريد وتركيب مخرج تليفون وداتا عالحائط ومحمل عالبند العلبة طراز بيتشينو او ما يماثله من مواسير pvc</t>
  </si>
  <si>
    <t>D/T1</t>
  </si>
  <si>
    <t>D/T2</t>
  </si>
  <si>
    <t>D/T3</t>
  </si>
  <si>
    <t>D/T4</t>
  </si>
  <si>
    <t>D/T5</t>
  </si>
  <si>
    <t>D/T6</t>
  </si>
  <si>
    <t>D/T7</t>
  </si>
  <si>
    <t>D/T8</t>
  </si>
  <si>
    <t>D/T9</t>
  </si>
  <si>
    <t>D/T10</t>
  </si>
  <si>
    <t>D/T11</t>
  </si>
  <si>
    <t>D/T12</t>
  </si>
  <si>
    <t>D/T13</t>
  </si>
  <si>
    <t>D/T14</t>
  </si>
  <si>
    <t>D/T15</t>
  </si>
  <si>
    <t>D/T16</t>
  </si>
  <si>
    <t>D/T17</t>
  </si>
  <si>
    <t>D/T18</t>
  </si>
  <si>
    <t>D/T19</t>
  </si>
  <si>
    <t>D/T20</t>
  </si>
  <si>
    <t>D/T21</t>
  </si>
  <si>
    <t>D/T22</t>
  </si>
  <si>
    <t>D/T23</t>
  </si>
  <si>
    <t>D/T24</t>
  </si>
  <si>
    <t>NO.Z/F</t>
  </si>
  <si>
    <t>توريد وتركيب مخرج  تليفون وداتا على الحائط بكل وحدة بالاسلاك حسب الرسومات  ومحمل على البند  العلبة  طراز بيتشينو لايت أو ما يماثله و مواسير الـ P.V.C  من المخرج إلى صندوق تجميع خطوط التليفونات  وكذلك أدوات التثبيت والاختبارات حسب الرسومات والمواصفات.</t>
  </si>
  <si>
    <t>توريد وتركيب مخرج  تليفون و داتا على الحائط بكل وحدة بالاسلاك حسب الرسومات  ومحمل على البند  العلبة  طراز بيتشينو لايت أو ما يماثله و مواسير الـ P.V.C  من المخرج إلى صندوق تجميع خطوط التليفونات  وكذلك أدوات التثبيت والاختبارات حسب الرسومات والمواصفات.</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</si>
</sst>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Arial"/>
      <family val="2"/>
      <scheme val="minor"/>
    </font>
    <font>
      <sz val="11"/>
      <color theme="0"/>
      <name val="Arial"/>
      <family val="2"/>
      <charset val="178"/>
      <scheme val="minor"/>
    </font>
    <font>
      <b/>
      <sz val="18"/>
      <name val="Arial"/>
      <family val="2"/>
    </font>
    <font>
      <sz val="9"/>
      <name val="Times New Roman"/>
      <family val="1"/>
      <charset val="178"/>
    </font>
    <font>
      <b/>
      <u/>
      <sz val="18"/>
      <name val="Arial"/>
      <family val="2"/>
    </font>
    <font>
      <sz val="18"/>
      <name val="Arial"/>
      <family val="2"/>
    </font>
    <font>
      <sz val="18"/>
      <color theme="1"/>
      <name val="Arial"/>
      <family val="2"/>
    </font>
    <font>
      <b/>
      <sz val="18"/>
      <color theme="1"/>
      <name val="Arial"/>
      <family val="2"/>
    </font>
    <font>
      <sz val="11"/>
      <color theme="1"/>
      <name val="Calibri"/>
      <family val="2"/>
    </font>
    <font>
      <b/>
      <sz val="14"/>
      <name val="Arial"/>
      <family val="2"/>
    </font>
    <font>
      <b/>
      <u/>
      <sz val="14"/>
      <name val="Arial"/>
      <family val="2"/>
    </font>
    <font>
      <sz val="14"/>
      <name val="Arial"/>
      <family val="2"/>
    </font>
    <font>
      <sz val="14"/>
      <color theme="1"/>
      <name val="Arial"/>
      <family val="2"/>
    </font>
    <font>
      <b/>
      <sz val="14"/>
      <color theme="1"/>
      <name val="Arial"/>
      <family val="2"/>
    </font>
    <font>
      <sz val="14"/>
      <color rgb="FFFF0000"/>
      <name val="Arial"/>
      <family val="2"/>
    </font>
    <font>
      <b/>
      <sz val="14"/>
      <name val="Times New Roman"/>
      <family val="1"/>
      <scheme val="major"/>
    </font>
    <font>
      <sz val="14"/>
      <name val="Times New Roman"/>
      <family val="1"/>
      <scheme val="major"/>
    </font>
    <font>
      <sz val="14"/>
      <color theme="1"/>
      <name val="Times New Roman"/>
      <family val="1"/>
      <scheme val="major"/>
    </font>
    <font>
      <sz val="8"/>
      <name val="Arial"/>
      <family val="2"/>
      <scheme val="minor"/>
    </font>
    <font>
      <sz val="14"/>
      <color theme="1"/>
      <name val="Arial"/>
      <family val="2"/>
      <scheme val="minor"/>
    </font>
    <font>
      <sz val="24"/>
      <color theme="1"/>
      <name val="Arial"/>
      <family val="2"/>
      <scheme val="minor"/>
    </font>
    <font>
      <sz val="12"/>
      <color theme="1"/>
      <name val="Arial"/>
      <family val="2"/>
      <scheme val="minor"/>
    </font>
  </fonts>
  <fills count="24">
    <fill>
      <patternFill patternType="none"/>
    </fill>
    <fill>
      <patternFill patternType="gray125"/>
    </fill>
    <fill>
      <patternFill patternType="solid">
        <fgColor theme="5"/>
      </patternFill>
    </fill>
    <fill>
      <patternFill patternType="solid">
        <fgColor theme="3" tint="0.7999816888943144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00B050"/>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6" tint="0.79998168889431442"/>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rgb="FFFF0000"/>
        <bgColor indexed="64"/>
      </patternFill>
    </fill>
  </fills>
  <borders count="7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theme="1"/>
      </right>
      <top/>
      <bottom/>
      <diagonal/>
    </border>
    <border>
      <left style="thin">
        <color theme="1"/>
      </left>
      <right style="thin">
        <color theme="1"/>
      </right>
      <top/>
      <bottom/>
      <diagonal/>
    </border>
    <border>
      <left style="thin">
        <color indexed="8"/>
      </left>
      <right/>
      <top style="thin">
        <color indexed="64"/>
      </top>
      <bottom style="thin">
        <color indexed="64"/>
      </bottom>
      <diagonal/>
    </border>
    <border>
      <left style="thin">
        <color indexed="64"/>
      </left>
      <right style="thin">
        <color theme="1"/>
      </right>
      <top style="thin">
        <color indexed="64"/>
      </top>
      <bottom style="thin">
        <color indexed="64"/>
      </bottom>
      <diagonal/>
    </border>
    <border>
      <left style="thin">
        <color theme="1"/>
      </left>
      <right style="thin">
        <color theme="1"/>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theme="1"/>
      </right>
      <top style="medium">
        <color indexed="64"/>
      </top>
      <bottom style="thin">
        <color indexed="64"/>
      </bottom>
      <diagonal/>
    </border>
    <border>
      <left style="thin">
        <color theme="1"/>
      </left>
      <right style="thin">
        <color theme="1"/>
      </right>
      <top style="medium">
        <color indexed="64"/>
      </top>
      <bottom style="thin">
        <color indexed="64"/>
      </bottom>
      <diagonal/>
    </border>
    <border>
      <left/>
      <right/>
      <top style="thin">
        <color indexed="64"/>
      </top>
      <bottom style="thin">
        <color indexed="64"/>
      </bottom>
      <diagonal/>
    </border>
    <border>
      <left style="thin">
        <color indexed="64"/>
      </left>
      <right style="thin">
        <color theme="1"/>
      </right>
      <top style="medium">
        <color indexed="64"/>
      </top>
      <bottom style="medium">
        <color indexed="64"/>
      </bottom>
      <diagonal/>
    </border>
    <border>
      <left style="thin">
        <color theme="1"/>
      </left>
      <right style="thin">
        <color theme="1"/>
      </right>
      <top style="medium">
        <color indexed="64"/>
      </top>
      <bottom style="medium">
        <color indexed="64"/>
      </bottom>
      <diagonal/>
    </border>
    <border>
      <left/>
      <right/>
      <top style="medium">
        <color indexed="64"/>
      </top>
      <bottom style="thin">
        <color indexed="64"/>
      </bottom>
      <diagonal/>
    </border>
    <border>
      <left style="medium">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theme="1"/>
      </right>
      <top style="thin">
        <color indexed="64"/>
      </top>
      <bottom/>
      <diagonal/>
    </border>
    <border>
      <left style="thin">
        <color theme="1"/>
      </left>
      <right style="thin">
        <color theme="1"/>
      </right>
      <top style="thin">
        <color indexed="64"/>
      </top>
      <bottom/>
      <diagonal/>
    </border>
    <border>
      <left style="medium">
        <color indexed="64"/>
      </left>
      <right style="thin">
        <color indexed="64"/>
      </right>
      <top style="medium">
        <color indexed="64"/>
      </top>
      <bottom/>
      <diagonal/>
    </border>
    <border>
      <left style="thin">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thin">
        <color indexed="64"/>
      </right>
      <top/>
      <bottom/>
      <diagonal/>
    </border>
    <border>
      <left style="thin">
        <color indexed="64"/>
      </left>
      <right style="thin">
        <color indexed="64"/>
      </right>
      <top style="medium">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right/>
      <top/>
      <bottom style="medium">
        <color indexed="64"/>
      </bottom>
      <diagonal/>
    </border>
    <border>
      <left style="medium">
        <color indexed="64"/>
      </left>
      <right/>
      <top/>
      <bottom style="thin">
        <color indexed="64"/>
      </bottom>
      <diagonal/>
    </border>
  </borders>
  <cellStyleXfs count="4">
    <xf numFmtId="0" fontId="0" fillId="0" borderId="0"/>
    <xf numFmtId="0" fontId="1" fillId="2" borderId="0" applyNumberFormat="0" applyBorder="0" applyAlignment="0" applyProtection="0"/>
    <xf numFmtId="0" fontId="3" fillId="0" borderId="0"/>
    <xf numFmtId="0" fontId="8" fillId="0" borderId="0"/>
  </cellStyleXfs>
  <cellXfs count="341">
    <xf numFmtId="0" fontId="0" fillId="0" borderId="0" xfId="0"/>
    <xf numFmtId="37" fontId="2" fillId="4" borderId="8" xfId="0" applyNumberFormat="1" applyFont="1" applyFill="1" applyBorder="1" applyAlignment="1">
      <alignment horizontal="center" vertical="center"/>
    </xf>
    <xf numFmtId="1" fontId="2" fillId="4" borderId="8" xfId="0" applyNumberFormat="1" applyFont="1" applyFill="1" applyBorder="1" applyAlignment="1">
      <alignment horizontal="center" vertical="center" wrapText="1"/>
    </xf>
    <xf numFmtId="0" fontId="4" fillId="5" borderId="14" xfId="0" applyFont="1" applyFill="1" applyBorder="1" applyAlignment="1">
      <alignment horizontal="right" vertical="center" wrapText="1" readingOrder="2"/>
    </xf>
    <xf numFmtId="0" fontId="5" fillId="5" borderId="14" xfId="0" applyFont="1" applyFill="1" applyBorder="1" applyAlignment="1">
      <alignment horizontal="center" vertical="center"/>
    </xf>
    <xf numFmtId="0" fontId="5" fillId="0" borderId="11" xfId="0" applyFont="1" applyBorder="1" applyAlignment="1">
      <alignment horizontal="right" vertical="center" wrapText="1"/>
    </xf>
    <xf numFmtId="0" fontId="5" fillId="6" borderId="17" xfId="0" applyFont="1" applyFill="1" applyBorder="1" applyAlignment="1">
      <alignment horizontal="center" vertical="center"/>
    </xf>
    <xf numFmtId="0" fontId="5" fillId="6" borderId="18" xfId="0" applyFont="1" applyFill="1" applyBorder="1" applyAlignment="1">
      <alignment horizontal="center" vertical="center" wrapText="1" readingOrder="2"/>
    </xf>
    <xf numFmtId="0" fontId="5" fillId="6" borderId="20" xfId="0" quotePrefix="1" applyFont="1" applyFill="1" applyBorder="1" applyAlignment="1">
      <alignment horizontal="right" vertical="top" wrapText="1"/>
    </xf>
    <xf numFmtId="0" fontId="6" fillId="6" borderId="11" xfId="1" applyFont="1" applyFill="1" applyBorder="1" applyAlignment="1">
      <alignment horizontal="center" vertical="center"/>
    </xf>
    <xf numFmtId="0" fontId="6" fillId="6" borderId="21" xfId="1" applyFont="1" applyFill="1" applyBorder="1" applyAlignment="1">
      <alignment horizontal="center" vertical="center"/>
    </xf>
    <xf numFmtId="0" fontId="5" fillId="6" borderId="20" xfId="0" quotePrefix="1" applyFont="1" applyFill="1" applyBorder="1" applyAlignment="1">
      <alignment horizontal="right" vertical="center"/>
    </xf>
    <xf numFmtId="49" fontId="4" fillId="5" borderId="8" xfId="3" applyNumberFormat="1" applyFont="1" applyFill="1" applyBorder="1" applyAlignment="1">
      <alignment horizontal="right" vertical="center" wrapText="1" readingOrder="2"/>
    </xf>
    <xf numFmtId="0" fontId="5" fillId="5" borderId="8" xfId="0" applyFont="1" applyFill="1" applyBorder="1" applyAlignment="1">
      <alignment horizontal="center" vertical="center"/>
    </xf>
    <xf numFmtId="0" fontId="6" fillId="6" borderId="24" xfId="0" applyFont="1" applyFill="1" applyBorder="1" applyAlignment="1">
      <alignment horizontal="right" vertical="top" wrapText="1"/>
    </xf>
    <xf numFmtId="1" fontId="5" fillId="6" borderId="24" xfId="0" applyNumberFormat="1" applyFont="1" applyFill="1" applyBorder="1" applyAlignment="1">
      <alignment horizontal="center" vertical="center"/>
    </xf>
    <xf numFmtId="0" fontId="5" fillId="6" borderId="25" xfId="0" applyFont="1" applyFill="1" applyBorder="1" applyAlignment="1">
      <alignment horizontal="center" vertical="center"/>
    </xf>
    <xf numFmtId="49" fontId="2" fillId="6" borderId="11" xfId="0" quotePrefix="1" applyNumberFormat="1" applyFont="1" applyFill="1" applyBorder="1" applyAlignment="1">
      <alignment horizontal="center" vertical="center" wrapText="1" readingOrder="2"/>
    </xf>
    <xf numFmtId="0" fontId="6" fillId="6" borderId="0" xfId="1" quotePrefix="1" applyFont="1" applyFill="1" applyBorder="1" applyAlignment="1">
      <alignment horizontal="right" vertical="center" wrapText="1"/>
    </xf>
    <xf numFmtId="0" fontId="6" fillId="6" borderId="17" xfId="1" applyFont="1" applyFill="1" applyBorder="1" applyAlignment="1">
      <alignment horizontal="center" vertical="center"/>
    </xf>
    <xf numFmtId="0" fontId="5" fillId="6" borderId="27" xfId="0" quotePrefix="1" applyFont="1" applyFill="1" applyBorder="1" applyAlignment="1">
      <alignment horizontal="right" vertical="center"/>
    </xf>
    <xf numFmtId="0" fontId="5" fillId="6" borderId="27" xfId="0" quotePrefix="1" applyFont="1" applyFill="1" applyBorder="1" applyAlignment="1">
      <alignment horizontal="right" vertical="center" wrapText="1"/>
    </xf>
    <xf numFmtId="0" fontId="6" fillId="0" borderId="24" xfId="0" applyFont="1" applyBorder="1" applyAlignment="1">
      <alignment horizontal="right" vertical="top" wrapText="1"/>
    </xf>
    <xf numFmtId="49" fontId="5" fillId="6" borderId="8" xfId="3" applyNumberFormat="1" applyFont="1" applyFill="1" applyBorder="1" applyAlignment="1">
      <alignment horizontal="right" vertical="top" wrapText="1" readingOrder="2"/>
    </xf>
    <xf numFmtId="0" fontId="5" fillId="6" borderId="8" xfId="0" applyFont="1" applyFill="1" applyBorder="1" applyAlignment="1">
      <alignment horizontal="center" vertical="center"/>
    </xf>
    <xf numFmtId="0" fontId="5" fillId="6" borderId="20" xfId="0" quotePrefix="1" applyFont="1" applyFill="1" applyBorder="1" applyAlignment="1">
      <alignment horizontal="right" vertical="center" wrapText="1"/>
    </xf>
    <xf numFmtId="0" fontId="4" fillId="5" borderId="2" xfId="3" quotePrefix="1" applyFont="1" applyFill="1" applyBorder="1" applyAlignment="1">
      <alignment horizontal="right" vertical="center" wrapText="1" readingOrder="2"/>
    </xf>
    <xf numFmtId="0" fontId="5" fillId="5" borderId="8" xfId="0" applyFont="1" applyFill="1" applyBorder="1" applyAlignment="1">
      <alignment horizontal="center" vertical="center" wrapText="1"/>
    </xf>
    <xf numFmtId="0" fontId="5" fillId="5" borderId="28" xfId="0" applyFont="1" applyFill="1" applyBorder="1" applyAlignment="1">
      <alignment horizontal="center" vertical="center" wrapText="1" readingOrder="2"/>
    </xf>
    <xf numFmtId="4" fontId="5" fillId="5" borderId="29" xfId="0" applyNumberFormat="1" applyFont="1" applyFill="1" applyBorder="1" applyAlignment="1">
      <alignment horizontal="center" vertical="center"/>
    </xf>
    <xf numFmtId="0" fontId="5" fillId="6" borderId="30" xfId="0" applyFont="1" applyFill="1" applyBorder="1" applyAlignment="1">
      <alignment horizontal="right" vertical="top" wrapText="1" readingOrder="2"/>
    </xf>
    <xf numFmtId="0" fontId="5" fillId="6" borderId="24" xfId="0" applyFont="1" applyFill="1" applyBorder="1" applyAlignment="1">
      <alignment horizontal="center" vertical="center" wrapText="1"/>
    </xf>
    <xf numFmtId="0" fontId="5" fillId="6" borderId="25" xfId="0" applyFont="1" applyFill="1" applyBorder="1" applyAlignment="1">
      <alignment horizontal="center" vertical="center" wrapText="1" readingOrder="2"/>
    </xf>
    <xf numFmtId="4" fontId="5" fillId="6" borderId="26" xfId="0" applyNumberFormat="1" applyFont="1" applyFill="1" applyBorder="1" applyAlignment="1">
      <alignment horizontal="center" vertical="center"/>
    </xf>
    <xf numFmtId="0" fontId="6" fillId="6" borderId="27" xfId="1" quotePrefix="1" applyFont="1" applyFill="1" applyBorder="1" applyAlignment="1">
      <alignment horizontal="right" vertical="center" wrapText="1"/>
    </xf>
    <xf numFmtId="0" fontId="5" fillId="6" borderId="21" xfId="0" applyFont="1" applyFill="1" applyBorder="1" applyAlignment="1">
      <alignment horizontal="center" vertical="center" wrapText="1" readingOrder="2"/>
    </xf>
    <xf numFmtId="0" fontId="4" fillId="5" borderId="2" xfId="3" applyFont="1" applyFill="1" applyBorder="1" applyAlignment="1">
      <alignment horizontal="right" vertical="center" wrapText="1" readingOrder="2"/>
    </xf>
    <xf numFmtId="0" fontId="5" fillId="5" borderId="28" xfId="0" applyFont="1" applyFill="1" applyBorder="1" applyAlignment="1">
      <alignment horizontal="center" vertical="center"/>
    </xf>
    <xf numFmtId="0" fontId="4" fillId="7" borderId="2" xfId="3" applyFont="1" applyFill="1" applyBorder="1" applyAlignment="1">
      <alignment horizontal="right" vertical="center" wrapText="1" readingOrder="2"/>
    </xf>
    <xf numFmtId="0" fontId="5" fillId="7" borderId="8" xfId="0" applyFont="1" applyFill="1" applyBorder="1" applyAlignment="1">
      <alignment horizontal="center" vertical="center"/>
    </xf>
    <xf numFmtId="0" fontId="5" fillId="7" borderId="28" xfId="0" applyFont="1" applyFill="1" applyBorder="1" applyAlignment="1">
      <alignment horizontal="center" vertical="center"/>
    </xf>
    <xf numFmtId="1" fontId="5" fillId="6" borderId="17" xfId="0" applyNumberFormat="1" applyFont="1" applyFill="1" applyBorder="1" applyAlignment="1">
      <alignment horizontal="center" vertical="center"/>
    </xf>
    <xf numFmtId="0" fontId="6" fillId="6" borderId="18" xfId="1" applyFont="1" applyFill="1" applyBorder="1" applyAlignment="1">
      <alignment horizontal="center" vertical="center"/>
    </xf>
    <xf numFmtId="0" fontId="5" fillId="6" borderId="32" xfId="0" applyFont="1" applyFill="1" applyBorder="1" applyAlignment="1">
      <alignment horizontal="right" vertical="top" wrapText="1" readingOrder="2"/>
    </xf>
    <xf numFmtId="1" fontId="5" fillId="6" borderId="33" xfId="0" applyNumberFormat="1" applyFont="1" applyFill="1" applyBorder="1" applyAlignment="1">
      <alignment horizontal="center" vertical="center"/>
    </xf>
    <xf numFmtId="0" fontId="6" fillId="6" borderId="34" xfId="1" applyFont="1" applyFill="1" applyBorder="1" applyAlignment="1">
      <alignment horizontal="center" vertical="center"/>
    </xf>
    <xf numFmtId="0" fontId="7" fillId="6" borderId="11" xfId="1" quotePrefix="1" applyFont="1" applyFill="1" applyBorder="1" applyAlignment="1">
      <alignment horizontal="center" vertical="center"/>
    </xf>
    <xf numFmtId="49" fontId="5" fillId="6" borderId="8" xfId="3" applyNumberFormat="1" applyFont="1" applyFill="1" applyBorder="1" applyAlignment="1">
      <alignment horizontal="right" vertical="center" wrapText="1" readingOrder="2"/>
    </xf>
    <xf numFmtId="37" fontId="9" fillId="4" borderId="7" xfId="0" applyNumberFormat="1" applyFont="1" applyFill="1" applyBorder="1" applyAlignment="1">
      <alignment horizontal="center" vertical="center" wrapText="1"/>
    </xf>
    <xf numFmtId="37" fontId="9" fillId="4" borderId="8" xfId="0" applyNumberFormat="1" applyFont="1" applyFill="1" applyBorder="1" applyAlignment="1">
      <alignment horizontal="center" vertical="center"/>
    </xf>
    <xf numFmtId="49" fontId="9" fillId="5" borderId="13" xfId="0" quotePrefix="1" applyNumberFormat="1" applyFont="1" applyFill="1" applyBorder="1" applyAlignment="1">
      <alignment horizontal="center" vertical="center" wrapText="1" readingOrder="2"/>
    </xf>
    <xf numFmtId="0" fontId="10" fillId="5" borderId="14" xfId="0" applyFont="1" applyFill="1" applyBorder="1" applyAlignment="1">
      <alignment horizontal="right" vertical="center" wrapText="1" readingOrder="2"/>
    </xf>
    <xf numFmtId="0" fontId="11" fillId="5" borderId="14" xfId="0" applyFont="1" applyFill="1" applyBorder="1" applyAlignment="1">
      <alignment horizontal="center" vertical="center"/>
    </xf>
    <xf numFmtId="49" fontId="9" fillId="6" borderId="16" xfId="0" quotePrefix="1" applyNumberFormat="1" applyFont="1" applyFill="1" applyBorder="1" applyAlignment="1">
      <alignment horizontal="center" vertical="center" wrapText="1" readingOrder="2"/>
    </xf>
    <xf numFmtId="0" fontId="11" fillId="0" borderId="11" xfId="0" applyFont="1" applyBorder="1" applyAlignment="1">
      <alignment horizontal="right" vertical="center" wrapText="1"/>
    </xf>
    <xf numFmtId="0" fontId="11" fillId="6" borderId="17" xfId="0" applyFont="1" applyFill="1" applyBorder="1" applyAlignment="1">
      <alignment horizontal="center" vertical="center"/>
    </xf>
    <xf numFmtId="0" fontId="13" fillId="6" borderId="10" xfId="1" quotePrefix="1" applyFont="1" applyFill="1" applyBorder="1" applyAlignment="1">
      <alignment horizontal="center" vertical="center"/>
    </xf>
    <xf numFmtId="0" fontId="11" fillId="6" borderId="20" xfId="0" quotePrefix="1" applyFont="1" applyFill="1" applyBorder="1" applyAlignment="1">
      <alignment horizontal="right" vertical="top" wrapText="1"/>
    </xf>
    <xf numFmtId="0" fontId="12" fillId="6" borderId="11" xfId="1" applyFont="1" applyFill="1" applyBorder="1" applyAlignment="1">
      <alignment horizontal="center" vertical="center"/>
    </xf>
    <xf numFmtId="0" fontId="11" fillId="6" borderId="20" xfId="0" quotePrefix="1" applyFont="1" applyFill="1" applyBorder="1" applyAlignment="1">
      <alignment horizontal="right" vertical="center"/>
    </xf>
    <xf numFmtId="49" fontId="9" fillId="5" borderId="7" xfId="0" quotePrefix="1" applyNumberFormat="1" applyFont="1" applyFill="1" applyBorder="1" applyAlignment="1">
      <alignment horizontal="center" vertical="center" wrapText="1" readingOrder="2"/>
    </xf>
    <xf numFmtId="49" fontId="10" fillId="5" borderId="8" xfId="3" applyNumberFormat="1" applyFont="1" applyFill="1" applyBorder="1" applyAlignment="1">
      <alignment horizontal="right" vertical="center" wrapText="1" readingOrder="2"/>
    </xf>
    <xf numFmtId="0" fontId="11" fillId="5" borderId="8" xfId="0" applyFont="1" applyFill="1" applyBorder="1" applyAlignment="1">
      <alignment horizontal="center" vertical="center"/>
    </xf>
    <xf numFmtId="49" fontId="9" fillId="6" borderId="23" xfId="0" quotePrefix="1" applyNumberFormat="1" applyFont="1" applyFill="1" applyBorder="1" applyAlignment="1">
      <alignment horizontal="center" vertical="center" wrapText="1" readingOrder="2"/>
    </xf>
    <xf numFmtId="0" fontId="12" fillId="6" borderId="24" xfId="0" applyFont="1" applyFill="1" applyBorder="1" applyAlignment="1">
      <alignment horizontal="right" vertical="top" wrapText="1"/>
    </xf>
    <xf numFmtId="1" fontId="11" fillId="6" borderId="24" xfId="0" applyNumberFormat="1" applyFont="1" applyFill="1" applyBorder="1" applyAlignment="1">
      <alignment horizontal="center" vertical="center"/>
    </xf>
    <xf numFmtId="0" fontId="12" fillId="0" borderId="24" xfId="0" applyFont="1" applyBorder="1" applyAlignment="1">
      <alignment horizontal="right" vertical="top" wrapText="1"/>
    </xf>
    <xf numFmtId="49" fontId="9" fillId="6" borderId="7" xfId="0" quotePrefix="1" applyNumberFormat="1" applyFont="1" applyFill="1" applyBorder="1" applyAlignment="1">
      <alignment horizontal="center" vertical="center" wrapText="1" readingOrder="2"/>
    </xf>
    <xf numFmtId="49" fontId="11" fillId="6" borderId="8" xfId="3" applyNumberFormat="1" applyFont="1" applyFill="1" applyBorder="1" applyAlignment="1">
      <alignment horizontal="right" vertical="top" wrapText="1" readingOrder="2"/>
    </xf>
    <xf numFmtId="0" fontId="11" fillId="6" borderId="8" xfId="0" applyFont="1" applyFill="1" applyBorder="1" applyAlignment="1">
      <alignment horizontal="center" vertical="center"/>
    </xf>
    <xf numFmtId="0" fontId="10" fillId="5" borderId="2" xfId="3" quotePrefix="1" applyFont="1" applyFill="1" applyBorder="1" applyAlignment="1">
      <alignment horizontal="right" vertical="center" wrapText="1" readingOrder="2"/>
    </xf>
    <xf numFmtId="0" fontId="11" fillId="5" borderId="8" xfId="0" applyFont="1" applyFill="1" applyBorder="1" applyAlignment="1">
      <alignment horizontal="center" vertical="center" wrapText="1"/>
    </xf>
    <xf numFmtId="0" fontId="11" fillId="6" borderId="30" xfId="0" applyFont="1" applyFill="1" applyBorder="1" applyAlignment="1">
      <alignment horizontal="right" vertical="top" wrapText="1" readingOrder="2"/>
    </xf>
    <xf numFmtId="0" fontId="11" fillId="6" borderId="24" xfId="0" applyFont="1" applyFill="1" applyBorder="1" applyAlignment="1">
      <alignment horizontal="center" vertical="center" wrapText="1"/>
    </xf>
    <xf numFmtId="49" fontId="9" fillId="6" borderId="10" xfId="0" quotePrefix="1" applyNumberFormat="1" applyFont="1" applyFill="1" applyBorder="1" applyAlignment="1">
      <alignment horizontal="center" vertical="center" wrapText="1" readingOrder="2"/>
    </xf>
    <xf numFmtId="0" fontId="12" fillId="6" borderId="27" xfId="1" quotePrefix="1" applyFont="1" applyFill="1" applyBorder="1" applyAlignment="1">
      <alignment horizontal="right" vertical="center" wrapText="1"/>
    </xf>
    <xf numFmtId="0" fontId="10" fillId="5" borderId="2" xfId="3" applyFont="1" applyFill="1" applyBorder="1" applyAlignment="1">
      <alignment horizontal="right" vertical="center" wrapText="1" readingOrder="2"/>
    </xf>
    <xf numFmtId="49" fontId="9" fillId="7" borderId="7" xfId="0" quotePrefix="1" applyNumberFormat="1" applyFont="1" applyFill="1" applyBorder="1" applyAlignment="1">
      <alignment horizontal="center" vertical="center" wrapText="1" readingOrder="2"/>
    </xf>
    <xf numFmtId="0" fontId="10" fillId="7" borderId="2" xfId="3" applyFont="1" applyFill="1" applyBorder="1" applyAlignment="1">
      <alignment horizontal="right" vertical="center" wrapText="1" readingOrder="2"/>
    </xf>
    <xf numFmtId="0" fontId="11" fillId="7" borderId="8" xfId="0" applyFont="1" applyFill="1" applyBorder="1" applyAlignment="1">
      <alignment horizontal="center" vertical="center"/>
    </xf>
    <xf numFmtId="0" fontId="13" fillId="6" borderId="16" xfId="1" quotePrefix="1" applyFont="1" applyFill="1" applyBorder="1" applyAlignment="1">
      <alignment horizontal="center" vertical="center"/>
    </xf>
    <xf numFmtId="1" fontId="11" fillId="6" borderId="17" xfId="0" applyNumberFormat="1" applyFont="1" applyFill="1" applyBorder="1" applyAlignment="1">
      <alignment horizontal="center" vertical="center"/>
    </xf>
    <xf numFmtId="1" fontId="11" fillId="6" borderId="33" xfId="0" applyNumberFormat="1" applyFont="1" applyFill="1" applyBorder="1" applyAlignment="1">
      <alignment horizontal="center" vertical="center"/>
    </xf>
    <xf numFmtId="49" fontId="9" fillId="5" borderId="36" xfId="0" quotePrefix="1" applyNumberFormat="1" applyFont="1" applyFill="1" applyBorder="1" applyAlignment="1">
      <alignment horizontal="center" vertical="center" wrapText="1" readingOrder="2"/>
    </xf>
    <xf numFmtId="2" fontId="13" fillId="8" borderId="10" xfId="1" quotePrefix="1" applyNumberFormat="1" applyFont="1" applyFill="1" applyBorder="1" applyAlignment="1">
      <alignment horizontal="center" vertical="center"/>
    </xf>
    <xf numFmtId="0" fontId="11" fillId="8" borderId="20" xfId="0" quotePrefix="1" applyFont="1" applyFill="1" applyBorder="1" applyAlignment="1">
      <alignment horizontal="right" vertical="center"/>
    </xf>
    <xf numFmtId="0" fontId="12" fillId="8" borderId="11" xfId="1" applyFont="1" applyFill="1" applyBorder="1" applyAlignment="1">
      <alignment horizontal="center" vertical="center"/>
    </xf>
    <xf numFmtId="0" fontId="11" fillId="8" borderId="27" xfId="0" quotePrefix="1" applyFont="1" applyFill="1" applyBorder="1" applyAlignment="1">
      <alignment horizontal="right" vertical="center"/>
    </xf>
    <xf numFmtId="0" fontId="11" fillId="8" borderId="27" xfId="0" quotePrefix="1" applyFont="1" applyFill="1" applyBorder="1" applyAlignment="1">
      <alignment horizontal="right" vertical="center" wrapText="1"/>
    </xf>
    <xf numFmtId="0" fontId="13" fillId="8" borderId="10" xfId="1" quotePrefix="1" applyFont="1" applyFill="1" applyBorder="1" applyAlignment="1">
      <alignment horizontal="center" vertical="center"/>
    </xf>
    <xf numFmtId="49" fontId="11" fillId="8" borderId="8" xfId="3" applyNumberFormat="1" applyFont="1" applyFill="1" applyBorder="1" applyAlignment="1">
      <alignment horizontal="right" vertical="top" wrapText="1" readingOrder="2"/>
    </xf>
    <xf numFmtId="1" fontId="11" fillId="8" borderId="33" xfId="0" applyNumberFormat="1" applyFont="1" applyFill="1" applyBorder="1" applyAlignment="1">
      <alignment horizontal="center" vertical="center"/>
    </xf>
    <xf numFmtId="49" fontId="9" fillId="8" borderId="10" xfId="0" quotePrefix="1" applyNumberFormat="1" applyFont="1" applyFill="1" applyBorder="1" applyAlignment="1">
      <alignment horizontal="center" vertical="center" wrapText="1" readingOrder="2"/>
    </xf>
    <xf numFmtId="0" fontId="11" fillId="6" borderId="0" xfId="0" applyFont="1" applyFill="1" applyAlignment="1">
      <alignment horizontal="right" vertical="top" wrapText="1" readingOrder="2"/>
    </xf>
    <xf numFmtId="0" fontId="11" fillId="9" borderId="20" xfId="0" quotePrefix="1" applyFont="1" applyFill="1" applyBorder="1" applyAlignment="1">
      <alignment horizontal="right" vertical="center"/>
    </xf>
    <xf numFmtId="49" fontId="9" fillId="9" borderId="10" xfId="0" quotePrefix="1" applyNumberFormat="1" applyFont="1" applyFill="1" applyBorder="1" applyAlignment="1">
      <alignment horizontal="center" vertical="center" wrapText="1" readingOrder="2"/>
    </xf>
    <xf numFmtId="0" fontId="12" fillId="9" borderId="0" xfId="1" quotePrefix="1" applyFont="1" applyFill="1" applyBorder="1" applyAlignment="1">
      <alignment horizontal="right" vertical="center" wrapText="1"/>
    </xf>
    <xf numFmtId="0" fontId="12" fillId="9" borderId="17" xfId="1" applyFont="1" applyFill="1" applyBorder="1" applyAlignment="1">
      <alignment horizontal="center" vertical="center"/>
    </xf>
    <xf numFmtId="0" fontId="11" fillId="9" borderId="27" xfId="0" quotePrefix="1" applyFont="1" applyFill="1" applyBorder="1" applyAlignment="1">
      <alignment horizontal="right" vertical="center"/>
    </xf>
    <xf numFmtId="0" fontId="12" fillId="9" borderId="11" xfId="1" applyFont="1" applyFill="1" applyBorder="1" applyAlignment="1">
      <alignment horizontal="center" vertical="center"/>
    </xf>
    <xf numFmtId="0" fontId="13" fillId="9" borderId="10" xfId="1" quotePrefix="1" applyFont="1" applyFill="1" applyBorder="1" applyAlignment="1">
      <alignment horizontal="center" vertical="center"/>
    </xf>
    <xf numFmtId="0" fontId="11" fillId="9" borderId="20" xfId="0" quotePrefix="1" applyFont="1" applyFill="1" applyBorder="1" applyAlignment="1">
      <alignment horizontal="right" vertical="center" wrapText="1"/>
    </xf>
    <xf numFmtId="0" fontId="13" fillId="9" borderId="31" xfId="1" quotePrefix="1" applyFont="1" applyFill="1" applyBorder="1" applyAlignment="1">
      <alignment horizontal="center" vertical="center"/>
    </xf>
    <xf numFmtId="0" fontId="11" fillId="9" borderId="32" xfId="0" applyFont="1" applyFill="1" applyBorder="1" applyAlignment="1">
      <alignment horizontal="right" vertical="top" wrapText="1" readingOrder="2"/>
    </xf>
    <xf numFmtId="1" fontId="11" fillId="9" borderId="33" xfId="0" applyNumberFormat="1" applyFont="1" applyFill="1" applyBorder="1" applyAlignment="1">
      <alignment horizontal="center" vertical="center"/>
    </xf>
    <xf numFmtId="49" fontId="11" fillId="9" borderId="8" xfId="3" applyNumberFormat="1" applyFont="1" applyFill="1" applyBorder="1" applyAlignment="1">
      <alignment horizontal="right" vertical="center" wrapText="1" readingOrder="2"/>
    </xf>
    <xf numFmtId="0" fontId="13" fillId="6" borderId="40" xfId="1" quotePrefix="1" applyFont="1" applyFill="1" applyBorder="1" applyAlignment="1">
      <alignment horizontal="center" vertical="center"/>
    </xf>
    <xf numFmtId="1" fontId="11" fillId="6" borderId="41" xfId="0" applyNumberFormat="1" applyFont="1" applyFill="1" applyBorder="1" applyAlignment="1">
      <alignment horizontal="center" vertical="center"/>
    </xf>
    <xf numFmtId="37" fontId="15" fillId="10" borderId="11" xfId="0" applyNumberFormat="1" applyFont="1" applyFill="1" applyBorder="1" applyAlignment="1">
      <alignment horizontal="center" vertical="center"/>
    </xf>
    <xf numFmtId="37" fontId="15" fillId="11" borderId="11" xfId="0" applyNumberFormat="1" applyFont="1" applyFill="1" applyBorder="1" applyAlignment="1">
      <alignment horizontal="center" vertical="center"/>
    </xf>
    <xf numFmtId="37" fontId="16" fillId="10" borderId="11" xfId="0" applyNumberFormat="1" applyFont="1" applyFill="1" applyBorder="1" applyAlignment="1">
      <alignment horizontal="center" vertical="center"/>
    </xf>
    <xf numFmtId="37" fontId="16" fillId="11" borderId="11" xfId="0" applyNumberFormat="1" applyFont="1" applyFill="1" applyBorder="1" applyAlignment="1">
      <alignment horizontal="center" vertical="center"/>
    </xf>
    <xf numFmtId="0" fontId="17" fillId="10" borderId="11" xfId="0" applyFont="1" applyFill="1" applyBorder="1" applyAlignment="1">
      <alignment horizontal="center" vertical="center"/>
    </xf>
    <xf numFmtId="0" fontId="17" fillId="11" borderId="11" xfId="0" applyFont="1" applyFill="1" applyBorder="1" applyAlignment="1">
      <alignment horizontal="center" vertical="center"/>
    </xf>
    <xf numFmtId="0" fontId="12" fillId="0" borderId="11" xfId="1" applyFont="1" applyFill="1" applyBorder="1" applyAlignment="1">
      <alignment horizontal="center" vertical="center"/>
    </xf>
    <xf numFmtId="37" fontId="15" fillId="0" borderId="24" xfId="0" applyNumberFormat="1" applyFont="1" applyBorder="1" applyAlignment="1">
      <alignment horizontal="center" vertical="center"/>
    </xf>
    <xf numFmtId="37" fontId="15" fillId="0" borderId="38" xfId="0" applyNumberFormat="1" applyFont="1" applyBorder="1" applyAlignment="1">
      <alignment horizontal="center" vertical="center"/>
    </xf>
    <xf numFmtId="37" fontId="15" fillId="10" borderId="12" xfId="0" applyNumberFormat="1" applyFont="1" applyFill="1" applyBorder="1" applyAlignment="1">
      <alignment horizontal="center" vertical="center"/>
    </xf>
    <xf numFmtId="37" fontId="16" fillId="10" borderId="12" xfId="0" applyNumberFormat="1" applyFont="1" applyFill="1" applyBorder="1" applyAlignment="1">
      <alignment horizontal="center" vertical="center"/>
    </xf>
    <xf numFmtId="0" fontId="17" fillId="10" borderId="12" xfId="0" applyFont="1" applyFill="1" applyBorder="1" applyAlignment="1">
      <alignment horizontal="center" vertical="center"/>
    </xf>
    <xf numFmtId="0" fontId="12" fillId="0" borderId="41" xfId="1" applyFont="1" applyFill="1" applyBorder="1" applyAlignment="1">
      <alignment horizontal="center" vertical="center"/>
    </xf>
    <xf numFmtId="0" fontId="9" fillId="0" borderId="24" xfId="0" applyFont="1" applyBorder="1" applyAlignment="1">
      <alignment horizontal="center" vertical="center"/>
    </xf>
    <xf numFmtId="0" fontId="9" fillId="0" borderId="11" xfId="0" applyFont="1" applyBorder="1" applyAlignment="1">
      <alignment horizontal="center" vertical="center" wrapText="1"/>
    </xf>
    <xf numFmtId="37" fontId="9" fillId="0" borderId="11" xfId="0" applyNumberFormat="1" applyFont="1" applyBorder="1" applyAlignment="1">
      <alignment horizontal="center" vertical="center"/>
    </xf>
    <xf numFmtId="0" fontId="11" fillId="0" borderId="11" xfId="0" applyFont="1" applyBorder="1" applyAlignment="1">
      <alignment horizontal="center" vertical="center"/>
    </xf>
    <xf numFmtId="0" fontId="11" fillId="0" borderId="11" xfId="0" applyFont="1" applyBorder="1" applyAlignment="1">
      <alignment horizontal="center" vertical="center" wrapText="1" readingOrder="2"/>
    </xf>
    <xf numFmtId="0" fontId="11" fillId="0" borderId="11" xfId="0" applyFont="1" applyBorder="1" applyAlignment="1">
      <alignment horizontal="center" vertical="center" wrapText="1"/>
    </xf>
    <xf numFmtId="0" fontId="9" fillId="3" borderId="0" xfId="0" applyFont="1" applyFill="1" applyAlignment="1">
      <alignment horizontal="center" vertical="center"/>
    </xf>
    <xf numFmtId="0" fontId="9" fillId="12" borderId="44" xfId="0" applyFont="1" applyFill="1" applyBorder="1" applyAlignment="1">
      <alignment horizontal="center" vertical="center"/>
    </xf>
    <xf numFmtId="37" fontId="15" fillId="0" borderId="11" xfId="0" applyNumberFormat="1" applyFont="1" applyBorder="1" applyAlignment="1">
      <alignment horizontal="center" vertical="center"/>
    </xf>
    <xf numFmtId="0" fontId="9" fillId="3" borderId="0" xfId="0" applyFont="1" applyFill="1" applyAlignment="1">
      <alignment horizontal="center" vertical="center" wrapText="1"/>
    </xf>
    <xf numFmtId="0" fontId="9" fillId="15" borderId="11" xfId="0" applyFont="1" applyFill="1" applyBorder="1" applyAlignment="1">
      <alignment horizontal="center" vertical="center" wrapText="1"/>
    </xf>
    <xf numFmtId="0" fontId="9" fillId="12" borderId="11" xfId="0" applyFont="1" applyFill="1" applyBorder="1" applyAlignment="1">
      <alignment horizontal="center" vertical="center" wrapText="1"/>
    </xf>
    <xf numFmtId="37" fontId="9" fillId="4" borderId="11" xfId="0" applyNumberFormat="1" applyFont="1" applyFill="1" applyBorder="1" applyAlignment="1">
      <alignment horizontal="center" vertical="center"/>
    </xf>
    <xf numFmtId="37" fontId="9" fillId="13" borderId="11" xfId="0" applyNumberFormat="1" applyFont="1" applyFill="1" applyBorder="1" applyAlignment="1">
      <alignment horizontal="center" vertical="center"/>
    </xf>
    <xf numFmtId="37" fontId="9" fillId="14" borderId="11" xfId="0" applyNumberFormat="1" applyFont="1" applyFill="1" applyBorder="1" applyAlignment="1">
      <alignment horizontal="center" vertical="center"/>
    </xf>
    <xf numFmtId="37" fontId="9" fillId="11" borderId="11" xfId="0" applyNumberFormat="1" applyFont="1" applyFill="1" applyBorder="1" applyAlignment="1">
      <alignment horizontal="center" vertical="center"/>
    </xf>
    <xf numFmtId="37" fontId="9" fillId="15" borderId="11" xfId="0" applyNumberFormat="1" applyFont="1" applyFill="1" applyBorder="1" applyAlignment="1">
      <alignment horizontal="center" vertical="center"/>
    </xf>
    <xf numFmtId="37" fontId="9" fillId="12" borderId="11" xfId="0" applyNumberFormat="1" applyFont="1" applyFill="1" applyBorder="1" applyAlignment="1">
      <alignment horizontal="center" vertical="center"/>
    </xf>
    <xf numFmtId="0" fontId="11" fillId="5" borderId="11" xfId="0" applyFont="1" applyFill="1" applyBorder="1" applyAlignment="1">
      <alignment horizontal="center" vertical="center"/>
    </xf>
    <xf numFmtId="0" fontId="11" fillId="13" borderId="11" xfId="0" applyFont="1" applyFill="1" applyBorder="1" applyAlignment="1">
      <alignment horizontal="center" vertical="center"/>
    </xf>
    <xf numFmtId="0" fontId="11" fillId="14" borderId="11" xfId="0" applyFont="1" applyFill="1" applyBorder="1" applyAlignment="1">
      <alignment horizontal="center" vertical="center"/>
    </xf>
    <xf numFmtId="0" fontId="11" fillId="11" borderId="11" xfId="0" applyFont="1" applyFill="1" applyBorder="1" applyAlignment="1">
      <alignment horizontal="center" vertical="center"/>
    </xf>
    <xf numFmtId="0" fontId="11" fillId="15" borderId="11" xfId="0" applyFont="1" applyFill="1" applyBorder="1" applyAlignment="1">
      <alignment horizontal="center" vertical="center"/>
    </xf>
    <xf numFmtId="0" fontId="11" fillId="12" borderId="11" xfId="0" applyFont="1" applyFill="1" applyBorder="1" applyAlignment="1">
      <alignment horizontal="center" vertical="center"/>
    </xf>
    <xf numFmtId="0" fontId="11" fillId="6" borderId="11" xfId="0" applyFont="1" applyFill="1" applyBorder="1" applyAlignment="1">
      <alignment horizontal="center" vertical="center" wrapText="1"/>
    </xf>
    <xf numFmtId="0" fontId="9" fillId="0" borderId="11" xfId="0" applyFont="1" applyBorder="1" applyAlignment="1">
      <alignment horizontal="center" vertical="center"/>
    </xf>
    <xf numFmtId="37" fontId="9" fillId="13" borderId="44" xfId="0" applyNumberFormat="1" applyFont="1" applyFill="1" applyBorder="1" applyAlignment="1">
      <alignment horizontal="center" vertical="center"/>
    </xf>
    <xf numFmtId="0" fontId="11" fillId="13" borderId="44" xfId="0" applyFont="1" applyFill="1" applyBorder="1" applyAlignment="1">
      <alignment horizontal="center" vertical="center"/>
    </xf>
    <xf numFmtId="0" fontId="0" fillId="0" borderId="11" xfId="0" applyBorder="1"/>
    <xf numFmtId="0" fontId="19" fillId="0" borderId="11" xfId="0" applyFont="1" applyBorder="1" applyAlignment="1">
      <alignment horizontal="center" vertical="center"/>
    </xf>
    <xf numFmtId="37" fontId="2" fillId="4" borderId="8" xfId="0" applyNumberFormat="1" applyFont="1" applyFill="1" applyBorder="1" applyAlignment="1">
      <alignment horizontal="center" vertical="center" wrapText="1"/>
    </xf>
    <xf numFmtId="1" fontId="2" fillId="4" borderId="8" xfId="2" applyNumberFormat="1" applyFont="1" applyFill="1" applyBorder="1" applyAlignment="1">
      <alignment horizontal="center" vertical="center" wrapText="1"/>
    </xf>
    <xf numFmtId="49" fontId="2" fillId="5" borderId="14" xfId="0" quotePrefix="1" applyNumberFormat="1" applyFont="1" applyFill="1" applyBorder="1" applyAlignment="1">
      <alignment horizontal="center" vertical="center" wrapText="1" readingOrder="2"/>
    </xf>
    <xf numFmtId="3" fontId="6" fillId="5" borderId="14" xfId="1" applyNumberFormat="1" applyFont="1" applyFill="1" applyBorder="1" applyAlignment="1">
      <alignment horizontal="center" vertical="center" wrapText="1"/>
    </xf>
    <xf numFmtId="49" fontId="2" fillId="6" borderId="17" xfId="0" quotePrefix="1" applyNumberFormat="1" applyFont="1" applyFill="1" applyBorder="1" applyAlignment="1">
      <alignment horizontal="center" vertical="center" wrapText="1" readingOrder="2"/>
    </xf>
    <xf numFmtId="2" fontId="7" fillId="6" borderId="11" xfId="1" quotePrefix="1" applyNumberFormat="1" applyFont="1" applyFill="1" applyBorder="1" applyAlignment="1">
      <alignment horizontal="center" vertical="center"/>
    </xf>
    <xf numFmtId="49" fontId="2" fillId="5" borderId="8" xfId="0" quotePrefix="1" applyNumberFormat="1" applyFont="1" applyFill="1" applyBorder="1" applyAlignment="1">
      <alignment horizontal="center" vertical="center" wrapText="1" readingOrder="2"/>
    </xf>
    <xf numFmtId="49" fontId="2" fillId="6" borderId="24" xfId="0" quotePrefix="1" applyNumberFormat="1" applyFont="1" applyFill="1" applyBorder="1" applyAlignment="1">
      <alignment horizontal="center" vertical="center" wrapText="1" readingOrder="2"/>
    </xf>
    <xf numFmtId="49" fontId="2" fillId="6" borderId="8" xfId="0" quotePrefix="1" applyNumberFormat="1" applyFont="1" applyFill="1" applyBorder="1" applyAlignment="1">
      <alignment horizontal="center" vertical="center" wrapText="1" readingOrder="2"/>
    </xf>
    <xf numFmtId="49" fontId="2" fillId="7" borderId="8" xfId="0" quotePrefix="1" applyNumberFormat="1" applyFont="1" applyFill="1" applyBorder="1" applyAlignment="1">
      <alignment horizontal="center" vertical="center" wrapText="1" readingOrder="2"/>
    </xf>
    <xf numFmtId="0" fontId="7" fillId="6" borderId="17" xfId="1" quotePrefix="1" applyFont="1" applyFill="1" applyBorder="1" applyAlignment="1">
      <alignment horizontal="center" vertical="center"/>
    </xf>
    <xf numFmtId="0" fontId="5" fillId="6" borderId="0" xfId="0" applyFont="1" applyFill="1" applyAlignment="1">
      <alignment horizontal="right" vertical="top" wrapText="1" readingOrder="2"/>
    </xf>
    <xf numFmtId="0" fontId="7" fillId="6" borderId="33" xfId="1" quotePrefix="1" applyFont="1" applyFill="1" applyBorder="1" applyAlignment="1">
      <alignment horizontal="center" vertical="center"/>
    </xf>
    <xf numFmtId="49" fontId="2" fillId="5" borderId="56" xfId="0" quotePrefix="1" applyNumberFormat="1" applyFont="1" applyFill="1" applyBorder="1" applyAlignment="1">
      <alignment horizontal="center" vertical="center" wrapText="1" readingOrder="2"/>
    </xf>
    <xf numFmtId="0" fontId="0" fillId="0" borderId="0" xfId="0" applyAlignment="1">
      <alignment vertical="center"/>
    </xf>
    <xf numFmtId="49" fontId="5" fillId="6" borderId="56" xfId="3" applyNumberFormat="1" applyFont="1" applyFill="1" applyBorder="1" applyAlignment="1">
      <alignment horizontal="right" vertical="top" wrapText="1" readingOrder="2"/>
    </xf>
    <xf numFmtId="3" fontId="5" fillId="6" borderId="55" xfId="0" applyNumberFormat="1" applyFont="1" applyFill="1" applyBorder="1" applyAlignment="1">
      <alignment horizontal="center" vertical="center"/>
    </xf>
    <xf numFmtId="3" fontId="6" fillId="6" borderId="44" xfId="1" applyNumberFormat="1" applyFont="1" applyFill="1" applyBorder="1" applyAlignment="1">
      <alignment horizontal="center" vertical="center"/>
    </xf>
    <xf numFmtId="3" fontId="6" fillId="6" borderId="57" xfId="1" applyNumberFormat="1" applyFont="1" applyFill="1" applyBorder="1" applyAlignment="1">
      <alignment horizontal="center" vertical="center"/>
    </xf>
    <xf numFmtId="3" fontId="5" fillId="6" borderId="19" xfId="0" applyNumberFormat="1" applyFont="1" applyFill="1" applyBorder="1" applyAlignment="1">
      <alignment horizontal="center" vertical="center"/>
    </xf>
    <xf numFmtId="3" fontId="6" fillId="6" borderId="22" xfId="1" applyNumberFormat="1" applyFont="1" applyFill="1" applyBorder="1" applyAlignment="1">
      <alignment horizontal="center" vertical="center"/>
    </xf>
    <xf numFmtId="3" fontId="5" fillId="5" borderId="8" xfId="0" applyNumberFormat="1" applyFont="1" applyFill="1" applyBorder="1" applyAlignment="1">
      <alignment horizontal="center" vertical="center"/>
    </xf>
    <xf numFmtId="3" fontId="5" fillId="6" borderId="26" xfId="0" applyNumberFormat="1" applyFont="1" applyFill="1" applyBorder="1" applyAlignment="1">
      <alignment horizontal="center" vertical="center"/>
    </xf>
    <xf numFmtId="3" fontId="5" fillId="6" borderId="8" xfId="0" applyNumberFormat="1" applyFont="1" applyFill="1" applyBorder="1" applyAlignment="1">
      <alignment horizontal="center" vertical="center"/>
    </xf>
    <xf numFmtId="3" fontId="5" fillId="5" borderId="29" xfId="0" applyNumberFormat="1" applyFont="1" applyFill="1" applyBorder="1" applyAlignment="1">
      <alignment horizontal="center" vertical="center"/>
    </xf>
    <xf numFmtId="3" fontId="5" fillId="7" borderId="29" xfId="0" applyNumberFormat="1" applyFont="1" applyFill="1" applyBorder="1" applyAlignment="1">
      <alignment horizontal="center" vertical="center"/>
    </xf>
    <xf numFmtId="3" fontId="6" fillId="6" borderId="19" xfId="1" applyNumberFormat="1" applyFont="1" applyFill="1" applyBorder="1" applyAlignment="1">
      <alignment horizontal="center" vertical="center"/>
    </xf>
    <xf numFmtId="3" fontId="6" fillId="6" borderId="35" xfId="1" applyNumberFormat="1" applyFont="1" applyFill="1" applyBorder="1" applyAlignment="1">
      <alignment horizontal="center" vertical="center"/>
    </xf>
    <xf numFmtId="3" fontId="6" fillId="5" borderId="14" xfId="1" applyNumberFormat="1" applyFont="1" applyFill="1" applyBorder="1" applyAlignment="1">
      <alignment horizontal="center" vertical="center"/>
    </xf>
    <xf numFmtId="0" fontId="5" fillId="6" borderId="45" xfId="0" applyFont="1" applyFill="1" applyBorder="1" applyAlignment="1">
      <alignment horizontal="center" vertical="center" wrapText="1" readingOrder="2"/>
    </xf>
    <xf numFmtId="0" fontId="6" fillId="6" borderId="43" xfId="1" applyFont="1" applyFill="1" applyBorder="1" applyAlignment="1">
      <alignment horizontal="center" vertical="center"/>
    </xf>
    <xf numFmtId="3" fontId="6" fillId="6" borderId="11" xfId="1" applyNumberFormat="1" applyFont="1" applyFill="1" applyBorder="1" applyAlignment="1">
      <alignment horizontal="center" vertical="center"/>
    </xf>
    <xf numFmtId="0" fontId="11" fillId="16" borderId="11" xfId="0" applyFont="1" applyFill="1" applyBorder="1" applyAlignment="1">
      <alignment horizontal="center" vertical="center"/>
    </xf>
    <xf numFmtId="0" fontId="21" fillId="17" borderId="11" xfId="0" applyFont="1" applyFill="1" applyBorder="1" applyAlignment="1">
      <alignment vertical="center"/>
    </xf>
    <xf numFmtId="0" fontId="0" fillId="0" borderId="44" xfId="0" applyBorder="1"/>
    <xf numFmtId="0" fontId="21" fillId="18" borderId="11" xfId="0" applyFont="1" applyFill="1" applyBorder="1" applyAlignment="1">
      <alignment horizontal="center" vertical="center"/>
    </xf>
    <xf numFmtId="0" fontId="21" fillId="19" borderId="33" xfId="0" applyFont="1" applyFill="1" applyBorder="1" applyAlignment="1">
      <alignment horizontal="center" vertical="center"/>
    </xf>
    <xf numFmtId="0" fontId="21" fillId="20" borderId="11" xfId="0" applyFont="1" applyFill="1" applyBorder="1" applyAlignment="1">
      <alignment horizontal="center" vertical="center"/>
    </xf>
    <xf numFmtId="0" fontId="0" fillId="0" borderId="11" xfId="0" applyBorder="1" applyAlignment="1">
      <alignment horizontal="center" vertical="center"/>
    </xf>
    <xf numFmtId="0" fontId="21" fillId="0" borderId="11" xfId="0" applyFont="1" applyBorder="1" applyAlignment="1">
      <alignment horizontal="center" vertical="center"/>
    </xf>
    <xf numFmtId="0" fontId="0" fillId="8" borderId="11" xfId="0" applyFill="1" applyBorder="1" applyAlignment="1">
      <alignment horizontal="center" vertical="center"/>
    </xf>
    <xf numFmtId="0" fontId="0" fillId="10" borderId="11" xfId="0" applyFill="1" applyBorder="1" applyAlignment="1">
      <alignment horizontal="center" vertical="center"/>
    </xf>
    <xf numFmtId="0" fontId="0" fillId="19" borderId="11" xfId="0" applyFill="1" applyBorder="1" applyAlignment="1">
      <alignment horizontal="center" vertical="center"/>
    </xf>
    <xf numFmtId="0" fontId="21" fillId="8" borderId="11" xfId="0" applyFont="1" applyFill="1" applyBorder="1" applyAlignment="1">
      <alignment horizontal="center" vertical="center"/>
    </xf>
    <xf numFmtId="0" fontId="21" fillId="23" borderId="11" xfId="0" applyFont="1" applyFill="1" applyBorder="1" applyAlignment="1">
      <alignment horizontal="center" vertical="center"/>
    </xf>
    <xf numFmtId="0" fontId="0" fillId="0" borderId="0" xfId="0" applyAlignment="1">
      <alignment horizontal="center" vertical="center"/>
    </xf>
    <xf numFmtId="0" fontId="19" fillId="10" borderId="11" xfId="0" applyFont="1" applyFill="1" applyBorder="1" applyAlignment="1">
      <alignment horizontal="center" vertical="center"/>
    </xf>
    <xf numFmtId="0" fontId="0" fillId="10" borderId="11" xfId="0" applyFill="1" applyBorder="1" applyAlignment="1">
      <alignment horizontal="center" vertical="center" wrapText="1"/>
    </xf>
    <xf numFmtId="0" fontId="0" fillId="19" borderId="11" xfId="0" applyFill="1" applyBorder="1" applyAlignment="1">
      <alignment horizontal="center" vertical="center" wrapText="1"/>
    </xf>
    <xf numFmtId="0" fontId="0" fillId="0" borderId="33" xfId="0" applyBorder="1"/>
    <xf numFmtId="0" fontId="0" fillId="0" borderId="61" xfId="0" applyBorder="1"/>
    <xf numFmtId="0" fontId="0" fillId="0" borderId="33" xfId="0" applyBorder="1" applyAlignment="1">
      <alignment horizontal="center" vertical="center"/>
    </xf>
    <xf numFmtId="0" fontId="0" fillId="23" borderId="0" xfId="0" applyFill="1"/>
    <xf numFmtId="37" fontId="9" fillId="23" borderId="47" xfId="0" applyNumberFormat="1" applyFont="1" applyFill="1" applyBorder="1" applyAlignment="1">
      <alignment horizontal="center" vertical="center"/>
    </xf>
    <xf numFmtId="0" fontId="11" fillId="23" borderId="46" xfId="0" applyFont="1" applyFill="1" applyBorder="1" applyAlignment="1">
      <alignment horizontal="center" vertical="center"/>
    </xf>
    <xf numFmtId="0" fontId="11" fillId="23" borderId="45" xfId="0" applyFont="1" applyFill="1" applyBorder="1" applyAlignment="1">
      <alignment horizontal="center" vertical="center" wrapText="1" readingOrder="2"/>
    </xf>
    <xf numFmtId="0" fontId="12" fillId="23" borderId="43" xfId="1" applyFont="1" applyFill="1" applyBorder="1" applyAlignment="1">
      <alignment horizontal="center" vertical="center"/>
    </xf>
    <xf numFmtId="0" fontId="11" fillId="23" borderId="47" xfId="0" applyFont="1" applyFill="1" applyBorder="1" applyAlignment="1">
      <alignment horizontal="center" vertical="center"/>
    </xf>
    <xf numFmtId="0" fontId="11" fillId="23" borderId="48" xfId="0" applyFont="1" applyFill="1" applyBorder="1" applyAlignment="1">
      <alignment horizontal="center" vertical="center"/>
    </xf>
    <xf numFmtId="0" fontId="11" fillId="23" borderId="47" xfId="0" applyFont="1" applyFill="1" applyBorder="1" applyAlignment="1">
      <alignment horizontal="center" vertical="center" wrapText="1" readingOrder="2"/>
    </xf>
    <xf numFmtId="0" fontId="11" fillId="23" borderId="48" xfId="0" applyFont="1" applyFill="1" applyBorder="1" applyAlignment="1">
      <alignment horizontal="center" vertical="center" wrapText="1" readingOrder="2"/>
    </xf>
    <xf numFmtId="0" fontId="11" fillId="23" borderId="43" xfId="0" applyFont="1" applyFill="1" applyBorder="1" applyAlignment="1">
      <alignment horizontal="center" vertical="center" wrapText="1" readingOrder="2"/>
    </xf>
    <xf numFmtId="0" fontId="12" fillId="23" borderId="49" xfId="1" applyFont="1" applyFill="1" applyBorder="1" applyAlignment="1">
      <alignment horizontal="center" vertical="center"/>
    </xf>
    <xf numFmtId="0" fontId="0" fillId="8" borderId="11" xfId="0" applyFill="1" applyBorder="1"/>
    <xf numFmtId="0" fontId="19" fillId="21" borderId="11" xfId="0" applyFont="1" applyFill="1" applyBorder="1"/>
    <xf numFmtId="0" fontId="19" fillId="21" borderId="23" xfId="0" applyFont="1" applyFill="1" applyBorder="1"/>
    <xf numFmtId="0" fontId="19" fillId="0" borderId="38" xfId="0" applyFont="1" applyBorder="1" applyAlignment="1">
      <alignment horizontal="center" vertical="center"/>
    </xf>
    <xf numFmtId="0" fontId="19" fillId="21" borderId="10" xfId="0" applyFont="1" applyFill="1" applyBorder="1"/>
    <xf numFmtId="0" fontId="19" fillId="0" borderId="12" xfId="0" applyFont="1" applyBorder="1" applyAlignment="1">
      <alignment horizontal="center" vertical="center"/>
    </xf>
    <xf numFmtId="0" fontId="19" fillId="21" borderId="40" xfId="0" applyFont="1" applyFill="1" applyBorder="1"/>
    <xf numFmtId="0" fontId="19" fillId="0" borderId="42" xfId="0" applyFont="1" applyBorder="1" applyAlignment="1">
      <alignment horizontal="center" vertical="center"/>
    </xf>
    <xf numFmtId="0" fontId="0" fillId="0" borderId="6" xfId="0" applyBorder="1"/>
    <xf numFmtId="0" fontId="0" fillId="0" borderId="63" xfId="0" applyBorder="1"/>
    <xf numFmtId="0" fontId="21" fillId="17" borderId="10" xfId="0" applyFont="1" applyFill="1" applyBorder="1" applyAlignment="1">
      <alignment horizontal="center" vertical="center"/>
    </xf>
    <xf numFmtId="0" fontId="21" fillId="17" borderId="31" xfId="0" applyFont="1" applyFill="1" applyBorder="1" applyAlignment="1">
      <alignment horizontal="center" vertical="center"/>
    </xf>
    <xf numFmtId="0" fontId="0" fillId="0" borderId="62" xfId="0" applyBorder="1"/>
    <xf numFmtId="0" fontId="0" fillId="0" borderId="64" xfId="0" applyBorder="1"/>
    <xf numFmtId="0" fontId="0" fillId="0" borderId="68" xfId="0" applyBorder="1"/>
    <xf numFmtId="0" fontId="0" fillId="0" borderId="65" xfId="0" applyBorder="1"/>
    <xf numFmtId="0" fontId="0" fillId="0" borderId="4" xfId="0" applyBorder="1"/>
    <xf numFmtId="0" fontId="0" fillId="0" borderId="5" xfId="0" applyBorder="1"/>
    <xf numFmtId="0" fontId="0" fillId="0" borderId="10" xfId="0" applyBorder="1"/>
    <xf numFmtId="0" fontId="19" fillId="21" borderId="0" xfId="0" applyFont="1" applyFill="1"/>
    <xf numFmtId="0" fontId="19" fillId="0" borderId="0" xfId="0" applyFont="1" applyAlignment="1">
      <alignment horizontal="center" vertical="center"/>
    </xf>
    <xf numFmtId="0" fontId="19" fillId="0" borderId="68" xfId="0" applyFont="1" applyBorder="1" applyAlignment="1">
      <alignment horizontal="center" vertical="center"/>
    </xf>
    <xf numFmtId="0" fontId="19" fillId="0" borderId="68" xfId="0" applyFont="1" applyBorder="1"/>
    <xf numFmtId="0" fontId="19" fillId="0" borderId="0" xfId="0" applyFont="1"/>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8" borderId="10" xfId="0" applyFill="1" applyBorder="1" applyAlignment="1">
      <alignment horizontal="center" vertical="center"/>
    </xf>
    <xf numFmtId="0" fontId="0" fillId="0" borderId="63" xfId="0" applyBorder="1" applyAlignment="1">
      <alignment horizontal="center" vertical="center"/>
    </xf>
    <xf numFmtId="0" fontId="0" fillId="0" borderId="31" xfId="0" applyBorder="1" applyAlignment="1">
      <alignment horizontal="center" vertical="center"/>
    </xf>
    <xf numFmtId="0" fontId="0" fillId="20" borderId="63" xfId="0" applyFill="1" applyBorder="1" applyAlignment="1">
      <alignment horizontal="center" vertical="center"/>
    </xf>
    <xf numFmtId="0" fontId="0" fillId="0" borderId="62" xfId="0" applyBorder="1" applyAlignment="1">
      <alignment horizontal="center" vertical="center"/>
    </xf>
    <xf numFmtId="0" fontId="0" fillId="6" borderId="0" xfId="0" applyFill="1" applyAlignment="1">
      <alignment horizontal="center" vertical="center"/>
    </xf>
    <xf numFmtId="0" fontId="0" fillId="0" borderId="64" xfId="0" applyBorder="1" applyAlignment="1">
      <alignment horizontal="center" vertical="center"/>
    </xf>
    <xf numFmtId="0" fontId="0" fillId="0" borderId="68" xfId="0" applyBorder="1" applyAlignment="1">
      <alignment horizontal="center" vertical="center"/>
    </xf>
    <xf numFmtId="0" fontId="0" fillId="0" borderId="65" xfId="0" applyBorder="1" applyAlignment="1">
      <alignment horizontal="center" vertical="center"/>
    </xf>
    <xf numFmtId="0" fontId="0" fillId="8" borderId="10" xfId="0" applyFill="1" applyBorder="1"/>
    <xf numFmtId="0" fontId="21" fillId="17" borderId="66" xfId="0" applyFont="1" applyFill="1" applyBorder="1" applyAlignment="1">
      <alignment vertical="center"/>
    </xf>
    <xf numFmtId="0" fontId="21" fillId="19" borderId="61" xfId="0" applyFont="1" applyFill="1" applyBorder="1" applyAlignment="1">
      <alignment vertical="center"/>
    </xf>
    <xf numFmtId="0" fontId="21" fillId="18" borderId="17" xfId="0" applyFont="1" applyFill="1" applyBorder="1" applyAlignment="1">
      <alignment horizontal="center" vertical="center"/>
    </xf>
    <xf numFmtId="0" fontId="2" fillId="3" borderId="50" xfId="0" applyFont="1" applyFill="1" applyBorder="1" applyAlignment="1">
      <alignment horizontal="center" vertical="center"/>
    </xf>
    <xf numFmtId="0" fontId="2" fillId="3" borderId="51" xfId="0" applyFont="1" applyFill="1" applyBorder="1" applyAlignment="1">
      <alignment horizontal="center" vertical="center"/>
    </xf>
    <xf numFmtId="0" fontId="2" fillId="3" borderId="52" xfId="0" applyFont="1" applyFill="1" applyBorder="1" applyAlignment="1">
      <alignment horizontal="center" vertical="center"/>
    </xf>
    <xf numFmtId="0" fontId="2" fillId="3" borderId="53"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54" xfId="0" applyFont="1" applyFill="1" applyBorder="1" applyAlignment="1">
      <alignment horizontal="center" vertical="center" wrapText="1"/>
    </xf>
    <xf numFmtId="0" fontId="20" fillId="8" borderId="49" xfId="0" applyFont="1" applyFill="1" applyBorder="1" applyAlignment="1">
      <alignment horizontal="center" vertical="center"/>
    </xf>
    <xf numFmtId="0" fontId="20" fillId="8" borderId="32" xfId="0" applyFont="1" applyFill="1" applyBorder="1" applyAlignment="1">
      <alignment horizontal="center" vertical="center"/>
    </xf>
    <xf numFmtId="0" fontId="20" fillId="8" borderId="45" xfId="0" applyFont="1" applyFill="1" applyBorder="1" applyAlignment="1">
      <alignment horizontal="center" vertical="center"/>
    </xf>
    <xf numFmtId="0" fontId="20" fillId="8" borderId="0" xfId="0" applyFont="1" applyFill="1" applyAlignment="1">
      <alignment horizontal="center" vertical="center"/>
    </xf>
    <xf numFmtId="0" fontId="20" fillId="8" borderId="58" xfId="0" applyFont="1" applyFill="1" applyBorder="1" applyAlignment="1">
      <alignment horizontal="center" vertical="center"/>
    </xf>
    <xf numFmtId="0" fontId="20" fillId="8" borderId="60" xfId="0" applyFont="1" applyFill="1" applyBorder="1" applyAlignment="1">
      <alignment horizontal="center" vertical="center"/>
    </xf>
    <xf numFmtId="3" fontId="0" fillId="12" borderId="57" xfId="0" applyNumberFormat="1" applyFill="1" applyBorder="1" applyAlignment="1">
      <alignment horizontal="center" vertical="center"/>
    </xf>
    <xf numFmtId="0" fontId="0" fillId="12" borderId="55" xfId="0" applyFill="1" applyBorder="1" applyAlignment="1">
      <alignment horizontal="center" vertical="center"/>
    </xf>
    <xf numFmtId="0" fontId="0" fillId="12" borderId="59" xfId="0" applyFill="1" applyBorder="1" applyAlignment="1">
      <alignment horizontal="center" vertical="center"/>
    </xf>
    <xf numFmtId="0" fontId="9" fillId="3" borderId="1" xfId="0" applyFont="1" applyFill="1" applyBorder="1" applyAlignment="1">
      <alignment horizontal="center" vertical="center"/>
    </xf>
    <xf numFmtId="0" fontId="9" fillId="3" borderId="2" xfId="0" applyFont="1" applyFill="1" applyBorder="1" applyAlignment="1">
      <alignment horizontal="center" vertical="center"/>
    </xf>
    <xf numFmtId="0" fontId="9" fillId="3" borderId="3" xfId="0" applyFont="1" applyFill="1" applyBorder="1" applyAlignment="1">
      <alignment horizontal="center" vertical="center"/>
    </xf>
    <xf numFmtId="0" fontId="9" fillId="3" borderId="4"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2" fillId="6" borderId="33" xfId="1" applyFont="1" applyFill="1" applyBorder="1" applyAlignment="1">
      <alignment horizontal="center" vertical="center"/>
    </xf>
    <xf numFmtId="0" fontId="12" fillId="6" borderId="61" xfId="1" applyFont="1" applyFill="1" applyBorder="1" applyAlignment="1">
      <alignment horizontal="center" vertical="center"/>
    </xf>
    <xf numFmtId="0" fontId="9" fillId="8" borderId="43" xfId="0" applyFont="1" applyFill="1" applyBorder="1" applyAlignment="1">
      <alignment horizontal="center" vertical="center"/>
    </xf>
    <xf numFmtId="0" fontId="9" fillId="8" borderId="27" xfId="0" applyFont="1" applyFill="1" applyBorder="1" applyAlignment="1">
      <alignment horizontal="center" vertical="center"/>
    </xf>
    <xf numFmtId="0" fontId="9" fillId="8" borderId="44" xfId="0" applyFont="1" applyFill="1" applyBorder="1" applyAlignment="1">
      <alignment horizontal="center" vertical="center"/>
    </xf>
    <xf numFmtId="0" fontId="9" fillId="13" borderId="43" xfId="0" applyFont="1" applyFill="1" applyBorder="1" applyAlignment="1">
      <alignment horizontal="center" vertical="center" wrapText="1"/>
    </xf>
    <xf numFmtId="0" fontId="9" fillId="13" borderId="27" xfId="0" applyFont="1" applyFill="1" applyBorder="1" applyAlignment="1">
      <alignment horizontal="center" vertical="center" wrapText="1"/>
    </xf>
    <xf numFmtId="0" fontId="9" fillId="13" borderId="44" xfId="0" applyFont="1" applyFill="1" applyBorder="1" applyAlignment="1">
      <alignment horizontal="center" vertical="center" wrapText="1"/>
    </xf>
    <xf numFmtId="0" fontId="9" fillId="14" borderId="43" xfId="0" applyFont="1" applyFill="1" applyBorder="1" applyAlignment="1">
      <alignment horizontal="center" vertical="center" wrapText="1"/>
    </xf>
    <xf numFmtId="0" fontId="9" fillId="14" borderId="27" xfId="0" applyFont="1" applyFill="1" applyBorder="1" applyAlignment="1">
      <alignment horizontal="center" vertical="center" wrapText="1"/>
    </xf>
    <xf numFmtId="0" fontId="9" fillId="14" borderId="44" xfId="0" applyFont="1" applyFill="1" applyBorder="1" applyAlignment="1">
      <alignment horizontal="center" vertical="center" wrapText="1"/>
    </xf>
    <xf numFmtId="0" fontId="9" fillId="11" borderId="43" xfId="0" applyFont="1" applyFill="1" applyBorder="1" applyAlignment="1">
      <alignment horizontal="center" vertical="center" wrapText="1"/>
    </xf>
    <xf numFmtId="0" fontId="9" fillId="11" borderId="27" xfId="0" applyFont="1" applyFill="1" applyBorder="1" applyAlignment="1">
      <alignment horizontal="center" vertical="center" wrapText="1"/>
    </xf>
    <xf numFmtId="0" fontId="9" fillId="11" borderId="44" xfId="0" applyFont="1" applyFill="1" applyBorder="1" applyAlignment="1">
      <alignment horizontal="center" vertical="center" wrapText="1"/>
    </xf>
    <xf numFmtId="0" fontId="0" fillId="8" borderId="67" xfId="0" applyFill="1" applyBorder="1" applyAlignment="1">
      <alignment horizontal="center"/>
    </xf>
    <xf numFmtId="0" fontId="0" fillId="8" borderId="44" xfId="0" applyFill="1" applyBorder="1" applyAlignment="1">
      <alignment horizontal="center"/>
    </xf>
    <xf numFmtId="0" fontId="0" fillId="8" borderId="27" xfId="0" applyFill="1" applyBorder="1" applyAlignment="1">
      <alignment horizontal="center"/>
    </xf>
    <xf numFmtId="0" fontId="0" fillId="8" borderId="0" xfId="0" applyFill="1" applyAlignment="1">
      <alignment horizontal="center" vertical="center"/>
    </xf>
    <xf numFmtId="0" fontId="21" fillId="17" borderId="10" xfId="0" applyFont="1" applyFill="1" applyBorder="1" applyAlignment="1">
      <alignment horizontal="center" vertical="center"/>
    </xf>
    <xf numFmtId="0" fontId="21" fillId="19" borderId="33" xfId="0" applyFont="1" applyFill="1" applyBorder="1" applyAlignment="1">
      <alignment horizontal="center" vertical="center"/>
    </xf>
    <xf numFmtId="0" fontId="21" fillId="19" borderId="17" xfId="0" applyFont="1" applyFill="1" applyBorder="1" applyAlignment="1">
      <alignment horizontal="center" vertical="center"/>
    </xf>
    <xf numFmtId="49" fontId="0" fillId="0" borderId="62" xfId="0" applyNumberFormat="1" applyBorder="1" applyAlignment="1">
      <alignment horizontal="center"/>
    </xf>
    <xf numFmtId="0" fontId="0" fillId="0" borderId="0" xfId="0" applyAlignment="1">
      <alignment horizontal="center"/>
    </xf>
    <xf numFmtId="0" fontId="19" fillId="0" borderId="69" xfId="0" applyFont="1" applyBorder="1" applyAlignment="1">
      <alignment horizontal="center"/>
    </xf>
    <xf numFmtId="0" fontId="19" fillId="0" borderId="60" xfId="0" applyFont="1" applyBorder="1" applyAlignment="1">
      <alignment horizontal="center"/>
    </xf>
    <xf numFmtId="0" fontId="21" fillId="17" borderId="11" xfId="0" applyFont="1" applyFill="1" applyBorder="1" applyAlignment="1">
      <alignment horizontal="center" vertical="center"/>
    </xf>
    <xf numFmtId="0" fontId="21" fillId="17" borderId="31" xfId="0" applyFont="1" applyFill="1" applyBorder="1" applyAlignment="1">
      <alignment horizontal="center" vertical="center"/>
    </xf>
    <xf numFmtId="0" fontId="21" fillId="17" borderId="66" xfId="0" applyFont="1" applyFill="1" applyBorder="1" applyAlignment="1">
      <alignment horizontal="center" vertical="center"/>
    </xf>
    <xf numFmtId="0" fontId="19" fillId="0" borderId="62" xfId="0" applyFont="1" applyBorder="1" applyAlignment="1">
      <alignment horizontal="center"/>
    </xf>
    <xf numFmtId="0" fontId="19" fillId="0" borderId="0" xfId="0" applyFont="1" applyAlignment="1">
      <alignment horizontal="center"/>
    </xf>
    <xf numFmtId="0" fontId="19" fillId="0" borderId="4" xfId="0" applyFont="1" applyBorder="1" applyAlignment="1">
      <alignment horizontal="center"/>
    </xf>
    <xf numFmtId="0" fontId="19" fillId="0" borderId="5" xfId="0" applyFont="1" applyBorder="1" applyAlignment="1">
      <alignment horizontal="center"/>
    </xf>
    <xf numFmtId="0" fontId="21" fillId="17" borderId="16" xfId="0" applyFont="1" applyFill="1" applyBorder="1" applyAlignment="1">
      <alignment horizontal="center" vertical="center"/>
    </xf>
    <xf numFmtId="0" fontId="21" fillId="19" borderId="61" xfId="0" applyFont="1" applyFill="1" applyBorder="1" applyAlignment="1">
      <alignment horizontal="center" vertical="center"/>
    </xf>
    <xf numFmtId="0" fontId="0" fillId="0" borderId="0" xfId="0" applyAlignment="1">
      <alignment horizontal="center" vertical="center"/>
    </xf>
    <xf numFmtId="0" fontId="0" fillId="18" borderId="11" xfId="0" applyFill="1" applyBorder="1" applyAlignment="1">
      <alignment horizontal="center" vertical="center"/>
    </xf>
    <xf numFmtId="0" fontId="21" fillId="17" borderId="33" xfId="0" applyFont="1" applyFill="1" applyBorder="1" applyAlignment="1">
      <alignment horizontal="center" vertical="center"/>
    </xf>
    <xf numFmtId="0" fontId="21" fillId="17" borderId="61" xfId="0" applyFont="1" applyFill="1" applyBorder="1" applyAlignment="1">
      <alignment horizontal="center" vertical="center"/>
    </xf>
    <xf numFmtId="0" fontId="21" fillId="8" borderId="11" xfId="0" applyFont="1" applyFill="1" applyBorder="1" applyAlignment="1">
      <alignment horizontal="center" vertical="center"/>
    </xf>
    <xf numFmtId="0" fontId="21" fillId="22" borderId="33" xfId="0" applyFont="1" applyFill="1" applyBorder="1" applyAlignment="1">
      <alignment horizontal="center" vertical="center" wrapText="1"/>
    </xf>
    <xf numFmtId="0" fontId="21" fillId="22" borderId="61" xfId="0" applyFont="1" applyFill="1" applyBorder="1" applyAlignment="1">
      <alignment horizontal="center" vertical="center"/>
    </xf>
    <xf numFmtId="0" fontId="0" fillId="0" borderId="11" xfId="0" applyBorder="1" applyAlignment="1">
      <alignment horizontal="center" vertical="center"/>
    </xf>
    <xf numFmtId="0" fontId="0" fillId="0" borderId="60" xfId="0" applyBorder="1" applyAlignment="1">
      <alignment horizontal="center" vertical="center"/>
    </xf>
    <xf numFmtId="0" fontId="0" fillId="8" borderId="10" xfId="0" applyFill="1" applyBorder="1" applyAlignment="1">
      <alignment horizontal="center" vertical="center"/>
    </xf>
    <xf numFmtId="0" fontId="0" fillId="8" borderId="11" xfId="0" applyFill="1" applyBorder="1" applyAlignment="1">
      <alignment horizontal="center" vertical="center"/>
    </xf>
    <xf numFmtId="0" fontId="0" fillId="10" borderId="11" xfId="0" applyFill="1" applyBorder="1" applyAlignment="1">
      <alignment horizontal="center" vertical="center"/>
    </xf>
    <xf numFmtId="0" fontId="0" fillId="19" borderId="11" xfId="0" applyFill="1" applyBorder="1" applyAlignment="1">
      <alignment horizontal="center" vertical="center"/>
    </xf>
    <xf numFmtId="0" fontId="0" fillId="18" borderId="45" xfId="0" applyFill="1" applyBorder="1" applyAlignment="1">
      <alignment horizontal="center" vertical="center"/>
    </xf>
    <xf numFmtId="0" fontId="0" fillId="18" borderId="0" xfId="0" applyFill="1" applyAlignment="1">
      <alignment horizontal="center" vertical="center"/>
    </xf>
    <xf numFmtId="0" fontId="0" fillId="0" borderId="30" xfId="0" applyBorder="1" applyAlignment="1">
      <alignment horizontal="center" vertical="center"/>
    </xf>
    <xf numFmtId="0" fontId="0" fillId="8" borderId="67" xfId="0" applyFill="1" applyBorder="1" applyAlignment="1">
      <alignment horizontal="center" vertical="center"/>
    </xf>
    <xf numFmtId="0" fontId="0" fillId="8" borderId="44" xfId="0" applyFill="1" applyBorder="1" applyAlignment="1">
      <alignment horizontal="center" vertical="center"/>
    </xf>
    <xf numFmtId="37" fontId="9" fillId="0" borderId="9" xfId="0" applyNumberFormat="1" applyFont="1" applyFill="1" applyBorder="1" applyAlignment="1">
      <alignment horizontal="center" vertical="center"/>
    </xf>
    <xf numFmtId="0" fontId="11" fillId="0" borderId="15" xfId="0" applyFont="1" applyFill="1" applyBorder="1" applyAlignment="1">
      <alignment horizontal="center" vertical="center"/>
    </xf>
    <xf numFmtId="0" fontId="11" fillId="0" borderId="37" xfId="0" applyFont="1" applyFill="1" applyBorder="1" applyAlignment="1">
      <alignment horizontal="center" vertical="center" wrapText="1" readingOrder="2"/>
    </xf>
    <xf numFmtId="0" fontId="12" fillId="0" borderId="12" xfId="1" applyFont="1" applyFill="1" applyBorder="1" applyAlignment="1">
      <alignment horizontal="center" vertical="center"/>
    </xf>
    <xf numFmtId="0" fontId="11" fillId="0" borderId="9" xfId="0" applyFont="1" applyFill="1" applyBorder="1" applyAlignment="1">
      <alignment horizontal="center" vertical="center"/>
    </xf>
    <xf numFmtId="0" fontId="11" fillId="0" borderId="38" xfId="0" applyFont="1" applyFill="1" applyBorder="1" applyAlignment="1">
      <alignment horizontal="center" vertical="center"/>
    </xf>
    <xf numFmtId="0" fontId="11" fillId="0" borderId="9" xfId="0" applyFont="1" applyFill="1" applyBorder="1" applyAlignment="1">
      <alignment horizontal="center" vertical="center" wrapText="1" readingOrder="2"/>
    </xf>
    <xf numFmtId="0" fontId="11" fillId="0" borderId="38" xfId="0" applyFont="1" applyFill="1" applyBorder="1" applyAlignment="1">
      <alignment horizontal="center" vertical="center" wrapText="1" readingOrder="2"/>
    </xf>
    <xf numFmtId="0" fontId="11" fillId="0" borderId="12" xfId="0" applyFont="1" applyFill="1" applyBorder="1" applyAlignment="1">
      <alignment horizontal="center" vertical="center" wrapText="1" readingOrder="2"/>
    </xf>
    <xf numFmtId="0" fontId="12" fillId="0" borderId="37" xfId="1" applyFont="1" applyFill="1" applyBorder="1" applyAlignment="1">
      <alignment horizontal="center" vertical="center"/>
    </xf>
    <xf numFmtId="0" fontId="12" fillId="0" borderId="39" xfId="1" applyFont="1" applyFill="1" applyBorder="1" applyAlignment="1">
      <alignment horizontal="center" vertical="center"/>
    </xf>
    <xf numFmtId="0" fontId="12" fillId="0" borderId="42" xfId="1" applyFont="1" applyFill="1" applyBorder="1" applyAlignment="1">
      <alignment horizontal="center" vertical="center"/>
    </xf>
    <xf numFmtId="0" fontId="0" fillId="0" borderId="0" xfId="0" applyFill="1"/>
    <xf numFmtId="3" fontId="6" fillId="8" borderId="22" xfId="1" applyNumberFormat="1" applyFont="1" applyFill="1" applyBorder="1" applyAlignment="1">
      <alignment horizontal="center" vertical="center"/>
    </xf>
  </cellXfs>
  <cellStyles count="4">
    <cellStyle name="Accent2" xfId="1" builtinId="33"/>
    <cellStyle name="Normal" xfId="0" builtinId="0"/>
    <cellStyle name="Normal 3" xfId="3" xr:uid="{E95138C5-B6F2-42E3-9565-C398E60A53E6}"/>
    <cellStyle name="Normal_sumpodium" xfId="2" xr:uid="{977A9013-54BE-459B-8F60-0A3D63B4228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elsae\OneDrive\Desktop\G-Tendering%20L3-G17N34\EXCEL\L.C.xlsx" TargetMode="External"/><Relationship Id="rId1" Type="http://schemas.openxmlformats.org/officeDocument/2006/relationships/externalLinkPath" Target="/Users/elsae/OneDrive/Desktop/G-Tendering%20L3-G17N34/EXCEL/L.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LV Works"/>
      <sheetName val="Devices"/>
      <sheetName val="LC-AVG-L"/>
      <sheetName val="Outlets"/>
    </sheetNames>
    <sheetDataSet>
      <sheetData sheetId="0" refreshError="1"/>
      <sheetData sheetId="1" refreshError="1"/>
      <sheetData sheetId="2" refreshError="1"/>
      <sheetData sheetId="3" refreshError="1">
        <row r="19">
          <cell r="B19" t="str">
            <v>مخرج RG 11 لنظام كاميرات المراقبه التليفزيونيه معلق على الحائط</v>
          </cell>
        </row>
        <row r="20">
          <cell r="B20" t="str">
            <v>مخرج RG 11   من نوع المضاد للعوامل الجويه لنظام كاميرات المراقبه التليفزيونيه معلق على الحائط</v>
          </cell>
        </row>
        <row r="21">
          <cell r="B21" t="str">
            <v>مخرج RG 11  لنظام كاميرات المراقبه التليفزيونيه معلق على السقف</v>
          </cell>
        </row>
        <row r="22">
          <cell r="B22" t="str">
            <v>مخرج RG 11  من نوع المضاد للعوامل الجويه لنظام كاميرات المراقبه التليفزيونيه معلق على السقف</v>
          </cell>
        </row>
        <row r="26">
          <cell r="B26" t="str">
            <v>مخرج RG 45 لنظام التحكم فى الدخول و الخروج معلق على الحائط</v>
          </cell>
        </row>
        <row r="27">
          <cell r="B27" t="str">
            <v xml:space="preserve">مخرج RG 45 لنظام التحكم فى الدخول و الخروج معلق على الحائطمن من نوع المضاد للعوامل الجويه </v>
          </cell>
        </row>
        <row r="30">
          <cell r="B30" t="str">
            <v>سماعه سقف 6 وات تشمل كابل  (2x1.5mm2 105º)</v>
          </cell>
        </row>
        <row r="31">
          <cell r="B31" t="str">
            <v>كالبند السابق ولكن من نوع المضاد للعوامل الجويه</v>
          </cell>
        </row>
        <row r="36">
          <cell r="B36" t="str">
            <v>توريد وتركيب وحدة  داتا على الحائط بكل وحدة بالاسلاك حسب الرسومات  ومحمل على البند  العلبة  طراز بيتشينو لايت أو ما يماثله و مواسير الـ P.V.C  من المخرج إلى Junction box  وكذلك أدوات التثبيت والاختبارات حسب الرسومات والمواصفات.</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6"/>
  <sheetViews>
    <sheetView rightToLeft="1" topLeftCell="A39" zoomScaleNormal="100" workbookViewId="0">
      <selection activeCell="E22" sqref="E22"/>
    </sheetView>
  </sheetViews>
  <sheetFormatPr defaultRowHeight="13.8" x14ac:dyDescent="0.25"/>
  <cols>
    <col min="1" max="1" width="11.3984375" bestFit="1" customWidth="1"/>
    <col min="2" max="2" width="102.5" bestFit="1" customWidth="1"/>
    <col min="3" max="3" width="7.69921875" bestFit="1" customWidth="1"/>
    <col min="4" max="4" width="7" bestFit="1" customWidth="1"/>
    <col min="5" max="5" width="12.296875" style="165" bestFit="1" customWidth="1"/>
    <col min="6" max="6" width="16.59765625" style="165" customWidth="1"/>
  </cols>
  <sheetData>
    <row r="1" spans="1:6" ht="23.4" thickBot="1" x14ac:dyDescent="0.3">
      <c r="A1" s="254" t="s">
        <v>0</v>
      </c>
      <c r="B1" s="255"/>
      <c r="C1" s="255"/>
      <c r="D1" s="255"/>
      <c r="E1" s="255"/>
      <c r="F1" s="256"/>
    </row>
    <row r="2" spans="1:6" ht="23.4" thickBot="1" x14ac:dyDescent="0.3">
      <c r="A2" s="257" t="s">
        <v>1</v>
      </c>
      <c r="B2" s="258"/>
      <c r="C2" s="258"/>
      <c r="D2" s="258"/>
      <c r="E2" s="258"/>
      <c r="F2" s="259"/>
    </row>
    <row r="3" spans="1:6" ht="46.2" thickBot="1" x14ac:dyDescent="0.3">
      <c r="A3" s="151" t="s">
        <v>2</v>
      </c>
      <c r="B3" s="1" t="s">
        <v>3</v>
      </c>
      <c r="C3" s="1" t="s">
        <v>4</v>
      </c>
      <c r="D3" s="1" t="s">
        <v>5</v>
      </c>
      <c r="E3" s="2" t="s">
        <v>6</v>
      </c>
      <c r="F3" s="152" t="s">
        <v>7</v>
      </c>
    </row>
    <row r="4" spans="1:6" ht="46.2" thickBot="1" x14ac:dyDescent="0.3">
      <c r="A4" s="153" t="s">
        <v>8</v>
      </c>
      <c r="B4" s="3" t="s">
        <v>9</v>
      </c>
      <c r="C4" s="4"/>
      <c r="D4" s="4"/>
      <c r="E4" s="179"/>
      <c r="F4" s="154"/>
    </row>
    <row r="5" spans="1:6" ht="114" x14ac:dyDescent="0.25">
      <c r="A5" s="155"/>
      <c r="B5" s="5" t="s">
        <v>10</v>
      </c>
      <c r="C5" s="6"/>
      <c r="D5" s="7"/>
      <c r="E5" s="170"/>
      <c r="F5" s="167"/>
    </row>
    <row r="6" spans="1:6" ht="136.80000000000001" x14ac:dyDescent="0.25">
      <c r="A6" s="46">
        <v>1.01</v>
      </c>
      <c r="B6" s="8" t="s">
        <v>11</v>
      </c>
      <c r="C6" s="9" t="s">
        <v>12</v>
      </c>
      <c r="D6" s="10">
        <v>1</v>
      </c>
      <c r="E6" s="171">
        <f>devices!M6</f>
        <v>200250.18782999998</v>
      </c>
      <c r="F6" s="168">
        <f>D6*E6</f>
        <v>200250.18782999998</v>
      </c>
    </row>
    <row r="7" spans="1:6" ht="22.8" x14ac:dyDescent="0.25">
      <c r="A7" s="46">
        <v>1.02</v>
      </c>
      <c r="B7" s="11" t="s">
        <v>13</v>
      </c>
      <c r="C7" s="9" t="s">
        <v>12</v>
      </c>
      <c r="D7" s="10">
        <v>113</v>
      </c>
      <c r="E7" s="171">
        <f>devices!M7</f>
        <v>2277.8794499999999</v>
      </c>
      <c r="F7" s="168">
        <f t="shared" ref="F7:F43" si="0">D7*E7</f>
        <v>257400.37784999999</v>
      </c>
    </row>
    <row r="8" spans="1:6" ht="22.8" x14ac:dyDescent="0.25">
      <c r="A8" s="46">
        <v>1.03</v>
      </c>
      <c r="B8" s="11" t="s">
        <v>14</v>
      </c>
      <c r="C8" s="9" t="s">
        <v>12</v>
      </c>
      <c r="D8" s="10">
        <v>1</v>
      </c>
      <c r="E8" s="171">
        <f>devices!M8</f>
        <v>2277.8794499999999</v>
      </c>
      <c r="F8" s="168">
        <f t="shared" si="0"/>
        <v>2277.8794499999999</v>
      </c>
    </row>
    <row r="9" spans="1:6" ht="22.8" x14ac:dyDescent="0.25">
      <c r="A9" s="46">
        <v>1.07</v>
      </c>
      <c r="B9" s="11" t="s">
        <v>15</v>
      </c>
      <c r="C9" s="9" t="s">
        <v>12</v>
      </c>
      <c r="D9" s="10">
        <v>51</v>
      </c>
      <c r="E9" s="171">
        <f>devices!M9</f>
        <v>3233.8036499999994</v>
      </c>
      <c r="F9" s="168">
        <f t="shared" si="0"/>
        <v>164923.98614999998</v>
      </c>
    </row>
    <row r="10" spans="1:6" ht="22.8" x14ac:dyDescent="0.25">
      <c r="A10" s="46">
        <v>1.08</v>
      </c>
      <c r="B10" s="11" t="s">
        <v>16</v>
      </c>
      <c r="C10" s="9" t="s">
        <v>12</v>
      </c>
      <c r="D10" s="10">
        <v>1</v>
      </c>
      <c r="E10" s="171">
        <f>devices!M10</f>
        <v>2596.5208499999994</v>
      </c>
      <c r="F10" s="168">
        <f t="shared" si="0"/>
        <v>2596.5208499999994</v>
      </c>
    </row>
    <row r="11" spans="1:6" ht="22.8" x14ac:dyDescent="0.25">
      <c r="A11" s="46">
        <v>1.0900000000000001</v>
      </c>
      <c r="B11" s="11" t="s">
        <v>17</v>
      </c>
      <c r="C11" s="9" t="s">
        <v>12</v>
      </c>
      <c r="D11" s="10">
        <v>20</v>
      </c>
      <c r="E11" s="171">
        <f>devices!M11</f>
        <v>4588.0295999999998</v>
      </c>
      <c r="F11" s="168">
        <f t="shared" si="0"/>
        <v>91760.592000000004</v>
      </c>
    </row>
    <row r="12" spans="1:6" ht="22.8" x14ac:dyDescent="0.25">
      <c r="A12" s="156">
        <v>1.1000000000000001</v>
      </c>
      <c r="B12" s="11" t="s">
        <v>18</v>
      </c>
      <c r="C12" s="9" t="s">
        <v>12</v>
      </c>
      <c r="D12" s="10">
        <v>11</v>
      </c>
      <c r="E12" s="171">
        <f>OUTLET!AK12</f>
        <v>102619.58594439908</v>
      </c>
      <c r="F12" s="168">
        <f t="shared" si="0"/>
        <v>1128815.4453883898</v>
      </c>
    </row>
    <row r="13" spans="1:6" ht="23.4" thickBot="1" x14ac:dyDescent="0.3">
      <c r="A13" s="46">
        <v>1.1100000000000001</v>
      </c>
      <c r="B13" s="11" t="s">
        <v>19</v>
      </c>
      <c r="C13" s="9" t="s">
        <v>12</v>
      </c>
      <c r="D13" s="10">
        <v>11</v>
      </c>
      <c r="E13" s="171">
        <f>devices!M12</f>
        <v>5891.5625999999993</v>
      </c>
      <c r="F13" s="168">
        <f t="shared" si="0"/>
        <v>64807.188599999994</v>
      </c>
    </row>
    <row r="14" spans="1:6" ht="46.2" thickBot="1" x14ac:dyDescent="0.3">
      <c r="A14" s="157" t="s">
        <v>20</v>
      </c>
      <c r="B14" s="12" t="s">
        <v>21</v>
      </c>
      <c r="C14" s="13"/>
      <c r="D14" s="13"/>
      <c r="E14" s="172"/>
      <c r="F14" s="168"/>
    </row>
    <row r="15" spans="1:6" ht="114" x14ac:dyDescent="0.25">
      <c r="A15" s="158"/>
      <c r="B15" s="14" t="s">
        <v>22</v>
      </c>
      <c r="C15" s="15"/>
      <c r="D15" s="16"/>
      <c r="E15" s="173"/>
      <c r="F15" s="168"/>
    </row>
    <row r="16" spans="1:6" ht="22.8" x14ac:dyDescent="0.25">
      <c r="A16" s="17" t="s">
        <v>23</v>
      </c>
      <c r="B16" s="18" t="s">
        <v>24</v>
      </c>
      <c r="C16" s="19" t="s">
        <v>12</v>
      </c>
      <c r="D16" s="180">
        <v>22</v>
      </c>
      <c r="E16" s="182">
        <f>devices!M15</f>
        <v>54980.887499999997</v>
      </c>
      <c r="F16" s="168">
        <f t="shared" si="0"/>
        <v>1209579.5249999999</v>
      </c>
    </row>
    <row r="17" spans="1:6" ht="22.8" x14ac:dyDescent="0.25">
      <c r="A17" s="17" t="s">
        <v>25</v>
      </c>
      <c r="B17" s="20" t="s">
        <v>26</v>
      </c>
      <c r="C17" s="9" t="s">
        <v>12</v>
      </c>
      <c r="D17" s="181">
        <v>9</v>
      </c>
      <c r="E17" s="182">
        <f>devices!M16</f>
        <v>6174.63</v>
      </c>
      <c r="F17" s="168">
        <f t="shared" si="0"/>
        <v>55571.67</v>
      </c>
    </row>
    <row r="18" spans="1:6" ht="22.8" x14ac:dyDescent="0.25">
      <c r="A18" s="17" t="s">
        <v>27</v>
      </c>
      <c r="B18" s="20" t="s">
        <v>28</v>
      </c>
      <c r="C18" s="9" t="s">
        <v>12</v>
      </c>
      <c r="D18" s="181">
        <v>28</v>
      </c>
      <c r="E18" s="182">
        <f>devices!M17</f>
        <v>2795.1</v>
      </c>
      <c r="F18" s="168">
        <f t="shared" si="0"/>
        <v>78262.8</v>
      </c>
    </row>
    <row r="19" spans="1:6" ht="22.8" x14ac:dyDescent="0.25">
      <c r="A19" s="17" t="s">
        <v>29</v>
      </c>
      <c r="B19" s="20" t="s">
        <v>30</v>
      </c>
      <c r="C19" s="9" t="s">
        <v>12</v>
      </c>
      <c r="D19" s="10">
        <f>D16</f>
        <v>22</v>
      </c>
      <c r="E19" s="340"/>
      <c r="F19" s="168">
        <f t="shared" si="0"/>
        <v>0</v>
      </c>
    </row>
    <row r="20" spans="1:6" ht="23.4" thickBot="1" x14ac:dyDescent="0.3">
      <c r="A20" s="17" t="s">
        <v>31</v>
      </c>
      <c r="B20" s="21" t="s">
        <v>32</v>
      </c>
      <c r="C20" s="9" t="s">
        <v>12</v>
      </c>
      <c r="D20" s="10">
        <f>D17</f>
        <v>9</v>
      </c>
      <c r="E20" s="340"/>
      <c r="F20" s="168">
        <f t="shared" si="0"/>
        <v>0</v>
      </c>
    </row>
    <row r="21" spans="1:6" ht="46.2" thickBot="1" x14ac:dyDescent="0.3">
      <c r="A21" s="157" t="s">
        <v>33</v>
      </c>
      <c r="B21" s="12" t="s">
        <v>34</v>
      </c>
      <c r="C21" s="13"/>
      <c r="D21" s="13"/>
      <c r="E21" s="172"/>
      <c r="F21" s="168"/>
    </row>
    <row r="22" spans="1:6" ht="114.6" thickBot="1" x14ac:dyDescent="0.3">
      <c r="A22" s="46">
        <v>3.01</v>
      </c>
      <c r="B22" s="22" t="s">
        <v>35</v>
      </c>
      <c r="C22" s="9"/>
      <c r="D22" s="10"/>
      <c r="E22" s="171"/>
      <c r="F22" s="168"/>
    </row>
    <row r="23" spans="1:6" ht="91.8" thickBot="1" x14ac:dyDescent="0.3">
      <c r="A23" s="159" t="s">
        <v>36</v>
      </c>
      <c r="B23" s="23" t="s">
        <v>37</v>
      </c>
      <c r="C23" s="24"/>
      <c r="D23" s="24"/>
      <c r="E23" s="174"/>
      <c r="F23" s="168"/>
    </row>
    <row r="24" spans="1:6" ht="22.8" x14ac:dyDescent="0.25">
      <c r="A24" s="46" t="s">
        <v>38</v>
      </c>
      <c r="B24" s="25" t="s">
        <v>39</v>
      </c>
      <c r="C24" s="9" t="s">
        <v>12</v>
      </c>
      <c r="D24" s="10">
        <v>2</v>
      </c>
      <c r="E24" s="171">
        <f>devices!M21</f>
        <v>33907.192934999999</v>
      </c>
      <c r="F24" s="168">
        <f t="shared" si="0"/>
        <v>67814.385869999998</v>
      </c>
    </row>
    <row r="25" spans="1:6" ht="22.8" x14ac:dyDescent="0.25">
      <c r="A25" s="46" t="s">
        <v>40</v>
      </c>
      <c r="B25" s="25" t="s">
        <v>41</v>
      </c>
      <c r="C25" s="9" t="s">
        <v>12</v>
      </c>
      <c r="D25" s="10">
        <v>2</v>
      </c>
      <c r="E25" s="171">
        <f>devices!M22</f>
        <v>4471.4358149999998</v>
      </c>
      <c r="F25" s="168">
        <f t="shared" si="0"/>
        <v>8942.8716299999996</v>
      </c>
    </row>
    <row r="26" spans="1:6" ht="22.8" x14ac:dyDescent="0.25">
      <c r="A26" s="46" t="s">
        <v>42</v>
      </c>
      <c r="B26" s="25" t="s">
        <v>43</v>
      </c>
      <c r="C26" s="9" t="s">
        <v>12</v>
      </c>
      <c r="D26" s="10">
        <v>2</v>
      </c>
      <c r="E26" s="171">
        <f>devices!M23</f>
        <v>8093.0849999999982</v>
      </c>
      <c r="F26" s="168">
        <f t="shared" si="0"/>
        <v>16186.169999999996</v>
      </c>
    </row>
    <row r="27" spans="1:6" ht="22.8" x14ac:dyDescent="0.25">
      <c r="A27" s="46" t="s">
        <v>44</v>
      </c>
      <c r="B27" s="11" t="s">
        <v>45</v>
      </c>
      <c r="C27" s="9" t="s">
        <v>12</v>
      </c>
      <c r="D27" s="10">
        <v>2</v>
      </c>
      <c r="E27" s="171">
        <f>devices!M24</f>
        <v>3052.0332149999995</v>
      </c>
      <c r="F27" s="168">
        <f t="shared" si="0"/>
        <v>6104.0664299999989</v>
      </c>
    </row>
    <row r="28" spans="1:6" ht="22.8" x14ac:dyDescent="0.25">
      <c r="A28" s="46" t="s">
        <v>46</v>
      </c>
      <c r="B28" s="11" t="s">
        <v>47</v>
      </c>
      <c r="C28" s="9" t="s">
        <v>12</v>
      </c>
      <c r="D28" s="10">
        <v>2</v>
      </c>
      <c r="E28" s="171">
        <f>devices!M25</f>
        <v>253.782375</v>
      </c>
      <c r="F28" s="168">
        <f t="shared" si="0"/>
        <v>507.56475</v>
      </c>
    </row>
    <row r="29" spans="1:6" ht="22.8" x14ac:dyDescent="0.25">
      <c r="A29" s="46" t="s">
        <v>48</v>
      </c>
      <c r="B29" s="11" t="s">
        <v>49</v>
      </c>
      <c r="C29" s="9" t="s">
        <v>12</v>
      </c>
      <c r="D29" s="10">
        <v>2</v>
      </c>
      <c r="E29" s="171">
        <f>devices!M26</f>
        <v>791.12764499999992</v>
      </c>
      <c r="F29" s="168">
        <f t="shared" si="0"/>
        <v>1582.2552899999998</v>
      </c>
    </row>
    <row r="30" spans="1:6" ht="22.8" x14ac:dyDescent="0.25">
      <c r="A30" s="46" t="s">
        <v>50</v>
      </c>
      <c r="B30" s="20" t="s">
        <v>51</v>
      </c>
      <c r="C30" s="9" t="s">
        <v>12</v>
      </c>
      <c r="D30" s="10">
        <v>2</v>
      </c>
      <c r="E30" s="171">
        <f>OUTLET!AK20</f>
        <v>2368.7284883718735</v>
      </c>
      <c r="F30" s="168">
        <f t="shared" si="0"/>
        <v>4737.456976743747</v>
      </c>
    </row>
    <row r="31" spans="1:6" ht="23.4" thickBot="1" x14ac:dyDescent="0.3">
      <c r="A31" s="46" t="s">
        <v>52</v>
      </c>
      <c r="B31" s="20" t="s">
        <v>53</v>
      </c>
      <c r="C31" s="9" t="s">
        <v>12</v>
      </c>
      <c r="D31" s="10">
        <v>2</v>
      </c>
      <c r="E31" s="171">
        <f>OUTLET!AK21</f>
        <v>2368.7284883718735</v>
      </c>
      <c r="F31" s="168">
        <f t="shared" si="0"/>
        <v>4737.456976743747</v>
      </c>
    </row>
    <row r="32" spans="1:6" ht="46.2" thickBot="1" x14ac:dyDescent="0.3">
      <c r="A32" s="157" t="s">
        <v>54</v>
      </c>
      <c r="B32" s="26" t="s">
        <v>55</v>
      </c>
      <c r="C32" s="27"/>
      <c r="D32" s="28"/>
      <c r="E32" s="29"/>
      <c r="F32" s="168"/>
    </row>
    <row r="33" spans="1:6" ht="114" x14ac:dyDescent="0.25">
      <c r="A33" s="158" t="s">
        <v>56</v>
      </c>
      <c r="B33" s="30" t="s">
        <v>57</v>
      </c>
      <c r="C33" s="31"/>
      <c r="D33" s="32"/>
      <c r="E33" s="33"/>
      <c r="F33" s="168"/>
    </row>
    <row r="34" spans="1:6" ht="23.4" thickBot="1" x14ac:dyDescent="0.3">
      <c r="A34" s="17" t="s">
        <v>58</v>
      </c>
      <c r="B34" s="34" t="s">
        <v>59</v>
      </c>
      <c r="C34" s="9" t="s">
        <v>12</v>
      </c>
      <c r="D34" s="35">
        <v>64</v>
      </c>
      <c r="E34" s="171">
        <f>devices!M29</f>
        <v>4122.4552985</v>
      </c>
      <c r="F34" s="168">
        <f t="shared" si="0"/>
        <v>263837.139104</v>
      </c>
    </row>
    <row r="35" spans="1:6" ht="46.2" thickBot="1" x14ac:dyDescent="0.3">
      <c r="A35" s="157" t="s">
        <v>65</v>
      </c>
      <c r="B35" s="36" t="s">
        <v>66</v>
      </c>
      <c r="C35" s="13"/>
      <c r="D35" s="37"/>
      <c r="E35" s="175"/>
      <c r="F35" s="168"/>
    </row>
    <row r="36" spans="1:6" ht="23.4" thickBot="1" x14ac:dyDescent="0.3">
      <c r="A36" s="160" t="s">
        <v>67</v>
      </c>
      <c r="B36" s="38" t="s">
        <v>68</v>
      </c>
      <c r="C36" s="39"/>
      <c r="D36" s="40"/>
      <c r="E36" s="176"/>
      <c r="F36" s="168"/>
    </row>
    <row r="37" spans="1:6" ht="68.400000000000006" x14ac:dyDescent="0.25">
      <c r="A37" s="161"/>
      <c r="B37" s="162" t="s">
        <v>69</v>
      </c>
      <c r="C37" s="41"/>
      <c r="D37" s="42"/>
      <c r="E37" s="177"/>
      <c r="F37" s="168"/>
    </row>
    <row r="38" spans="1:6" ht="22.8" x14ac:dyDescent="0.25">
      <c r="A38" s="163" t="s">
        <v>70</v>
      </c>
      <c r="B38" s="43" t="s">
        <v>71</v>
      </c>
      <c r="C38" s="44" t="s">
        <v>12</v>
      </c>
      <c r="D38" s="45">
        <v>1</v>
      </c>
      <c r="E38" s="178">
        <f>devices!M36</f>
        <v>34430.550000000003</v>
      </c>
      <c r="F38" s="168">
        <f t="shared" si="0"/>
        <v>34430.550000000003</v>
      </c>
    </row>
    <row r="39" spans="1:6" ht="23.4" thickBot="1" x14ac:dyDescent="0.3">
      <c r="A39" s="163" t="s">
        <v>72</v>
      </c>
      <c r="B39" s="43" t="s">
        <v>73</v>
      </c>
      <c r="C39" s="44" t="s">
        <v>12</v>
      </c>
      <c r="D39" s="45">
        <v>1</v>
      </c>
      <c r="E39" s="178">
        <f>devices!M37</f>
        <v>4980.3600000000006</v>
      </c>
      <c r="F39" s="168">
        <f t="shared" si="0"/>
        <v>4980.3600000000006</v>
      </c>
    </row>
    <row r="40" spans="1:6" ht="23.4" thickBot="1" x14ac:dyDescent="0.3">
      <c r="A40" s="164" t="s">
        <v>74</v>
      </c>
      <c r="B40" s="36" t="s">
        <v>75</v>
      </c>
      <c r="C40" s="13"/>
      <c r="D40" s="37"/>
      <c r="E40" s="175"/>
      <c r="F40" s="168"/>
    </row>
    <row r="41" spans="1:6" ht="23.4" thickBot="1" x14ac:dyDescent="0.3">
      <c r="A41" s="46" t="s">
        <v>76</v>
      </c>
      <c r="B41" s="47" t="s">
        <v>77</v>
      </c>
      <c r="C41" s="44" t="s">
        <v>12</v>
      </c>
      <c r="D41" s="45">
        <v>74</v>
      </c>
      <c r="E41" s="171">
        <f>devices!M39</f>
        <v>1016.4</v>
      </c>
      <c r="F41" s="168">
        <f t="shared" si="0"/>
        <v>75213.599999999991</v>
      </c>
    </row>
    <row r="42" spans="1:6" ht="69" thickBot="1" x14ac:dyDescent="0.3">
      <c r="A42" s="46" t="s">
        <v>78</v>
      </c>
      <c r="B42" s="23" t="s">
        <v>268</v>
      </c>
      <c r="C42" s="44" t="s">
        <v>12</v>
      </c>
      <c r="D42" s="45">
        <v>23</v>
      </c>
      <c r="E42" s="171">
        <f>OUTLET!AK27</f>
        <v>4348.8374591202355</v>
      </c>
      <c r="F42" s="168">
        <f t="shared" si="0"/>
        <v>100023.26155976542</v>
      </c>
    </row>
    <row r="43" spans="1:6" ht="68.400000000000006" x14ac:dyDescent="0.25">
      <c r="A43" s="163" t="s">
        <v>79</v>
      </c>
      <c r="B43" s="166" t="s">
        <v>80</v>
      </c>
      <c r="C43" s="44" t="s">
        <v>12</v>
      </c>
      <c r="D43" s="45">
        <v>27</v>
      </c>
      <c r="E43" s="178">
        <f>devices!M40</f>
        <v>627.11879999999996</v>
      </c>
      <c r="F43" s="169">
        <f t="shared" si="0"/>
        <v>16932.207599999998</v>
      </c>
    </row>
    <row r="44" spans="1:6" ht="13.8" customHeight="1" x14ac:dyDescent="0.25">
      <c r="A44" s="260" t="s">
        <v>107</v>
      </c>
      <c r="B44" s="261"/>
      <c r="C44" s="261"/>
      <c r="D44" s="261"/>
      <c r="E44" s="261"/>
      <c r="F44" s="266">
        <f>SUM(F6:F43)</f>
        <v>3862275.5193056413</v>
      </c>
    </row>
    <row r="45" spans="1:6" ht="13.8" customHeight="1" x14ac:dyDescent="0.25">
      <c r="A45" s="262"/>
      <c r="B45" s="263"/>
      <c r="C45" s="263"/>
      <c r="D45" s="263"/>
      <c r="E45" s="263"/>
      <c r="F45" s="267"/>
    </row>
    <row r="46" spans="1:6" x14ac:dyDescent="0.25">
      <c r="A46" s="264"/>
      <c r="B46" s="265"/>
      <c r="C46" s="265"/>
      <c r="D46" s="265"/>
      <c r="E46" s="265"/>
      <c r="F46" s="268"/>
    </row>
  </sheetData>
  <mergeCells count="4">
    <mergeCell ref="A1:F1"/>
    <mergeCell ref="A2:F2"/>
    <mergeCell ref="A44:E46"/>
    <mergeCell ref="F44:F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2E5C7-0BF3-41F4-AEA0-5D193F41EC44}">
  <dimension ref="A1:M40"/>
  <sheetViews>
    <sheetView rightToLeft="1" topLeftCell="A32" workbookViewId="0">
      <selection activeCell="B46" sqref="B46"/>
    </sheetView>
  </sheetViews>
  <sheetFormatPr defaultRowHeight="13.8" x14ac:dyDescent="0.25"/>
  <cols>
    <col min="1" max="1" width="11.3984375" bestFit="1" customWidth="1"/>
    <col min="2" max="2" width="102.5" customWidth="1"/>
    <col min="3" max="3" width="7.69921875" customWidth="1"/>
    <col min="4" max="4" width="7" style="339" customWidth="1"/>
    <col min="5" max="5" width="14.59765625" customWidth="1"/>
    <col min="6" max="6" width="8.796875" customWidth="1"/>
    <col min="7" max="7" width="9.69921875" customWidth="1"/>
    <col min="8" max="8" width="8.09765625" customWidth="1"/>
    <col min="9" max="9" width="8.69921875" customWidth="1"/>
    <col min="10" max="10" width="6.19921875" customWidth="1"/>
    <col min="11" max="11" width="9.69921875" customWidth="1"/>
    <col min="12" max="12" width="10.5" customWidth="1"/>
    <col min="13" max="13" width="9.69921875" bestFit="1" customWidth="1"/>
  </cols>
  <sheetData>
    <row r="1" spans="1:13" ht="18" thickBot="1" x14ac:dyDescent="0.3">
      <c r="A1" s="269" t="s">
        <v>0</v>
      </c>
      <c r="B1" s="270"/>
      <c r="C1" s="270"/>
      <c r="D1" s="271"/>
      <c r="E1" s="121"/>
      <c r="F1" s="121"/>
      <c r="G1" s="115"/>
      <c r="H1" s="115">
        <v>0.05</v>
      </c>
      <c r="I1" s="115"/>
      <c r="J1" s="115">
        <v>0.1</v>
      </c>
      <c r="K1" s="115"/>
      <c r="L1" s="115">
        <v>0.1</v>
      </c>
      <c r="M1" s="116"/>
    </row>
    <row r="2" spans="1:13" ht="18" thickBot="1" x14ac:dyDescent="0.3">
      <c r="A2" s="272" t="s">
        <v>1</v>
      </c>
      <c r="B2" s="273"/>
      <c r="C2" s="273"/>
      <c r="D2" s="274"/>
      <c r="E2" s="122"/>
      <c r="F2" s="122"/>
      <c r="G2" s="108"/>
      <c r="H2" s="109">
        <v>0.1</v>
      </c>
      <c r="I2" s="108"/>
      <c r="J2" s="109">
        <v>0.25</v>
      </c>
      <c r="K2" s="108"/>
      <c r="L2" s="109">
        <v>0.15</v>
      </c>
      <c r="M2" s="117"/>
    </row>
    <row r="3" spans="1:13" ht="18.600000000000001" thickBot="1" x14ac:dyDescent="0.3">
      <c r="A3" s="48" t="s">
        <v>2</v>
      </c>
      <c r="B3" s="49" t="s">
        <v>3</v>
      </c>
      <c r="C3" s="49" t="s">
        <v>4</v>
      </c>
      <c r="D3" s="327" t="s">
        <v>5</v>
      </c>
      <c r="E3" s="123" t="s">
        <v>82</v>
      </c>
      <c r="F3" s="123" t="s">
        <v>83</v>
      </c>
      <c r="G3" s="110" t="s">
        <v>84</v>
      </c>
      <c r="H3" s="111" t="s">
        <v>85</v>
      </c>
      <c r="I3" s="110" t="s">
        <v>86</v>
      </c>
      <c r="J3" s="111" t="s">
        <v>87</v>
      </c>
      <c r="K3" s="110" t="s">
        <v>88</v>
      </c>
      <c r="L3" s="111" t="s">
        <v>89</v>
      </c>
      <c r="M3" s="118" t="s">
        <v>90</v>
      </c>
    </row>
    <row r="4" spans="1:13" ht="35.4" thickBot="1" x14ac:dyDescent="0.3">
      <c r="A4" s="50" t="s">
        <v>8</v>
      </c>
      <c r="B4" s="51" t="s">
        <v>9</v>
      </c>
      <c r="C4" s="52"/>
      <c r="D4" s="328"/>
      <c r="E4" s="124"/>
      <c r="F4" s="124"/>
      <c r="G4" s="112"/>
      <c r="H4" s="113"/>
      <c r="I4" s="112"/>
      <c r="J4" s="113"/>
      <c r="K4" s="112"/>
      <c r="L4" s="113"/>
      <c r="M4" s="119"/>
    </row>
    <row r="5" spans="1:13" ht="69.599999999999994" x14ac:dyDescent="0.25">
      <c r="A5" s="53"/>
      <c r="B5" s="54" t="s">
        <v>10</v>
      </c>
      <c r="C5" s="55"/>
      <c r="D5" s="329"/>
      <c r="E5" s="124"/>
      <c r="F5" s="124"/>
      <c r="G5" s="112"/>
      <c r="H5" s="113"/>
      <c r="I5" s="112"/>
      <c r="J5" s="113"/>
      <c r="K5" s="112"/>
      <c r="L5" s="113"/>
      <c r="M5" s="119"/>
    </row>
    <row r="6" spans="1:13" ht="87" x14ac:dyDescent="0.25">
      <c r="A6" s="56">
        <v>1.01</v>
      </c>
      <c r="B6" s="57" t="s">
        <v>11</v>
      </c>
      <c r="C6" s="58" t="s">
        <v>12</v>
      </c>
      <c r="D6" s="330">
        <v>1</v>
      </c>
      <c r="E6" s="125">
        <f>(84920+770+40000)*1.14</f>
        <v>143286.59999999998</v>
      </c>
      <c r="F6" s="125">
        <f>0.1*E6</f>
        <v>14328.659999999998</v>
      </c>
      <c r="G6" s="112">
        <f t="shared" ref="G6" si="0">F6+E6</f>
        <v>157615.25999999998</v>
      </c>
      <c r="H6" s="113">
        <f>$H$1*G6</f>
        <v>7880.762999999999</v>
      </c>
      <c r="I6" s="112">
        <f t="shared" ref="I6" si="1">G6+H6</f>
        <v>165496.02299999999</v>
      </c>
      <c r="J6" s="113">
        <f>$J$1*I6</f>
        <v>16549.602299999999</v>
      </c>
      <c r="K6" s="112">
        <f t="shared" ref="K6" si="2">I6+J6</f>
        <v>182045.62529999999</v>
      </c>
      <c r="L6" s="113">
        <f>$L$1*K6</f>
        <v>18204.562529999999</v>
      </c>
      <c r="M6" s="119">
        <f t="shared" ref="M6" si="3">K6+L6</f>
        <v>200250.18782999998</v>
      </c>
    </row>
    <row r="7" spans="1:13" ht="18" x14ac:dyDescent="0.25">
      <c r="A7" s="56">
        <v>1.02</v>
      </c>
      <c r="B7" s="59" t="s">
        <v>13</v>
      </c>
      <c r="C7" s="58" t="s">
        <v>12</v>
      </c>
      <c r="D7" s="330">
        <f>'ELV Works'!D7</f>
        <v>113</v>
      </c>
      <c r="E7" s="124">
        <f>1485*1.14</f>
        <v>1692.8999999999999</v>
      </c>
      <c r="F7" s="124">
        <v>100</v>
      </c>
      <c r="G7" s="112">
        <f t="shared" ref="G7:G40" si="4">F7+E7</f>
        <v>1792.8999999999999</v>
      </c>
      <c r="H7" s="113">
        <f t="shared" ref="H7:H40" si="5">$H$1*G7</f>
        <v>89.644999999999996</v>
      </c>
      <c r="I7" s="112">
        <f t="shared" ref="I7:I40" si="6">G7+H7</f>
        <v>1882.5449999999998</v>
      </c>
      <c r="J7" s="113">
        <f t="shared" ref="J7:J40" si="7">$J$1*I7</f>
        <v>188.25450000000001</v>
      </c>
      <c r="K7" s="112">
        <f t="shared" ref="K7:K40" si="8">I7+J7</f>
        <v>2070.7995000000001</v>
      </c>
      <c r="L7" s="113">
        <f t="shared" ref="L7:L40" si="9">$L$1*K7</f>
        <v>207.07995000000003</v>
      </c>
      <c r="M7" s="119">
        <f t="shared" ref="M7:M40" si="10">K7+L7</f>
        <v>2277.8794499999999</v>
      </c>
    </row>
    <row r="8" spans="1:13" ht="18" x14ac:dyDescent="0.25">
      <c r="A8" s="56">
        <v>1.03</v>
      </c>
      <c r="B8" s="59" t="s">
        <v>14</v>
      </c>
      <c r="C8" s="58" t="s">
        <v>12</v>
      </c>
      <c r="D8" s="330">
        <f>'ELV Works'!D8</f>
        <v>1</v>
      </c>
      <c r="E8" s="124">
        <f>1485*1.14</f>
        <v>1692.8999999999999</v>
      </c>
      <c r="F8" s="124">
        <v>100</v>
      </c>
      <c r="G8" s="112">
        <f t="shared" si="4"/>
        <v>1792.8999999999999</v>
      </c>
      <c r="H8" s="113">
        <f t="shared" si="5"/>
        <v>89.644999999999996</v>
      </c>
      <c r="I8" s="112">
        <f t="shared" si="6"/>
        <v>1882.5449999999998</v>
      </c>
      <c r="J8" s="113">
        <f t="shared" si="7"/>
        <v>188.25450000000001</v>
      </c>
      <c r="K8" s="112">
        <f t="shared" si="8"/>
        <v>2070.7995000000001</v>
      </c>
      <c r="L8" s="113">
        <f t="shared" si="9"/>
        <v>207.07995000000003</v>
      </c>
      <c r="M8" s="119">
        <f t="shared" si="10"/>
        <v>2277.8794499999999</v>
      </c>
    </row>
    <row r="9" spans="1:13" ht="18" x14ac:dyDescent="0.25">
      <c r="A9" s="56">
        <v>1.07</v>
      </c>
      <c r="B9" s="59" t="s">
        <v>15</v>
      </c>
      <c r="C9" s="58" t="s">
        <v>12</v>
      </c>
      <c r="D9" s="330">
        <f>'ELV Works'!D9</f>
        <v>51</v>
      </c>
      <c r="E9" s="114">
        <f>2145*1.14</f>
        <v>2445.2999999999997</v>
      </c>
      <c r="F9" s="114">
        <v>100</v>
      </c>
      <c r="G9" s="112">
        <f t="shared" si="4"/>
        <v>2545.2999999999997</v>
      </c>
      <c r="H9" s="113">
        <f t="shared" si="5"/>
        <v>127.26499999999999</v>
      </c>
      <c r="I9" s="112">
        <f t="shared" si="6"/>
        <v>2672.5649999999996</v>
      </c>
      <c r="J9" s="113">
        <f t="shared" si="7"/>
        <v>267.25649999999996</v>
      </c>
      <c r="K9" s="112">
        <f t="shared" si="8"/>
        <v>2939.8214999999996</v>
      </c>
      <c r="L9" s="113">
        <f t="shared" si="9"/>
        <v>293.98214999999999</v>
      </c>
      <c r="M9" s="119">
        <f t="shared" si="10"/>
        <v>3233.8036499999994</v>
      </c>
    </row>
    <row r="10" spans="1:13" ht="18" x14ac:dyDescent="0.25">
      <c r="A10" s="56">
        <v>1.08</v>
      </c>
      <c r="B10" s="59" t="s">
        <v>16</v>
      </c>
      <c r="C10" s="58" t="s">
        <v>12</v>
      </c>
      <c r="D10" s="330">
        <f>'ELV Works'!D10</f>
        <v>1</v>
      </c>
      <c r="E10" s="114">
        <f>1705*1.14</f>
        <v>1943.6999999999998</v>
      </c>
      <c r="F10" s="114">
        <v>100</v>
      </c>
      <c r="G10" s="112">
        <f t="shared" si="4"/>
        <v>2043.6999999999998</v>
      </c>
      <c r="H10" s="113">
        <f t="shared" si="5"/>
        <v>102.185</v>
      </c>
      <c r="I10" s="112">
        <f t="shared" si="6"/>
        <v>2145.8849999999998</v>
      </c>
      <c r="J10" s="113">
        <f t="shared" si="7"/>
        <v>214.58849999999998</v>
      </c>
      <c r="K10" s="112">
        <f t="shared" si="8"/>
        <v>2360.4734999999996</v>
      </c>
      <c r="L10" s="113">
        <f t="shared" si="9"/>
        <v>236.04734999999997</v>
      </c>
      <c r="M10" s="119">
        <f t="shared" si="10"/>
        <v>2596.5208499999994</v>
      </c>
    </row>
    <row r="11" spans="1:13" ht="18" x14ac:dyDescent="0.25">
      <c r="A11" s="56">
        <v>1.0900000000000001</v>
      </c>
      <c r="B11" s="59" t="s">
        <v>17</v>
      </c>
      <c r="C11" s="58" t="s">
        <v>12</v>
      </c>
      <c r="D11" s="330">
        <f>'ELV Works'!D11</f>
        <v>20</v>
      </c>
      <c r="E11" s="114">
        <f>3080*1.14</f>
        <v>3511.2</v>
      </c>
      <c r="F11" s="114">
        <v>100</v>
      </c>
      <c r="G11" s="112">
        <f t="shared" si="4"/>
        <v>3611.2</v>
      </c>
      <c r="H11" s="113">
        <f t="shared" si="5"/>
        <v>180.56</v>
      </c>
      <c r="I11" s="112">
        <f t="shared" si="6"/>
        <v>3791.7599999999998</v>
      </c>
      <c r="J11" s="113">
        <f t="shared" si="7"/>
        <v>379.17599999999999</v>
      </c>
      <c r="K11" s="112">
        <f t="shared" si="8"/>
        <v>4170.9359999999997</v>
      </c>
      <c r="L11" s="113">
        <f t="shared" si="9"/>
        <v>417.09359999999998</v>
      </c>
      <c r="M11" s="119">
        <f t="shared" si="10"/>
        <v>4588.0295999999998</v>
      </c>
    </row>
    <row r="12" spans="1:13" ht="18.600000000000001" thickBot="1" x14ac:dyDescent="0.3">
      <c r="A12" s="56">
        <v>1.1100000000000001</v>
      </c>
      <c r="B12" s="94" t="s">
        <v>19</v>
      </c>
      <c r="C12" s="58" t="s">
        <v>12</v>
      </c>
      <c r="D12" s="330">
        <f>'ELV Works'!D12</f>
        <v>11</v>
      </c>
      <c r="E12" s="150">
        <f>(1980+2000)*1.14</f>
        <v>4537.2</v>
      </c>
      <c r="F12" s="114">
        <v>100</v>
      </c>
      <c r="G12" s="112">
        <f>F12+E12</f>
        <v>4637.2</v>
      </c>
      <c r="H12" s="113">
        <f t="shared" si="5"/>
        <v>231.86</v>
      </c>
      <c r="I12" s="112">
        <f t="shared" si="6"/>
        <v>4869.0599999999995</v>
      </c>
      <c r="J12" s="113">
        <f t="shared" si="7"/>
        <v>486.90599999999995</v>
      </c>
      <c r="K12" s="112">
        <f t="shared" si="8"/>
        <v>5355.9659999999994</v>
      </c>
      <c r="L12" s="113">
        <f t="shared" si="9"/>
        <v>535.59659999999997</v>
      </c>
      <c r="M12" s="119">
        <f t="shared" si="10"/>
        <v>5891.5625999999993</v>
      </c>
    </row>
    <row r="13" spans="1:13" ht="35.4" thickBot="1" x14ac:dyDescent="0.3">
      <c r="A13" s="60" t="s">
        <v>20</v>
      </c>
      <c r="B13" s="61" t="s">
        <v>21</v>
      </c>
      <c r="C13" s="62"/>
      <c r="D13" s="331"/>
      <c r="E13" s="114"/>
      <c r="F13" s="114"/>
      <c r="G13" s="112"/>
      <c r="H13" s="113"/>
      <c r="I13" s="112"/>
      <c r="J13" s="113"/>
      <c r="K13" s="112"/>
      <c r="L13" s="113"/>
      <c r="M13" s="119"/>
    </row>
    <row r="14" spans="1:13" ht="69.599999999999994" x14ac:dyDescent="0.25">
      <c r="A14" s="63"/>
      <c r="B14" s="64" t="s">
        <v>22</v>
      </c>
      <c r="C14" s="65"/>
      <c r="D14" s="332"/>
      <c r="E14" s="114"/>
      <c r="F14" s="114"/>
      <c r="G14" s="112"/>
      <c r="H14" s="113"/>
      <c r="I14" s="112"/>
      <c r="J14" s="113"/>
      <c r="K14" s="112"/>
      <c r="L14" s="113"/>
      <c r="M14" s="119"/>
    </row>
    <row r="15" spans="1:13" ht="18" x14ac:dyDescent="0.25">
      <c r="A15" s="95" t="s">
        <v>23</v>
      </c>
      <c r="B15" s="96" t="s">
        <v>24</v>
      </c>
      <c r="C15" s="97" t="s">
        <v>12</v>
      </c>
      <c r="D15" s="329">
        <f>'ELV Works'!D16</f>
        <v>22</v>
      </c>
      <c r="E15" s="114">
        <f>1925+(2*8650)+(2*7500)+3800</f>
        <v>38025</v>
      </c>
      <c r="F15" s="114">
        <f>250+5000</f>
        <v>5250</v>
      </c>
      <c r="G15" s="112">
        <f t="shared" si="4"/>
        <v>43275</v>
      </c>
      <c r="H15" s="113">
        <f t="shared" si="5"/>
        <v>2163.75</v>
      </c>
      <c r="I15" s="112">
        <f t="shared" si="6"/>
        <v>45438.75</v>
      </c>
      <c r="J15" s="113">
        <f t="shared" si="7"/>
        <v>4543.875</v>
      </c>
      <c r="K15" s="112">
        <f t="shared" si="8"/>
        <v>49982.625</v>
      </c>
      <c r="L15" s="113">
        <f t="shared" si="9"/>
        <v>4998.2625000000007</v>
      </c>
      <c r="M15" s="119">
        <f t="shared" si="10"/>
        <v>54980.887499999997</v>
      </c>
    </row>
    <row r="16" spans="1:13" ht="18" x14ac:dyDescent="0.25">
      <c r="A16" s="95" t="s">
        <v>25</v>
      </c>
      <c r="B16" s="98" t="s">
        <v>26</v>
      </c>
      <c r="C16" s="99" t="s">
        <v>12</v>
      </c>
      <c r="D16" s="329">
        <f>'ELV Works'!D17</f>
        <v>9</v>
      </c>
      <c r="E16" s="114">
        <f>4000*1.14</f>
        <v>4560</v>
      </c>
      <c r="F16" s="114">
        <v>300</v>
      </c>
      <c r="G16" s="112">
        <f t="shared" si="4"/>
        <v>4860</v>
      </c>
      <c r="H16" s="113">
        <f t="shared" si="5"/>
        <v>243</v>
      </c>
      <c r="I16" s="112">
        <f t="shared" si="6"/>
        <v>5103</v>
      </c>
      <c r="J16" s="113">
        <f t="shared" si="7"/>
        <v>510.3</v>
      </c>
      <c r="K16" s="112">
        <f t="shared" si="8"/>
        <v>5613.3</v>
      </c>
      <c r="L16" s="113">
        <f t="shared" si="9"/>
        <v>561.33000000000004</v>
      </c>
      <c r="M16" s="119">
        <f t="shared" si="10"/>
        <v>6174.63</v>
      </c>
    </row>
    <row r="17" spans="1:13" ht="18.600000000000001" thickBot="1" x14ac:dyDescent="0.3">
      <c r="A17" s="95" t="s">
        <v>27</v>
      </c>
      <c r="B17" s="98" t="s">
        <v>28</v>
      </c>
      <c r="C17" s="99" t="s">
        <v>12</v>
      </c>
      <c r="D17" s="329">
        <f>'ELV Works'!D18</f>
        <v>28</v>
      </c>
      <c r="E17" s="114">
        <v>1950</v>
      </c>
      <c r="F17" s="114">
        <v>250</v>
      </c>
      <c r="G17" s="112">
        <f t="shared" si="4"/>
        <v>2200</v>
      </c>
      <c r="H17" s="113">
        <f t="shared" si="5"/>
        <v>110</v>
      </c>
      <c r="I17" s="112">
        <f t="shared" si="6"/>
        <v>2310</v>
      </c>
      <c r="J17" s="113">
        <f t="shared" si="7"/>
        <v>231</v>
      </c>
      <c r="K17" s="112">
        <f t="shared" si="8"/>
        <v>2541</v>
      </c>
      <c r="L17" s="113">
        <f t="shared" si="9"/>
        <v>254.10000000000002</v>
      </c>
      <c r="M17" s="119">
        <f t="shared" si="10"/>
        <v>2795.1</v>
      </c>
    </row>
    <row r="18" spans="1:13" ht="35.4" thickBot="1" x14ac:dyDescent="0.3">
      <c r="A18" s="60" t="s">
        <v>33</v>
      </c>
      <c r="B18" s="61" t="s">
        <v>34</v>
      </c>
      <c r="C18" s="62"/>
      <c r="D18" s="331"/>
      <c r="E18" s="114"/>
      <c r="F18" s="114"/>
      <c r="G18" s="112"/>
      <c r="H18" s="113"/>
      <c r="I18" s="112"/>
      <c r="J18" s="113"/>
      <c r="K18" s="112"/>
      <c r="L18" s="113"/>
      <c r="M18" s="119"/>
    </row>
    <row r="19" spans="1:13" ht="70.2" thickBot="1" x14ac:dyDescent="0.3">
      <c r="A19" s="56">
        <v>3.01</v>
      </c>
      <c r="B19" s="66" t="s">
        <v>35</v>
      </c>
      <c r="C19" s="58"/>
      <c r="D19" s="330"/>
      <c r="E19" s="114"/>
      <c r="F19" s="114"/>
      <c r="G19" s="112"/>
      <c r="H19" s="113"/>
      <c r="I19" s="112"/>
      <c r="J19" s="113"/>
      <c r="K19" s="112"/>
      <c r="L19" s="113"/>
      <c r="M19" s="119"/>
    </row>
    <row r="20" spans="1:13" ht="70.2" thickBot="1" x14ac:dyDescent="0.3">
      <c r="A20" s="67" t="s">
        <v>36</v>
      </c>
      <c r="B20" s="68" t="s">
        <v>37</v>
      </c>
      <c r="C20" s="69"/>
      <c r="D20" s="331"/>
      <c r="E20" s="114"/>
      <c r="F20" s="114"/>
      <c r="G20" s="112"/>
      <c r="H20" s="113"/>
      <c r="I20" s="112"/>
      <c r="J20" s="113"/>
      <c r="K20" s="112"/>
      <c r="L20" s="113"/>
      <c r="M20" s="119"/>
    </row>
    <row r="21" spans="1:13" ht="18" x14ac:dyDescent="0.25">
      <c r="A21" s="100" t="s">
        <v>38</v>
      </c>
      <c r="B21" s="101" t="s">
        <v>39</v>
      </c>
      <c r="C21" s="99" t="s">
        <v>12</v>
      </c>
      <c r="D21" s="330">
        <f>2</f>
        <v>2</v>
      </c>
      <c r="E21" s="114">
        <f>(589.3*35*1.14)+675</f>
        <v>24188.07</v>
      </c>
      <c r="F21" s="114">
        <v>2500</v>
      </c>
      <c r="G21" s="112">
        <f t="shared" si="4"/>
        <v>26688.07</v>
      </c>
      <c r="H21" s="113">
        <f t="shared" si="5"/>
        <v>1334.4035000000001</v>
      </c>
      <c r="I21" s="112">
        <f t="shared" si="6"/>
        <v>28022.4735</v>
      </c>
      <c r="J21" s="113">
        <f t="shared" si="7"/>
        <v>2802.2473500000001</v>
      </c>
      <c r="K21" s="112">
        <f t="shared" si="8"/>
        <v>30824.720850000002</v>
      </c>
      <c r="L21" s="113">
        <f t="shared" si="9"/>
        <v>3082.4720850000003</v>
      </c>
      <c r="M21" s="119">
        <f t="shared" si="10"/>
        <v>33907.192934999999</v>
      </c>
    </row>
    <row r="22" spans="1:13" ht="18" x14ac:dyDescent="0.25">
      <c r="A22" s="100" t="s">
        <v>40</v>
      </c>
      <c r="B22" s="101" t="s">
        <v>41</v>
      </c>
      <c r="C22" s="99" t="s">
        <v>12</v>
      </c>
      <c r="D22" s="330">
        <f>2</f>
        <v>2</v>
      </c>
      <c r="E22" s="114">
        <f>85.7*1.14*35</f>
        <v>3419.43</v>
      </c>
      <c r="F22" s="114">
        <v>100</v>
      </c>
      <c r="G22" s="112">
        <f t="shared" si="4"/>
        <v>3519.43</v>
      </c>
      <c r="H22" s="113">
        <f t="shared" si="5"/>
        <v>175.97149999999999</v>
      </c>
      <c r="I22" s="112">
        <f t="shared" si="6"/>
        <v>3695.4014999999999</v>
      </c>
      <c r="J22" s="113">
        <f t="shared" si="7"/>
        <v>369.54015000000004</v>
      </c>
      <c r="K22" s="112">
        <f t="shared" si="8"/>
        <v>4064.9416499999998</v>
      </c>
      <c r="L22" s="113">
        <f t="shared" si="9"/>
        <v>406.49416500000001</v>
      </c>
      <c r="M22" s="119">
        <f t="shared" si="10"/>
        <v>4471.4358149999998</v>
      </c>
    </row>
    <row r="23" spans="1:13" ht="18" x14ac:dyDescent="0.25">
      <c r="A23" s="100" t="s">
        <v>42</v>
      </c>
      <c r="B23" s="101" t="s">
        <v>43</v>
      </c>
      <c r="C23" s="99" t="s">
        <v>12</v>
      </c>
      <c r="D23" s="330">
        <f>2</f>
        <v>2</v>
      </c>
      <c r="E23" s="114">
        <f>5500*1.14</f>
        <v>6269.9999999999991</v>
      </c>
      <c r="F23" s="114">
        <v>100</v>
      </c>
      <c r="G23" s="112">
        <f t="shared" si="4"/>
        <v>6369.9999999999991</v>
      </c>
      <c r="H23" s="113">
        <f t="shared" si="5"/>
        <v>318.5</v>
      </c>
      <c r="I23" s="112">
        <f t="shared" si="6"/>
        <v>6688.4999999999991</v>
      </c>
      <c r="J23" s="113">
        <f t="shared" si="7"/>
        <v>668.84999999999991</v>
      </c>
      <c r="K23" s="112">
        <f t="shared" si="8"/>
        <v>7357.3499999999985</v>
      </c>
      <c r="L23" s="113">
        <f t="shared" si="9"/>
        <v>735.7349999999999</v>
      </c>
      <c r="M23" s="119">
        <f t="shared" si="10"/>
        <v>8093.0849999999982</v>
      </c>
    </row>
    <row r="24" spans="1:13" ht="18" x14ac:dyDescent="0.25">
      <c r="A24" s="100" t="s">
        <v>44</v>
      </c>
      <c r="B24" s="94" t="s">
        <v>45</v>
      </c>
      <c r="C24" s="99" t="s">
        <v>12</v>
      </c>
      <c r="D24" s="330">
        <f>2</f>
        <v>2</v>
      </c>
      <c r="E24" s="114">
        <f>(57.7)*1.14*35</f>
        <v>2302.2299999999996</v>
      </c>
      <c r="F24" s="114">
        <v>100</v>
      </c>
      <c r="G24" s="112">
        <f t="shared" si="4"/>
        <v>2402.2299999999996</v>
      </c>
      <c r="H24" s="113">
        <f t="shared" si="5"/>
        <v>120.11149999999998</v>
      </c>
      <c r="I24" s="112">
        <f t="shared" si="6"/>
        <v>2522.3414999999995</v>
      </c>
      <c r="J24" s="113">
        <f t="shared" si="7"/>
        <v>252.23414999999997</v>
      </c>
      <c r="K24" s="112">
        <f t="shared" si="8"/>
        <v>2774.5756499999993</v>
      </c>
      <c r="L24" s="113">
        <f t="shared" si="9"/>
        <v>277.45756499999993</v>
      </c>
      <c r="M24" s="119">
        <f t="shared" si="10"/>
        <v>3052.0332149999995</v>
      </c>
    </row>
    <row r="25" spans="1:13" ht="18" x14ac:dyDescent="0.25">
      <c r="A25" s="100" t="s">
        <v>46</v>
      </c>
      <c r="B25" s="94" t="s">
        <v>47</v>
      </c>
      <c r="C25" s="99" t="s">
        <v>12</v>
      </c>
      <c r="D25" s="330">
        <f>2</f>
        <v>2</v>
      </c>
      <c r="E25" s="114">
        <f>2.5*1.14*35</f>
        <v>99.749999999999986</v>
      </c>
      <c r="F25" s="114">
        <v>100</v>
      </c>
      <c r="G25" s="112">
        <f t="shared" si="4"/>
        <v>199.75</v>
      </c>
      <c r="H25" s="113">
        <f t="shared" si="5"/>
        <v>9.9875000000000007</v>
      </c>
      <c r="I25" s="112">
        <f t="shared" si="6"/>
        <v>209.73750000000001</v>
      </c>
      <c r="J25" s="113">
        <f t="shared" si="7"/>
        <v>20.973750000000003</v>
      </c>
      <c r="K25" s="112">
        <f t="shared" si="8"/>
        <v>230.71125000000001</v>
      </c>
      <c r="L25" s="113">
        <f t="shared" si="9"/>
        <v>23.071125000000002</v>
      </c>
      <c r="M25" s="119">
        <f t="shared" si="10"/>
        <v>253.782375</v>
      </c>
    </row>
    <row r="26" spans="1:13" ht="18.600000000000001" thickBot="1" x14ac:dyDescent="0.3">
      <c r="A26" s="100" t="s">
        <v>48</v>
      </c>
      <c r="B26" s="94" t="s">
        <v>49</v>
      </c>
      <c r="C26" s="99" t="s">
        <v>12</v>
      </c>
      <c r="D26" s="330">
        <f>2</f>
        <v>2</v>
      </c>
      <c r="E26" s="114">
        <f>13.1*1.14*35</f>
        <v>522.68999999999994</v>
      </c>
      <c r="F26" s="114">
        <v>100</v>
      </c>
      <c r="G26" s="112">
        <f t="shared" si="4"/>
        <v>622.68999999999994</v>
      </c>
      <c r="H26" s="113">
        <f t="shared" si="5"/>
        <v>31.134499999999999</v>
      </c>
      <c r="I26" s="112">
        <f t="shared" si="6"/>
        <v>653.82449999999994</v>
      </c>
      <c r="J26" s="113">
        <f t="shared" si="7"/>
        <v>65.382449999999992</v>
      </c>
      <c r="K26" s="112">
        <f t="shared" si="8"/>
        <v>719.20694999999989</v>
      </c>
      <c r="L26" s="113">
        <f t="shared" si="9"/>
        <v>71.920694999999995</v>
      </c>
      <c r="M26" s="119">
        <f t="shared" si="10"/>
        <v>791.12764499999992</v>
      </c>
    </row>
    <row r="27" spans="1:13" ht="35.4" thickBot="1" x14ac:dyDescent="0.3">
      <c r="A27" s="60" t="s">
        <v>54</v>
      </c>
      <c r="B27" s="70" t="s">
        <v>55</v>
      </c>
      <c r="C27" s="71"/>
      <c r="D27" s="333"/>
      <c r="E27" s="114"/>
      <c r="F27" s="114"/>
      <c r="G27" s="112"/>
      <c r="H27" s="113"/>
      <c r="I27" s="112"/>
      <c r="J27" s="113"/>
      <c r="K27" s="112"/>
      <c r="L27" s="113"/>
      <c r="M27" s="119"/>
    </row>
    <row r="28" spans="1:13" ht="69.599999999999994" x14ac:dyDescent="0.25">
      <c r="A28" s="63" t="s">
        <v>56</v>
      </c>
      <c r="B28" s="72" t="s">
        <v>81</v>
      </c>
      <c r="C28" s="73"/>
      <c r="D28" s="334"/>
      <c r="E28" s="114"/>
      <c r="F28" s="114"/>
      <c r="G28" s="112"/>
      <c r="H28" s="113"/>
      <c r="I28" s="112"/>
      <c r="J28" s="113"/>
      <c r="K28" s="112"/>
      <c r="L28" s="113"/>
      <c r="M28" s="119"/>
    </row>
    <row r="29" spans="1:13" ht="18.600000000000001" thickBot="1" x14ac:dyDescent="0.3">
      <c r="A29" s="74" t="s">
        <v>58</v>
      </c>
      <c r="B29" s="75" t="s">
        <v>59</v>
      </c>
      <c r="C29" s="58" t="s">
        <v>12</v>
      </c>
      <c r="D29" s="335">
        <v>64</v>
      </c>
      <c r="E29" s="114">
        <f>(17.83*35*1.14)+(56000/60)</f>
        <v>1644.7503333333334</v>
      </c>
      <c r="F29" s="114">
        <v>1600</v>
      </c>
      <c r="G29" s="112">
        <f t="shared" si="4"/>
        <v>3244.7503333333334</v>
      </c>
      <c r="H29" s="113">
        <f t="shared" si="5"/>
        <v>162.23751666666669</v>
      </c>
      <c r="I29" s="112">
        <f t="shared" si="6"/>
        <v>3406.98785</v>
      </c>
      <c r="J29" s="113">
        <f t="shared" si="7"/>
        <v>340.69878500000004</v>
      </c>
      <c r="K29" s="112">
        <f t="shared" si="8"/>
        <v>3747.686635</v>
      </c>
      <c r="L29" s="113">
        <f t="shared" si="9"/>
        <v>374.7686635</v>
      </c>
      <c r="M29" s="119">
        <f t="shared" si="10"/>
        <v>4122.4552985</v>
      </c>
    </row>
    <row r="30" spans="1:13" ht="35.4" thickBot="1" x14ac:dyDescent="0.3">
      <c r="A30" s="60" t="s">
        <v>60</v>
      </c>
      <c r="B30" s="61" t="s">
        <v>61</v>
      </c>
      <c r="C30" s="62"/>
      <c r="D30" s="331"/>
      <c r="E30" s="124"/>
      <c r="F30" s="124"/>
      <c r="G30" s="112"/>
      <c r="H30" s="113"/>
      <c r="I30" s="112"/>
      <c r="J30" s="113"/>
      <c r="K30" s="112"/>
      <c r="L30" s="113"/>
      <c r="M30" s="119"/>
    </row>
    <row r="31" spans="1:13" ht="35.4" thickBot="1" x14ac:dyDescent="0.3">
      <c r="A31" s="56"/>
      <c r="B31" s="66" t="s">
        <v>62</v>
      </c>
      <c r="C31" s="58"/>
      <c r="D31" s="330"/>
      <c r="E31" s="126"/>
      <c r="F31" s="126"/>
      <c r="G31" s="112"/>
      <c r="H31" s="113"/>
      <c r="I31" s="112"/>
      <c r="J31" s="113"/>
      <c r="K31" s="112"/>
      <c r="L31" s="113"/>
      <c r="M31" s="119"/>
    </row>
    <row r="32" spans="1:13" ht="52.8" thickBot="1" x14ac:dyDescent="0.3">
      <c r="A32" s="67" t="s">
        <v>63</v>
      </c>
      <c r="B32" s="68" t="s">
        <v>64</v>
      </c>
      <c r="C32" s="69" t="s">
        <v>12</v>
      </c>
      <c r="D32" s="331">
        <v>1</v>
      </c>
      <c r="E32" s="114">
        <f>7906*1.14*35</f>
        <v>315449.39999999997</v>
      </c>
      <c r="F32" s="114">
        <v>2500</v>
      </c>
      <c r="G32" s="112">
        <f t="shared" si="4"/>
        <v>317949.39999999997</v>
      </c>
      <c r="H32" s="113">
        <f t="shared" si="5"/>
        <v>15897.47</v>
      </c>
      <c r="I32" s="112">
        <f t="shared" si="6"/>
        <v>333846.86999999994</v>
      </c>
      <c r="J32" s="113">
        <f t="shared" si="7"/>
        <v>33384.686999999998</v>
      </c>
      <c r="K32" s="112">
        <f t="shared" si="8"/>
        <v>367231.55699999991</v>
      </c>
      <c r="L32" s="113">
        <f t="shared" si="9"/>
        <v>36723.155699999996</v>
      </c>
      <c r="M32" s="119">
        <f t="shared" si="10"/>
        <v>403954.71269999992</v>
      </c>
    </row>
    <row r="33" spans="1:13" ht="35.4" thickBot="1" x14ac:dyDescent="0.3">
      <c r="A33" s="60" t="s">
        <v>65</v>
      </c>
      <c r="B33" s="76" t="s">
        <v>66</v>
      </c>
      <c r="C33" s="62"/>
      <c r="D33" s="331"/>
      <c r="E33" s="114"/>
      <c r="F33" s="114"/>
      <c r="G33" s="112"/>
      <c r="H33" s="113"/>
      <c r="I33" s="112"/>
      <c r="J33" s="113"/>
      <c r="K33" s="112"/>
      <c r="L33" s="113"/>
      <c r="M33" s="119"/>
    </row>
    <row r="34" spans="1:13" ht="18.600000000000001" thickBot="1" x14ac:dyDescent="0.3">
      <c r="A34" s="77" t="s">
        <v>67</v>
      </c>
      <c r="B34" s="78" t="s">
        <v>68</v>
      </c>
      <c r="C34" s="79"/>
      <c r="D34" s="331"/>
      <c r="E34" s="114"/>
      <c r="F34" s="114"/>
      <c r="G34" s="112"/>
      <c r="H34" s="113"/>
      <c r="I34" s="112"/>
      <c r="J34" s="113"/>
      <c r="K34" s="112"/>
      <c r="L34" s="113"/>
      <c r="M34" s="119"/>
    </row>
    <row r="35" spans="1:13" ht="34.799999999999997" x14ac:dyDescent="0.25">
      <c r="A35" s="80"/>
      <c r="B35" s="93" t="s">
        <v>69</v>
      </c>
      <c r="C35" s="81"/>
      <c r="D35" s="336"/>
      <c r="E35" s="114"/>
      <c r="F35" s="114"/>
      <c r="G35" s="112"/>
      <c r="H35" s="113"/>
      <c r="I35" s="112"/>
      <c r="J35" s="113"/>
      <c r="K35" s="112"/>
      <c r="L35" s="113"/>
      <c r="M35" s="119"/>
    </row>
    <row r="36" spans="1:13" ht="18" x14ac:dyDescent="0.25">
      <c r="A36" s="102" t="s">
        <v>70</v>
      </c>
      <c r="B36" s="103" t="s">
        <v>71</v>
      </c>
      <c r="C36" s="104" t="s">
        <v>12</v>
      </c>
      <c r="D36" s="337">
        <v>1</v>
      </c>
      <c r="E36" s="114">
        <v>20800</v>
      </c>
      <c r="F36" s="114">
        <v>6300</v>
      </c>
      <c r="G36" s="112">
        <f t="shared" si="4"/>
        <v>27100</v>
      </c>
      <c r="H36" s="113">
        <f t="shared" si="5"/>
        <v>1355</v>
      </c>
      <c r="I36" s="112">
        <f t="shared" si="6"/>
        <v>28455</v>
      </c>
      <c r="J36" s="113">
        <f t="shared" si="7"/>
        <v>2845.5</v>
      </c>
      <c r="K36" s="112">
        <f t="shared" si="8"/>
        <v>31300.5</v>
      </c>
      <c r="L36" s="113">
        <f t="shared" si="9"/>
        <v>3130.05</v>
      </c>
      <c r="M36" s="119">
        <f t="shared" si="10"/>
        <v>34430.550000000003</v>
      </c>
    </row>
    <row r="37" spans="1:13" ht="18.600000000000001" thickBot="1" x14ac:dyDescent="0.3">
      <c r="A37" s="102" t="s">
        <v>72</v>
      </c>
      <c r="B37" s="103" t="s">
        <v>73</v>
      </c>
      <c r="C37" s="104" t="s">
        <v>12</v>
      </c>
      <c r="D37" s="337">
        <v>1</v>
      </c>
      <c r="E37" s="114">
        <f>3000*1.14</f>
        <v>3419.9999999999995</v>
      </c>
      <c r="F37" s="114">
        <v>500</v>
      </c>
      <c r="G37" s="112">
        <f t="shared" si="4"/>
        <v>3919.9999999999995</v>
      </c>
      <c r="H37" s="113">
        <f t="shared" si="5"/>
        <v>196</v>
      </c>
      <c r="I37" s="112">
        <f t="shared" si="6"/>
        <v>4116</v>
      </c>
      <c r="J37" s="113">
        <f t="shared" si="7"/>
        <v>411.6</v>
      </c>
      <c r="K37" s="112">
        <f t="shared" si="8"/>
        <v>4527.6000000000004</v>
      </c>
      <c r="L37" s="113">
        <f t="shared" si="9"/>
        <v>452.76000000000005</v>
      </c>
      <c r="M37" s="119">
        <f t="shared" si="10"/>
        <v>4980.3600000000006</v>
      </c>
    </row>
    <row r="38" spans="1:13" ht="18.600000000000001" thickBot="1" x14ac:dyDescent="0.3">
      <c r="A38" s="83" t="s">
        <v>74</v>
      </c>
      <c r="B38" s="76" t="s">
        <v>75</v>
      </c>
      <c r="C38" s="62"/>
      <c r="D38" s="331"/>
      <c r="E38" s="114"/>
      <c r="F38" s="114"/>
      <c r="G38" s="112"/>
      <c r="H38" s="113"/>
      <c r="I38" s="112"/>
      <c r="J38" s="113"/>
      <c r="K38" s="112"/>
      <c r="L38" s="113"/>
      <c r="M38" s="119"/>
    </row>
    <row r="39" spans="1:13" ht="18.600000000000001" thickBot="1" x14ac:dyDescent="0.3">
      <c r="A39" s="100" t="s">
        <v>76</v>
      </c>
      <c r="B39" s="105" t="s">
        <v>77</v>
      </c>
      <c r="C39" s="104" t="s">
        <v>12</v>
      </c>
      <c r="D39" s="337">
        <v>74</v>
      </c>
      <c r="E39" s="114">
        <f>600</f>
        <v>600</v>
      </c>
      <c r="F39" s="114">
        <v>200</v>
      </c>
      <c r="G39" s="112">
        <f t="shared" si="4"/>
        <v>800</v>
      </c>
      <c r="H39" s="113">
        <f t="shared" si="5"/>
        <v>40</v>
      </c>
      <c r="I39" s="112">
        <f t="shared" si="6"/>
        <v>840</v>
      </c>
      <c r="J39" s="113">
        <f t="shared" si="7"/>
        <v>84</v>
      </c>
      <c r="K39" s="112">
        <f t="shared" si="8"/>
        <v>924</v>
      </c>
      <c r="L39" s="113">
        <f t="shared" si="9"/>
        <v>92.4</v>
      </c>
      <c r="M39" s="119">
        <f t="shared" si="10"/>
        <v>1016.4</v>
      </c>
    </row>
    <row r="40" spans="1:13" ht="35.4" thickBot="1" x14ac:dyDescent="0.3">
      <c r="A40" s="106" t="s">
        <v>79</v>
      </c>
      <c r="B40" s="68" t="s">
        <v>80</v>
      </c>
      <c r="C40" s="107" t="s">
        <v>12</v>
      </c>
      <c r="D40" s="338">
        <v>27</v>
      </c>
      <c r="E40" s="120">
        <f>345.8+26.7+9.6+41.5</f>
        <v>423.6</v>
      </c>
      <c r="F40" s="120">
        <v>70</v>
      </c>
      <c r="G40" s="112">
        <f t="shared" si="4"/>
        <v>493.6</v>
      </c>
      <c r="H40" s="113">
        <f t="shared" si="5"/>
        <v>24.680000000000003</v>
      </c>
      <c r="I40" s="112">
        <f t="shared" si="6"/>
        <v>518.28</v>
      </c>
      <c r="J40" s="113">
        <f t="shared" si="7"/>
        <v>51.828000000000003</v>
      </c>
      <c r="K40" s="112">
        <f t="shared" si="8"/>
        <v>570.10799999999995</v>
      </c>
      <c r="L40" s="113">
        <f t="shared" si="9"/>
        <v>57.010799999999996</v>
      </c>
      <c r="M40" s="119">
        <f t="shared" si="10"/>
        <v>627.11879999999996</v>
      </c>
    </row>
  </sheetData>
  <mergeCells count="2">
    <mergeCell ref="A1:D1"/>
    <mergeCell ref="A2:D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6B1C9-717E-47A3-9145-69944A1AA62E}">
  <dimension ref="A1:AK28"/>
  <sheetViews>
    <sheetView rightToLeft="1" topLeftCell="Q3" workbookViewId="0">
      <selection activeCell="A29" sqref="A29:XFD29"/>
    </sheetView>
  </sheetViews>
  <sheetFormatPr defaultRowHeight="13.8" x14ac:dyDescent="0.25"/>
  <cols>
    <col min="1" max="1" width="11.3984375" bestFit="1" customWidth="1"/>
    <col min="2" max="2" width="102.5" bestFit="1" customWidth="1"/>
    <col min="3" max="3" width="7.69921875" bestFit="1" customWidth="1"/>
    <col min="4" max="4" width="7.796875" style="203" bestFit="1" customWidth="1"/>
    <col min="5" max="5" width="14.09765625" bestFit="1" customWidth="1"/>
    <col min="6" max="6" width="18.69921875" bestFit="1" customWidth="1"/>
    <col min="7" max="7" width="20.796875" bestFit="1" customWidth="1"/>
    <col min="8" max="8" width="18.5" bestFit="1" customWidth="1"/>
    <col min="9" max="9" width="9" customWidth="1"/>
    <col min="10" max="10" width="15.5" customWidth="1"/>
    <col min="11" max="11" width="15.5" bestFit="1" customWidth="1"/>
    <col min="12" max="12" width="8.3984375" customWidth="1"/>
    <col min="13" max="13" width="5.09765625" customWidth="1"/>
    <col min="14" max="14" width="9" customWidth="1"/>
    <col min="15" max="15" width="8.8984375" customWidth="1"/>
    <col min="16" max="16" width="9.09765625" customWidth="1"/>
    <col min="17" max="17" width="8.3984375" customWidth="1"/>
    <col min="18" max="18" width="8.8984375" customWidth="1"/>
    <col min="19" max="19" width="9" customWidth="1"/>
    <col min="20" max="20" width="7.59765625" customWidth="1"/>
    <col min="21" max="21" width="4.69921875" customWidth="1"/>
    <col min="22" max="22" width="8.3984375" customWidth="1"/>
    <col min="23" max="23" width="5.09765625" customWidth="1"/>
    <col min="24" max="24" width="21.8984375" bestFit="1" customWidth="1"/>
    <col min="25" max="25" width="9" bestFit="1" customWidth="1"/>
    <col min="26" max="26" width="12.796875" customWidth="1"/>
    <col min="27" max="29" width="8.8984375" bestFit="1" customWidth="1"/>
    <col min="30" max="30" width="7.8984375" bestFit="1" customWidth="1"/>
    <col min="31" max="32" width="8.59765625" bestFit="1" customWidth="1"/>
    <col min="33" max="33" width="8.69921875" bestFit="1" customWidth="1"/>
    <col min="34" max="35" width="8.59765625" bestFit="1" customWidth="1"/>
    <col min="36" max="36" width="10.5" bestFit="1" customWidth="1"/>
    <col min="37" max="37" width="8.59765625" customWidth="1"/>
  </cols>
  <sheetData>
    <row r="1" spans="1:37" ht="18" thickBot="1" x14ac:dyDescent="0.3">
      <c r="A1" s="269" t="s">
        <v>0</v>
      </c>
      <c r="B1" s="270"/>
      <c r="C1" s="270"/>
      <c r="D1" s="271"/>
      <c r="E1" s="127"/>
      <c r="F1" s="127"/>
      <c r="G1" s="127"/>
      <c r="H1" s="127"/>
      <c r="I1" s="277" t="s">
        <v>91</v>
      </c>
      <c r="J1" s="278"/>
      <c r="K1" s="278"/>
      <c r="L1" s="278"/>
      <c r="M1" s="278"/>
      <c r="N1" s="278"/>
      <c r="O1" s="278"/>
      <c r="P1" s="278"/>
      <c r="Q1" s="278"/>
      <c r="R1" s="278"/>
      <c r="S1" s="278"/>
      <c r="T1" s="278"/>
      <c r="U1" s="278"/>
      <c r="V1" s="278"/>
      <c r="W1" s="279"/>
      <c r="X1" s="277" t="s">
        <v>92</v>
      </c>
      <c r="Y1" s="278"/>
      <c r="Z1" s="278"/>
      <c r="AA1" s="279"/>
      <c r="AB1" s="128"/>
      <c r="AC1" s="128"/>
      <c r="AD1" s="128"/>
      <c r="AE1" s="129"/>
      <c r="AF1" s="129"/>
      <c r="AG1" s="129"/>
      <c r="AH1" s="129"/>
      <c r="AI1" s="129"/>
      <c r="AJ1" s="129"/>
      <c r="AK1" s="129"/>
    </row>
    <row r="2" spans="1:37" ht="18" thickBot="1" x14ac:dyDescent="0.3">
      <c r="A2" s="272" t="s">
        <v>1</v>
      </c>
      <c r="B2" s="273"/>
      <c r="C2" s="273"/>
      <c r="D2" s="274"/>
      <c r="E2" s="130"/>
      <c r="F2" s="130"/>
      <c r="G2" s="130"/>
      <c r="H2" s="130"/>
      <c r="I2" s="280" t="s">
        <v>93</v>
      </c>
      <c r="J2" s="281"/>
      <c r="K2" s="281"/>
      <c r="L2" s="281"/>
      <c r="M2" s="282"/>
      <c r="N2" s="283" t="s">
        <v>94</v>
      </c>
      <c r="O2" s="284"/>
      <c r="P2" s="284"/>
      <c r="Q2" s="284"/>
      <c r="R2" s="285"/>
      <c r="S2" s="286" t="s">
        <v>95</v>
      </c>
      <c r="T2" s="287"/>
      <c r="U2" s="287"/>
      <c r="V2" s="287"/>
      <c r="W2" s="288"/>
      <c r="X2" s="131"/>
      <c r="Y2" s="131"/>
      <c r="Z2" s="131"/>
      <c r="AA2" s="131"/>
      <c r="AB2" s="132"/>
      <c r="AC2" s="132"/>
      <c r="AD2" s="132"/>
      <c r="AE2" s="108"/>
      <c r="AF2" s="109">
        <v>0.15</v>
      </c>
      <c r="AG2" s="108"/>
      <c r="AH2" s="109">
        <v>0.25</v>
      </c>
      <c r="AI2" s="108"/>
      <c r="AJ2" s="109">
        <v>0.1</v>
      </c>
      <c r="AK2" s="108"/>
    </row>
    <row r="3" spans="1:37" ht="18.600000000000001" thickBot="1" x14ac:dyDescent="0.3">
      <c r="A3" s="48" t="s">
        <v>2</v>
      </c>
      <c r="B3" s="49" t="s">
        <v>3</v>
      </c>
      <c r="C3" s="49" t="s">
        <v>4</v>
      </c>
      <c r="D3" s="204" t="s">
        <v>5</v>
      </c>
      <c r="E3" s="133" t="s">
        <v>96</v>
      </c>
      <c r="F3" s="133" t="s">
        <v>97</v>
      </c>
      <c r="G3" s="133" t="s">
        <v>98</v>
      </c>
      <c r="H3" s="133" t="s">
        <v>99</v>
      </c>
      <c r="I3" s="147" t="s">
        <v>100</v>
      </c>
      <c r="J3" s="134" t="s">
        <v>101</v>
      </c>
      <c r="K3" s="134" t="s">
        <v>102</v>
      </c>
      <c r="L3" s="134" t="s">
        <v>103</v>
      </c>
      <c r="M3" s="134" t="s">
        <v>104</v>
      </c>
      <c r="N3" s="135" t="s">
        <v>100</v>
      </c>
      <c r="O3" s="135" t="s">
        <v>101</v>
      </c>
      <c r="P3" s="135" t="s">
        <v>102</v>
      </c>
      <c r="Q3" s="135" t="s">
        <v>103</v>
      </c>
      <c r="R3" s="135" t="s">
        <v>104</v>
      </c>
      <c r="S3" s="136" t="s">
        <v>100</v>
      </c>
      <c r="T3" s="136" t="s">
        <v>101</v>
      </c>
      <c r="U3" s="136" t="s">
        <v>102</v>
      </c>
      <c r="V3" s="136" t="s">
        <v>103</v>
      </c>
      <c r="W3" s="136" t="s">
        <v>104</v>
      </c>
      <c r="X3" s="137" t="s">
        <v>105</v>
      </c>
      <c r="Y3" s="137" t="s">
        <v>100</v>
      </c>
      <c r="Z3" s="137" t="s">
        <v>101</v>
      </c>
      <c r="AA3" s="137" t="s">
        <v>102</v>
      </c>
      <c r="AB3" s="138" t="s">
        <v>104</v>
      </c>
      <c r="AC3" s="138" t="s">
        <v>106</v>
      </c>
      <c r="AD3" s="138" t="s">
        <v>83</v>
      </c>
      <c r="AE3" s="110" t="s">
        <v>84</v>
      </c>
      <c r="AF3" s="111" t="s">
        <v>85</v>
      </c>
      <c r="AG3" s="110" t="s">
        <v>86</v>
      </c>
      <c r="AH3" s="111" t="s">
        <v>87</v>
      </c>
      <c r="AI3" s="110" t="s">
        <v>88</v>
      </c>
      <c r="AJ3" s="111" t="s">
        <v>89</v>
      </c>
      <c r="AK3" s="110" t="s">
        <v>90</v>
      </c>
    </row>
    <row r="4" spans="1:37" ht="35.4" thickBot="1" x14ac:dyDescent="0.3">
      <c r="A4" s="50" t="s">
        <v>8</v>
      </c>
      <c r="B4" s="51" t="s">
        <v>9</v>
      </c>
      <c r="C4" s="52"/>
      <c r="D4" s="205"/>
      <c r="E4" s="139"/>
      <c r="F4" s="139"/>
      <c r="G4" s="139"/>
      <c r="H4" s="139"/>
      <c r="I4" s="148"/>
      <c r="J4" s="140"/>
      <c r="K4" s="140"/>
      <c r="L4" s="140"/>
      <c r="M4" s="140"/>
      <c r="N4" s="141"/>
      <c r="O4" s="141"/>
      <c r="P4" s="141"/>
      <c r="Q4" s="141"/>
      <c r="R4" s="141"/>
      <c r="S4" s="142"/>
      <c r="T4" s="142"/>
      <c r="U4" s="142"/>
      <c r="V4" s="142"/>
      <c r="W4" s="142"/>
      <c r="X4" s="143"/>
      <c r="Y4" s="143"/>
      <c r="Z4" s="143"/>
      <c r="AA4" s="143"/>
      <c r="AB4" s="144"/>
      <c r="AC4" s="144"/>
      <c r="AD4" s="144"/>
      <c r="AE4" s="112"/>
      <c r="AF4" s="113"/>
      <c r="AG4" s="112"/>
      <c r="AH4" s="113"/>
      <c r="AI4" s="112"/>
      <c r="AJ4" s="113"/>
      <c r="AK4" s="112"/>
    </row>
    <row r="5" spans="1:37" ht="69.599999999999994" x14ac:dyDescent="0.25">
      <c r="A5" s="53"/>
      <c r="B5" s="54" t="s">
        <v>10</v>
      </c>
      <c r="C5" s="55"/>
      <c r="D5" s="206"/>
      <c r="E5" s="124"/>
      <c r="F5" s="124"/>
      <c r="G5" s="124"/>
      <c r="H5" s="124"/>
      <c r="I5" s="148"/>
      <c r="J5" s="140"/>
      <c r="K5" s="140"/>
      <c r="L5" s="140"/>
      <c r="M5" s="140"/>
      <c r="N5" s="141"/>
      <c r="O5" s="141"/>
      <c r="P5" s="141"/>
      <c r="Q5" s="141"/>
      <c r="R5" s="141"/>
      <c r="S5" s="142"/>
      <c r="T5" s="142"/>
      <c r="U5" s="142"/>
      <c r="V5" s="142"/>
      <c r="W5" s="142"/>
      <c r="X5" s="143"/>
      <c r="Y5" s="143"/>
      <c r="Z5" s="143"/>
      <c r="AA5" s="143"/>
      <c r="AB5" s="144"/>
      <c r="AC5" s="144"/>
      <c r="AD5" s="144"/>
      <c r="AE5" s="112"/>
      <c r="AF5" s="113"/>
      <c r="AG5" s="112"/>
      <c r="AH5" s="113"/>
      <c r="AI5" s="112"/>
      <c r="AJ5" s="113"/>
      <c r="AK5" s="112"/>
    </row>
    <row r="6" spans="1:37" ht="87" x14ac:dyDescent="0.25">
      <c r="A6" s="56">
        <v>1.01</v>
      </c>
      <c r="B6" s="57" t="s">
        <v>11</v>
      </c>
      <c r="C6" s="58" t="s">
        <v>12</v>
      </c>
      <c r="D6" s="207">
        <v>1</v>
      </c>
      <c r="E6" s="145" t="s">
        <v>111</v>
      </c>
      <c r="F6" s="145"/>
      <c r="G6" s="145"/>
      <c r="H6" s="145"/>
      <c r="I6" s="148">
        <f t="shared" ref="I6" si="0">F6</f>
        <v>0</v>
      </c>
      <c r="J6" s="140">
        <f>(1114.24/(3*34))*1.14</f>
        <v>12.453270588235293</v>
      </c>
      <c r="K6" s="140">
        <f t="shared" ref="K6" si="1">I6*J6</f>
        <v>0</v>
      </c>
      <c r="L6" s="140">
        <f t="shared" ref="L6:L12" si="2">$J$20*K6</f>
        <v>0</v>
      </c>
      <c r="M6" s="140">
        <f t="shared" ref="M6" si="3">K6+L6</f>
        <v>0</v>
      </c>
      <c r="N6" s="141">
        <f t="shared" ref="N6" si="4">F6</f>
        <v>0</v>
      </c>
      <c r="O6" s="141"/>
      <c r="P6" s="141">
        <f t="shared" ref="P6" si="5">O6*N6</f>
        <v>0</v>
      </c>
      <c r="Q6" s="141">
        <f t="shared" ref="Q6:Q12" si="6">$J$21*P6</f>
        <v>0</v>
      </c>
      <c r="R6" s="141">
        <f t="shared" ref="R6" si="7">Q6+P6</f>
        <v>0</v>
      </c>
      <c r="S6" s="142">
        <f t="shared" ref="S6" si="8">G6</f>
        <v>0</v>
      </c>
      <c r="T6" s="142">
        <f>(350/30)*1.14</f>
        <v>13.299999999999999</v>
      </c>
      <c r="U6" s="142">
        <f t="shared" ref="U6" si="9">S6*T6</f>
        <v>0</v>
      </c>
      <c r="V6" s="142">
        <f t="shared" ref="V6:V12" si="10">$J$20*U6</f>
        <v>0</v>
      </c>
      <c r="W6" s="142">
        <f t="shared" ref="W6" si="11">V6+U6</f>
        <v>0</v>
      </c>
      <c r="X6" s="183"/>
      <c r="Y6" s="143">
        <f>3*H6</f>
        <v>0</v>
      </c>
      <c r="Z6" s="183"/>
      <c r="AA6" s="143">
        <f t="shared" ref="AA6:AA12" si="12">Y6+(Z6*$J$22)</f>
        <v>0</v>
      </c>
      <c r="AB6" s="144">
        <f t="shared" ref="AB6" si="13">AA6+W6+R6+M6</f>
        <v>0</v>
      </c>
      <c r="AC6" s="144">
        <f t="shared" ref="AC6" si="14">0.05*AB6</f>
        <v>0</v>
      </c>
      <c r="AD6" s="144">
        <f t="shared" ref="AD6" si="15">(5*Y6)+(10*(S6+I6))+(30*N6)</f>
        <v>0</v>
      </c>
      <c r="AE6" s="112">
        <f t="shared" ref="AE6" si="16">AD6+AC6+AB6</f>
        <v>0</v>
      </c>
      <c r="AF6" s="113">
        <f t="shared" ref="AF6" si="17">$AF$2*AE6</f>
        <v>0</v>
      </c>
      <c r="AG6" s="112">
        <f t="shared" ref="AG6" si="18">AE6+AF6</f>
        <v>0</v>
      </c>
      <c r="AH6" s="113">
        <f t="shared" ref="AH6" si="19">$AH$2*AG6</f>
        <v>0</v>
      </c>
      <c r="AI6" s="112">
        <f t="shared" ref="AI6" si="20">AG6+AH6</f>
        <v>0</v>
      </c>
      <c r="AJ6" s="113">
        <f t="shared" ref="AJ6" si="21">$AJ$2*AI6</f>
        <v>0</v>
      </c>
      <c r="AK6" s="112">
        <f t="shared" ref="AK6" si="22">AI6+AJ6</f>
        <v>0</v>
      </c>
    </row>
    <row r="7" spans="1:37" ht="18" x14ac:dyDescent="0.25">
      <c r="A7" s="56">
        <v>1.02</v>
      </c>
      <c r="B7" s="59" t="s">
        <v>13</v>
      </c>
      <c r="C7" s="58" t="s">
        <v>12</v>
      </c>
      <c r="D7" s="207">
        <f>'ELV Works'!D7</f>
        <v>113</v>
      </c>
      <c r="E7" s="58" t="s">
        <v>112</v>
      </c>
      <c r="F7" s="58">
        <f>F.A!B27</f>
        <v>3.8747899159663866</v>
      </c>
      <c r="G7" s="58">
        <f>F.A!B29</f>
        <v>1.2000000000000002</v>
      </c>
      <c r="H7" s="58">
        <f>F.A!B31</f>
        <v>5.0747899159663872</v>
      </c>
      <c r="I7" s="148">
        <f t="shared" ref="I7" si="23">F7</f>
        <v>3.8747899159663866</v>
      </c>
      <c r="J7" s="140"/>
      <c r="K7" s="140">
        <f t="shared" ref="K7" si="24">I7*J7</f>
        <v>0</v>
      </c>
      <c r="L7" s="140">
        <f t="shared" si="2"/>
        <v>0</v>
      </c>
      <c r="M7" s="140">
        <f t="shared" ref="M7" si="25">K7+L7</f>
        <v>0</v>
      </c>
      <c r="N7" s="141">
        <f t="shared" ref="N7" si="26">F7</f>
        <v>3.8747899159663866</v>
      </c>
      <c r="O7" s="141">
        <f>133*1.14</f>
        <v>151.61999999999998</v>
      </c>
      <c r="P7" s="141">
        <f t="shared" ref="P7" si="27">O7*N7</f>
        <v>587.49564705882347</v>
      </c>
      <c r="Q7" s="141">
        <f t="shared" si="6"/>
        <v>7316.2422622339091</v>
      </c>
      <c r="R7" s="141">
        <f t="shared" ref="R7" si="28">Q7+P7</f>
        <v>7903.7379092927322</v>
      </c>
      <c r="S7" s="142">
        <f t="shared" ref="S7" si="29">G7</f>
        <v>1.2000000000000002</v>
      </c>
      <c r="T7" s="142">
        <f>(850/30)*1.14</f>
        <v>32.299999999999997</v>
      </c>
      <c r="U7" s="142">
        <f t="shared" ref="U7" si="30">S7*T7</f>
        <v>38.760000000000005</v>
      </c>
      <c r="V7" s="142">
        <f t="shared" si="10"/>
        <v>482.68876800000004</v>
      </c>
      <c r="W7" s="142">
        <f t="shared" ref="W7" si="31">V7+U7</f>
        <v>521.44876800000009</v>
      </c>
      <c r="X7" s="143" t="s">
        <v>114</v>
      </c>
      <c r="Y7" s="143">
        <f>3*H7</f>
        <v>15.224369747899161</v>
      </c>
      <c r="Z7" s="143">
        <f>41*1.14</f>
        <v>46.739999999999995</v>
      </c>
      <c r="AA7" s="143">
        <f t="shared" si="12"/>
        <v>15.224369747899161</v>
      </c>
      <c r="AB7" s="144">
        <f t="shared" ref="AB7" si="32">AA7+W7+R7+M7</f>
        <v>8440.4110470406322</v>
      </c>
      <c r="AC7" s="144">
        <f t="shared" ref="AC7" si="33">0.05*AB7</f>
        <v>422.02055235203164</v>
      </c>
      <c r="AD7" s="144">
        <f t="shared" ref="AD7" si="34">(5*Y7)+(10*(S7+I7))+(30*N7)</f>
        <v>243.11344537815125</v>
      </c>
      <c r="AE7" s="112">
        <f t="shared" ref="AE7" si="35">AD7+AC7+AB7</f>
        <v>9105.5450447708154</v>
      </c>
      <c r="AF7" s="113">
        <f t="shared" ref="AF7" si="36">$AF$2*AE7</f>
        <v>1365.8317567156223</v>
      </c>
      <c r="AG7" s="112">
        <f t="shared" ref="AG7" si="37">AE7+AF7</f>
        <v>10471.376801486438</v>
      </c>
      <c r="AH7" s="113">
        <f t="shared" ref="AH7" si="38">$AH$2*AG7</f>
        <v>2617.8442003716095</v>
      </c>
      <c r="AI7" s="112">
        <f t="shared" ref="AI7" si="39">AG7+AH7</f>
        <v>13089.221001858048</v>
      </c>
      <c r="AJ7" s="113">
        <f t="shared" ref="AJ7" si="40">$AJ$2*AI7</f>
        <v>1308.922100185805</v>
      </c>
      <c r="AK7" s="112">
        <f t="shared" ref="AK7" si="41">AI7+AJ7</f>
        <v>14398.143102043854</v>
      </c>
    </row>
    <row r="8" spans="1:37" ht="18" x14ac:dyDescent="0.25">
      <c r="A8" s="56">
        <v>1.03</v>
      </c>
      <c r="B8" s="59" t="s">
        <v>14</v>
      </c>
      <c r="C8" s="58" t="s">
        <v>12</v>
      </c>
      <c r="D8" s="207">
        <f>'ELV Works'!D8</f>
        <v>1</v>
      </c>
      <c r="E8" s="58" t="s">
        <v>112</v>
      </c>
      <c r="F8" s="58">
        <v>9.0477272729999996</v>
      </c>
      <c r="G8" s="58">
        <v>0.42272727300000001</v>
      </c>
      <c r="H8" s="58">
        <v>9.4704545450000008</v>
      </c>
      <c r="I8" s="148">
        <f t="shared" ref="I8:I28" si="42">F8</f>
        <v>9.0477272729999996</v>
      </c>
      <c r="J8" s="140"/>
      <c r="K8" s="140">
        <f t="shared" ref="K8:K28" si="43">I8*J8</f>
        <v>0</v>
      </c>
      <c r="L8" s="140">
        <f t="shared" si="2"/>
        <v>0</v>
      </c>
      <c r="M8" s="140">
        <f t="shared" ref="M8:M28" si="44">K8+L8</f>
        <v>0</v>
      </c>
      <c r="N8" s="141">
        <f t="shared" ref="N8:N28" si="45">F8</f>
        <v>9.0477272729999996</v>
      </c>
      <c r="O8" s="141">
        <f t="shared" ref="O8:O12" si="46">133*1.14</f>
        <v>151.61999999999998</v>
      </c>
      <c r="P8" s="141">
        <f t="shared" ref="P8:P28" si="47">O8*N8</f>
        <v>1371.8164091322597</v>
      </c>
      <c r="Q8" s="141">
        <f t="shared" si="6"/>
        <v>17083.600940305321</v>
      </c>
      <c r="R8" s="141">
        <f t="shared" ref="R8:R28" si="48">Q8+P8</f>
        <v>18455.417349437579</v>
      </c>
      <c r="S8" s="142">
        <f t="shared" ref="S8:S28" si="49">G8</f>
        <v>0.42272727300000001</v>
      </c>
      <c r="T8" s="142">
        <f t="shared" ref="T8:T12" si="50">(850/30)*1.14</f>
        <v>32.299999999999997</v>
      </c>
      <c r="U8" s="142">
        <f t="shared" ref="U8:U28" si="51">S8*T8</f>
        <v>13.6540909179</v>
      </c>
      <c r="V8" s="142">
        <f t="shared" si="10"/>
        <v>170.03808883697471</v>
      </c>
      <c r="W8" s="142">
        <f t="shared" ref="W8:W28" si="52">V8+U8</f>
        <v>183.6921797548747</v>
      </c>
      <c r="X8" s="143" t="s">
        <v>114</v>
      </c>
      <c r="Y8" s="143">
        <f t="shared" ref="Y8:Y28" si="53">3*H8</f>
        <v>28.411363635000001</v>
      </c>
      <c r="Z8" s="143">
        <f t="shared" ref="Z8:Z12" si="54">41*1.14</f>
        <v>46.739999999999995</v>
      </c>
      <c r="AA8" s="143">
        <f t="shared" si="12"/>
        <v>28.411363635000001</v>
      </c>
      <c r="AB8" s="144">
        <f t="shared" ref="AB8:AB28" si="55">AA8+W8+R8+M8</f>
        <v>18667.520892827455</v>
      </c>
      <c r="AC8" s="144">
        <f t="shared" ref="AC8:AC28" si="56">0.05*AB8</f>
        <v>933.3760446413728</v>
      </c>
      <c r="AD8" s="144">
        <f t="shared" ref="AD8:AD28" si="57">(5*Y8)+(10*(S8+I8))+(30*N8)</f>
        <v>508.19318182500001</v>
      </c>
      <c r="AE8" s="112">
        <f t="shared" ref="AE8:AE28" si="58">AD8+AC8+AB8</f>
        <v>20109.090119293829</v>
      </c>
      <c r="AF8" s="113">
        <f t="shared" ref="AF8:AF28" si="59">$AF$2*AE8</f>
        <v>3016.3635178940744</v>
      </c>
      <c r="AG8" s="112">
        <f t="shared" ref="AG8:AG28" si="60">AE8+AF8</f>
        <v>23125.453637187904</v>
      </c>
      <c r="AH8" s="113">
        <f t="shared" ref="AH8:AH28" si="61">$AH$2*AG8</f>
        <v>5781.363409296976</v>
      </c>
      <c r="AI8" s="112">
        <f t="shared" ref="AI8:AI28" si="62">AG8+AH8</f>
        <v>28906.817046484881</v>
      </c>
      <c r="AJ8" s="113">
        <f t="shared" ref="AJ8:AJ28" si="63">$AJ$2*AI8</f>
        <v>2890.6817046484884</v>
      </c>
      <c r="AK8" s="112">
        <f t="shared" ref="AK8:AK28" si="64">AI8+AJ8</f>
        <v>31797.498751133367</v>
      </c>
    </row>
    <row r="9" spans="1:37" ht="18" x14ac:dyDescent="0.25">
      <c r="A9" s="56">
        <v>1.07</v>
      </c>
      <c r="B9" s="59" t="s">
        <v>15</v>
      </c>
      <c r="C9" s="58" t="s">
        <v>12</v>
      </c>
      <c r="D9" s="207">
        <f>'ELV Works'!D9</f>
        <v>51</v>
      </c>
      <c r="E9" s="58" t="s">
        <v>112</v>
      </c>
      <c r="F9" s="124">
        <f>29.5</f>
        <v>29.5</v>
      </c>
      <c r="G9" s="124">
        <v>0</v>
      </c>
      <c r="H9" s="124">
        <v>29.5</v>
      </c>
      <c r="I9" s="148">
        <f t="shared" si="42"/>
        <v>29.5</v>
      </c>
      <c r="J9" s="140"/>
      <c r="K9" s="140">
        <f t="shared" si="43"/>
        <v>0</v>
      </c>
      <c r="L9" s="140">
        <f t="shared" si="2"/>
        <v>0</v>
      </c>
      <c r="M9" s="140">
        <f t="shared" si="44"/>
        <v>0</v>
      </c>
      <c r="N9" s="141">
        <f t="shared" si="45"/>
        <v>29.5</v>
      </c>
      <c r="O9" s="141">
        <f t="shared" si="46"/>
        <v>151.61999999999998</v>
      </c>
      <c r="P9" s="141">
        <f t="shared" si="47"/>
        <v>4472.7899999999991</v>
      </c>
      <c r="Q9" s="141">
        <f t="shared" si="6"/>
        <v>55700.864154352923</v>
      </c>
      <c r="R9" s="141">
        <f t="shared" si="48"/>
        <v>60173.654154352924</v>
      </c>
      <c r="S9" s="142">
        <f t="shared" si="49"/>
        <v>0</v>
      </c>
      <c r="T9" s="142">
        <f t="shared" si="50"/>
        <v>32.299999999999997</v>
      </c>
      <c r="U9" s="142">
        <f t="shared" si="51"/>
        <v>0</v>
      </c>
      <c r="V9" s="142">
        <f t="shared" si="10"/>
        <v>0</v>
      </c>
      <c r="W9" s="142">
        <f t="shared" si="52"/>
        <v>0</v>
      </c>
      <c r="X9" s="143" t="s">
        <v>114</v>
      </c>
      <c r="Y9" s="143">
        <f t="shared" si="53"/>
        <v>88.5</v>
      </c>
      <c r="Z9" s="143">
        <f t="shared" si="54"/>
        <v>46.739999999999995</v>
      </c>
      <c r="AA9" s="143">
        <f t="shared" si="12"/>
        <v>88.5</v>
      </c>
      <c r="AB9" s="144">
        <f t="shared" si="55"/>
        <v>60262.154154352924</v>
      </c>
      <c r="AC9" s="144">
        <f t="shared" si="56"/>
        <v>3013.1077077176465</v>
      </c>
      <c r="AD9" s="144">
        <f t="shared" si="57"/>
        <v>1622.5</v>
      </c>
      <c r="AE9" s="112">
        <f t="shared" si="58"/>
        <v>64897.761862070569</v>
      </c>
      <c r="AF9" s="113">
        <f t="shared" si="59"/>
        <v>9734.6642793105857</v>
      </c>
      <c r="AG9" s="112">
        <f t="shared" si="60"/>
        <v>74632.426141381147</v>
      </c>
      <c r="AH9" s="113">
        <f t="shared" si="61"/>
        <v>18658.106535345287</v>
      </c>
      <c r="AI9" s="112">
        <f t="shared" si="62"/>
        <v>93290.532676726434</v>
      </c>
      <c r="AJ9" s="113">
        <f t="shared" si="63"/>
        <v>9329.0532676726434</v>
      </c>
      <c r="AK9" s="112">
        <f t="shared" si="64"/>
        <v>102619.58594439908</v>
      </c>
    </row>
    <row r="10" spans="1:37" ht="18" x14ac:dyDescent="0.25">
      <c r="A10" s="56">
        <v>1.08</v>
      </c>
      <c r="B10" s="59" t="s">
        <v>16</v>
      </c>
      <c r="C10" s="58" t="s">
        <v>12</v>
      </c>
      <c r="D10" s="207">
        <f>'ELV Works'!D10</f>
        <v>1</v>
      </c>
      <c r="E10" s="58" t="s">
        <v>112</v>
      </c>
      <c r="F10" s="124">
        <f t="shared" ref="F10:F12" si="65">29.5</f>
        <v>29.5</v>
      </c>
      <c r="G10" s="124">
        <v>0</v>
      </c>
      <c r="H10" s="124">
        <v>29.5</v>
      </c>
      <c r="I10" s="148">
        <f t="shared" si="42"/>
        <v>29.5</v>
      </c>
      <c r="J10" s="140"/>
      <c r="K10" s="140">
        <f t="shared" si="43"/>
        <v>0</v>
      </c>
      <c r="L10" s="140">
        <f t="shared" si="2"/>
        <v>0</v>
      </c>
      <c r="M10" s="140">
        <f t="shared" si="44"/>
        <v>0</v>
      </c>
      <c r="N10" s="141">
        <f t="shared" si="45"/>
        <v>29.5</v>
      </c>
      <c r="O10" s="141">
        <f t="shared" si="46"/>
        <v>151.61999999999998</v>
      </c>
      <c r="P10" s="141">
        <f t="shared" si="47"/>
        <v>4472.7899999999991</v>
      </c>
      <c r="Q10" s="141">
        <f t="shared" si="6"/>
        <v>55700.864154352923</v>
      </c>
      <c r="R10" s="141">
        <f t="shared" si="48"/>
        <v>60173.654154352924</v>
      </c>
      <c r="S10" s="142">
        <f t="shared" si="49"/>
        <v>0</v>
      </c>
      <c r="T10" s="142">
        <f t="shared" si="50"/>
        <v>32.299999999999997</v>
      </c>
      <c r="U10" s="142">
        <f t="shared" si="51"/>
        <v>0</v>
      </c>
      <c r="V10" s="142">
        <f t="shared" si="10"/>
        <v>0</v>
      </c>
      <c r="W10" s="142">
        <f t="shared" si="52"/>
        <v>0</v>
      </c>
      <c r="X10" s="143" t="s">
        <v>114</v>
      </c>
      <c r="Y10" s="143">
        <f t="shared" si="53"/>
        <v>88.5</v>
      </c>
      <c r="Z10" s="143">
        <f t="shared" si="54"/>
        <v>46.739999999999995</v>
      </c>
      <c r="AA10" s="143">
        <f t="shared" si="12"/>
        <v>88.5</v>
      </c>
      <c r="AB10" s="144">
        <f t="shared" si="55"/>
        <v>60262.154154352924</v>
      </c>
      <c r="AC10" s="144">
        <f t="shared" si="56"/>
        <v>3013.1077077176465</v>
      </c>
      <c r="AD10" s="144">
        <f t="shared" si="57"/>
        <v>1622.5</v>
      </c>
      <c r="AE10" s="112">
        <f t="shared" si="58"/>
        <v>64897.761862070569</v>
      </c>
      <c r="AF10" s="113">
        <f t="shared" si="59"/>
        <v>9734.6642793105857</v>
      </c>
      <c r="AG10" s="112">
        <f t="shared" si="60"/>
        <v>74632.426141381147</v>
      </c>
      <c r="AH10" s="113">
        <f t="shared" si="61"/>
        <v>18658.106535345287</v>
      </c>
      <c r="AI10" s="112">
        <f t="shared" si="62"/>
        <v>93290.532676726434</v>
      </c>
      <c r="AJ10" s="113">
        <f t="shared" si="63"/>
        <v>9329.0532676726434</v>
      </c>
      <c r="AK10" s="112">
        <f t="shared" si="64"/>
        <v>102619.58594439908</v>
      </c>
    </row>
    <row r="11" spans="1:37" ht="18" x14ac:dyDescent="0.25">
      <c r="A11" s="56">
        <v>1.0900000000000001</v>
      </c>
      <c r="B11" s="59" t="s">
        <v>17</v>
      </c>
      <c r="C11" s="58" t="s">
        <v>12</v>
      </c>
      <c r="D11" s="207">
        <f>'ELV Works'!D11</f>
        <v>20</v>
      </c>
      <c r="E11" s="58" t="s">
        <v>112</v>
      </c>
      <c r="F11" s="124">
        <f t="shared" si="65"/>
        <v>29.5</v>
      </c>
      <c r="G11" s="124">
        <v>0</v>
      </c>
      <c r="H11" s="124">
        <v>29.5</v>
      </c>
      <c r="I11" s="148">
        <f t="shared" si="42"/>
        <v>29.5</v>
      </c>
      <c r="J11" s="140"/>
      <c r="K11" s="140">
        <f t="shared" si="43"/>
        <v>0</v>
      </c>
      <c r="L11" s="140">
        <f t="shared" si="2"/>
        <v>0</v>
      </c>
      <c r="M11" s="140">
        <f t="shared" si="44"/>
        <v>0</v>
      </c>
      <c r="N11" s="141">
        <f t="shared" si="45"/>
        <v>29.5</v>
      </c>
      <c r="O11" s="141">
        <f t="shared" si="46"/>
        <v>151.61999999999998</v>
      </c>
      <c r="P11" s="141">
        <f t="shared" si="47"/>
        <v>4472.7899999999991</v>
      </c>
      <c r="Q11" s="141">
        <f t="shared" si="6"/>
        <v>55700.864154352923</v>
      </c>
      <c r="R11" s="141">
        <f t="shared" si="48"/>
        <v>60173.654154352924</v>
      </c>
      <c r="S11" s="142">
        <f t="shared" si="49"/>
        <v>0</v>
      </c>
      <c r="T11" s="142">
        <f t="shared" si="50"/>
        <v>32.299999999999997</v>
      </c>
      <c r="U11" s="142">
        <f t="shared" si="51"/>
        <v>0</v>
      </c>
      <c r="V11" s="142">
        <f t="shared" si="10"/>
        <v>0</v>
      </c>
      <c r="W11" s="142">
        <f t="shared" si="52"/>
        <v>0</v>
      </c>
      <c r="X11" s="143" t="s">
        <v>114</v>
      </c>
      <c r="Y11" s="143">
        <f t="shared" si="53"/>
        <v>88.5</v>
      </c>
      <c r="Z11" s="143">
        <f t="shared" si="54"/>
        <v>46.739999999999995</v>
      </c>
      <c r="AA11" s="143">
        <f t="shared" si="12"/>
        <v>88.5</v>
      </c>
      <c r="AB11" s="144">
        <f t="shared" si="55"/>
        <v>60262.154154352924</v>
      </c>
      <c r="AC11" s="144">
        <f t="shared" si="56"/>
        <v>3013.1077077176465</v>
      </c>
      <c r="AD11" s="144">
        <f t="shared" si="57"/>
        <v>1622.5</v>
      </c>
      <c r="AE11" s="112">
        <f t="shared" si="58"/>
        <v>64897.761862070569</v>
      </c>
      <c r="AF11" s="113">
        <f t="shared" si="59"/>
        <v>9734.6642793105857</v>
      </c>
      <c r="AG11" s="112">
        <f t="shared" si="60"/>
        <v>74632.426141381147</v>
      </c>
      <c r="AH11" s="113">
        <f t="shared" si="61"/>
        <v>18658.106535345287</v>
      </c>
      <c r="AI11" s="112">
        <f t="shared" si="62"/>
        <v>93290.532676726434</v>
      </c>
      <c r="AJ11" s="113">
        <f t="shared" si="63"/>
        <v>9329.0532676726434</v>
      </c>
      <c r="AK11" s="112">
        <f t="shared" si="64"/>
        <v>102619.58594439908</v>
      </c>
    </row>
    <row r="12" spans="1:37" ht="18.600000000000001" thickBot="1" x14ac:dyDescent="0.3">
      <c r="A12" s="84">
        <v>1.1000000000000001</v>
      </c>
      <c r="B12" s="85" t="s">
        <v>18</v>
      </c>
      <c r="C12" s="86" t="s">
        <v>12</v>
      </c>
      <c r="D12" s="207">
        <f>'ELV Works'!D12</f>
        <v>11</v>
      </c>
      <c r="E12" s="58" t="s">
        <v>112</v>
      </c>
      <c r="F12" s="124">
        <f t="shared" si="65"/>
        <v>29.5</v>
      </c>
      <c r="G12" s="124">
        <v>0</v>
      </c>
      <c r="H12" s="124">
        <v>29.5</v>
      </c>
      <c r="I12" s="148">
        <f t="shared" si="42"/>
        <v>29.5</v>
      </c>
      <c r="J12" s="140"/>
      <c r="K12" s="140">
        <f t="shared" si="43"/>
        <v>0</v>
      </c>
      <c r="L12" s="140">
        <f t="shared" si="2"/>
        <v>0</v>
      </c>
      <c r="M12" s="140">
        <f t="shared" si="44"/>
        <v>0</v>
      </c>
      <c r="N12" s="141">
        <f t="shared" si="45"/>
        <v>29.5</v>
      </c>
      <c r="O12" s="141">
        <f t="shared" si="46"/>
        <v>151.61999999999998</v>
      </c>
      <c r="P12" s="141">
        <f t="shared" si="47"/>
        <v>4472.7899999999991</v>
      </c>
      <c r="Q12" s="141">
        <f t="shared" si="6"/>
        <v>55700.864154352923</v>
      </c>
      <c r="R12" s="141">
        <f t="shared" si="48"/>
        <v>60173.654154352924</v>
      </c>
      <c r="S12" s="142">
        <f t="shared" si="49"/>
        <v>0</v>
      </c>
      <c r="T12" s="142">
        <f t="shared" si="50"/>
        <v>32.299999999999997</v>
      </c>
      <c r="U12" s="142">
        <f t="shared" si="51"/>
        <v>0</v>
      </c>
      <c r="V12" s="142">
        <f t="shared" si="10"/>
        <v>0</v>
      </c>
      <c r="W12" s="142">
        <f t="shared" si="52"/>
        <v>0</v>
      </c>
      <c r="X12" s="143" t="s">
        <v>114</v>
      </c>
      <c r="Y12" s="143">
        <f t="shared" si="53"/>
        <v>88.5</v>
      </c>
      <c r="Z12" s="143">
        <f t="shared" si="54"/>
        <v>46.739999999999995</v>
      </c>
      <c r="AA12" s="143">
        <f t="shared" si="12"/>
        <v>88.5</v>
      </c>
      <c r="AB12" s="144">
        <f t="shared" si="55"/>
        <v>60262.154154352924</v>
      </c>
      <c r="AC12" s="144">
        <f t="shared" si="56"/>
        <v>3013.1077077176465</v>
      </c>
      <c r="AD12" s="144">
        <f t="shared" si="57"/>
        <v>1622.5</v>
      </c>
      <c r="AE12" s="112">
        <f t="shared" si="58"/>
        <v>64897.761862070569</v>
      </c>
      <c r="AF12" s="113">
        <f t="shared" si="59"/>
        <v>9734.6642793105857</v>
      </c>
      <c r="AG12" s="112">
        <f t="shared" si="60"/>
        <v>74632.426141381147</v>
      </c>
      <c r="AH12" s="113">
        <f t="shared" si="61"/>
        <v>18658.106535345287</v>
      </c>
      <c r="AI12" s="112">
        <f t="shared" si="62"/>
        <v>93290.532676726434</v>
      </c>
      <c r="AJ12" s="113">
        <f t="shared" si="63"/>
        <v>9329.0532676726434</v>
      </c>
      <c r="AK12" s="112">
        <f t="shared" si="64"/>
        <v>102619.58594439908</v>
      </c>
    </row>
    <row r="13" spans="1:37" ht="35.4" thickBot="1" x14ac:dyDescent="0.3">
      <c r="A13" s="60" t="s">
        <v>20</v>
      </c>
      <c r="B13" s="61" t="s">
        <v>21</v>
      </c>
      <c r="C13" s="62"/>
      <c r="D13" s="208"/>
      <c r="E13" s="58"/>
      <c r="F13" s="58"/>
      <c r="G13" s="58"/>
      <c r="H13" s="58"/>
      <c r="I13" s="148"/>
      <c r="J13" s="140"/>
      <c r="K13" s="140"/>
      <c r="L13" s="140"/>
      <c r="M13" s="140"/>
      <c r="N13" s="141"/>
      <c r="O13" s="141"/>
      <c r="P13" s="141"/>
      <c r="Q13" s="141"/>
      <c r="R13" s="141"/>
      <c r="S13" s="142"/>
      <c r="T13" s="142"/>
      <c r="U13" s="142"/>
      <c r="V13" s="142"/>
      <c r="W13" s="142"/>
      <c r="X13" s="143"/>
      <c r="Y13" s="143"/>
      <c r="Z13" s="143"/>
      <c r="AA13" s="143"/>
      <c r="AB13" s="144"/>
      <c r="AC13" s="144"/>
      <c r="AD13" s="144"/>
      <c r="AE13" s="112"/>
      <c r="AF13" s="113"/>
      <c r="AG13" s="112"/>
      <c r="AH13" s="113"/>
      <c r="AI13" s="112"/>
      <c r="AJ13" s="113"/>
      <c r="AK13" s="112"/>
    </row>
    <row r="14" spans="1:37" ht="69.599999999999994" x14ac:dyDescent="0.25">
      <c r="A14" s="63"/>
      <c r="B14" s="64" t="s">
        <v>22</v>
      </c>
      <c r="C14" s="65"/>
      <c r="D14" s="209"/>
      <c r="E14" s="58"/>
      <c r="F14" s="58"/>
      <c r="G14" s="58"/>
      <c r="H14" s="58"/>
      <c r="I14" s="148"/>
      <c r="J14" s="140"/>
      <c r="K14" s="140"/>
      <c r="L14" s="140"/>
      <c r="M14" s="140"/>
      <c r="N14" s="141"/>
      <c r="O14" s="141"/>
      <c r="P14" s="141"/>
      <c r="Q14" s="141"/>
      <c r="R14" s="141"/>
      <c r="S14" s="142"/>
      <c r="T14" s="142"/>
      <c r="U14" s="142"/>
      <c r="V14" s="142"/>
      <c r="W14" s="142"/>
      <c r="X14" s="143"/>
      <c r="Y14" s="143"/>
      <c r="Z14" s="143"/>
      <c r="AA14" s="143"/>
      <c r="AB14" s="144"/>
      <c r="AC14" s="144"/>
      <c r="AD14" s="144"/>
      <c r="AE14" s="112"/>
      <c r="AF14" s="113"/>
      <c r="AG14" s="112"/>
      <c r="AH14" s="113"/>
      <c r="AI14" s="112"/>
      <c r="AJ14" s="113"/>
      <c r="AK14" s="112"/>
    </row>
    <row r="15" spans="1:37" ht="18" x14ac:dyDescent="0.25">
      <c r="A15" s="92" t="s">
        <v>29</v>
      </c>
      <c r="B15" s="87" t="s">
        <v>30</v>
      </c>
      <c r="C15" s="86" t="s">
        <v>12</v>
      </c>
      <c r="D15" s="207">
        <f>'ELV Works'!D19</f>
        <v>22</v>
      </c>
      <c r="E15" s="58" t="s">
        <v>113</v>
      </c>
      <c r="F15" s="275">
        <f>'LC-AVG-L'!E30</f>
        <v>109.2</v>
      </c>
      <c r="G15" s="275">
        <f>'LC-AVG-L'!F30</f>
        <v>0</v>
      </c>
      <c r="H15" s="275">
        <f>'LC-AVG-L'!E32</f>
        <v>119.69999999999999</v>
      </c>
      <c r="I15" s="148">
        <f t="shared" si="42"/>
        <v>109.2</v>
      </c>
      <c r="J15" s="140">
        <f>(1114.24/(3*34))*1.14</f>
        <v>12.453270588235293</v>
      </c>
      <c r="K15" s="140">
        <f t="shared" si="43"/>
        <v>1359.897148235294</v>
      </c>
      <c r="L15" s="140">
        <f>$J$20*K15</f>
        <v>16935.167159143639</v>
      </c>
      <c r="M15" s="140">
        <f t="shared" si="44"/>
        <v>18295.064307378932</v>
      </c>
      <c r="N15" s="141">
        <f t="shared" si="45"/>
        <v>109.2</v>
      </c>
      <c r="O15" s="141"/>
      <c r="P15" s="141">
        <f t="shared" si="47"/>
        <v>0</v>
      </c>
      <c r="Q15" s="141">
        <f>$J$21*P15</f>
        <v>0</v>
      </c>
      <c r="R15" s="141">
        <f t="shared" si="48"/>
        <v>0</v>
      </c>
      <c r="S15" s="142">
        <f t="shared" si="49"/>
        <v>0</v>
      </c>
      <c r="T15" s="142">
        <f>(350/30)*1.14</f>
        <v>13.299999999999999</v>
      </c>
      <c r="U15" s="142">
        <f t="shared" si="51"/>
        <v>0</v>
      </c>
      <c r="V15" s="142">
        <f>$J$20*U15</f>
        <v>0</v>
      </c>
      <c r="W15" s="142">
        <f t="shared" si="52"/>
        <v>0</v>
      </c>
      <c r="X15" s="143" t="s">
        <v>108</v>
      </c>
      <c r="Y15" s="143">
        <f t="shared" si="53"/>
        <v>359.09999999999997</v>
      </c>
      <c r="Z15" s="143">
        <f>30*1.14</f>
        <v>34.199999999999996</v>
      </c>
      <c r="AA15" s="143">
        <f>Y15+(Z15*$J$22)</f>
        <v>359.09999999999997</v>
      </c>
      <c r="AB15" s="144">
        <f t="shared" si="55"/>
        <v>18654.164307378931</v>
      </c>
      <c r="AC15" s="144">
        <f t="shared" si="56"/>
        <v>932.70821536894664</v>
      </c>
      <c r="AD15" s="144">
        <f t="shared" si="57"/>
        <v>6163.5</v>
      </c>
      <c r="AE15" s="112">
        <f t="shared" si="58"/>
        <v>25750.372522747879</v>
      </c>
      <c r="AF15" s="113">
        <f t="shared" si="59"/>
        <v>3862.5558784121818</v>
      </c>
      <c r="AG15" s="112">
        <f t="shared" si="60"/>
        <v>29612.928401160061</v>
      </c>
      <c r="AH15" s="113">
        <f t="shared" si="61"/>
        <v>7403.2321002900153</v>
      </c>
      <c r="AI15" s="112">
        <f t="shared" si="62"/>
        <v>37016.160501450075</v>
      </c>
      <c r="AJ15" s="113">
        <f t="shared" si="63"/>
        <v>3701.6160501450076</v>
      </c>
      <c r="AK15" s="112">
        <f t="shared" si="64"/>
        <v>40717.776551595081</v>
      </c>
    </row>
    <row r="16" spans="1:37" ht="18.600000000000001" thickBot="1" x14ac:dyDescent="0.3">
      <c r="A16" s="92" t="s">
        <v>31</v>
      </c>
      <c r="B16" s="88" t="s">
        <v>32</v>
      </c>
      <c r="C16" s="86" t="s">
        <v>12</v>
      </c>
      <c r="D16" s="207">
        <f>'ELV Works'!D20</f>
        <v>9</v>
      </c>
      <c r="E16" s="58" t="s">
        <v>113</v>
      </c>
      <c r="F16" s="276"/>
      <c r="G16" s="276"/>
      <c r="H16" s="276"/>
      <c r="I16" s="148">
        <f t="shared" si="42"/>
        <v>0</v>
      </c>
      <c r="J16" s="140">
        <f t="shared" ref="J16" si="66">(1114.24/(3*34))*1.14</f>
        <v>12.453270588235293</v>
      </c>
      <c r="K16" s="140">
        <f t="shared" si="43"/>
        <v>0</v>
      </c>
      <c r="L16" s="140">
        <f>$J$20*K16</f>
        <v>0</v>
      </c>
      <c r="M16" s="140">
        <f t="shared" si="44"/>
        <v>0</v>
      </c>
      <c r="N16" s="141">
        <f t="shared" si="45"/>
        <v>0</v>
      </c>
      <c r="O16" s="141"/>
      <c r="P16" s="141">
        <f t="shared" si="47"/>
        <v>0</v>
      </c>
      <c r="Q16" s="141">
        <f>$J$21*P16</f>
        <v>0</v>
      </c>
      <c r="R16" s="141">
        <f t="shared" si="48"/>
        <v>0</v>
      </c>
      <c r="S16" s="142">
        <f t="shared" si="49"/>
        <v>0</v>
      </c>
      <c r="T16" s="142">
        <f t="shared" ref="T16" si="67">(350/30)*1.14</f>
        <v>13.299999999999999</v>
      </c>
      <c r="U16" s="142">
        <f t="shared" si="51"/>
        <v>0</v>
      </c>
      <c r="V16" s="142">
        <f>$J$20*U16</f>
        <v>0</v>
      </c>
      <c r="W16" s="142">
        <f t="shared" si="52"/>
        <v>0</v>
      </c>
      <c r="X16" s="143" t="s">
        <v>108</v>
      </c>
      <c r="Y16" s="143">
        <f t="shared" si="53"/>
        <v>0</v>
      </c>
      <c r="Z16" s="143">
        <f t="shared" ref="Z16" si="68">30*1.14</f>
        <v>34.199999999999996</v>
      </c>
      <c r="AA16" s="143">
        <f>Y16+(Z16*$J$22)</f>
        <v>0</v>
      </c>
      <c r="AB16" s="144">
        <f t="shared" si="55"/>
        <v>0</v>
      </c>
      <c r="AC16" s="144">
        <f t="shared" si="56"/>
        <v>0</v>
      </c>
      <c r="AD16" s="144">
        <f t="shared" si="57"/>
        <v>0</v>
      </c>
      <c r="AE16" s="112">
        <f t="shared" si="58"/>
        <v>0</v>
      </c>
      <c r="AF16" s="113">
        <f t="shared" si="59"/>
        <v>0</v>
      </c>
      <c r="AG16" s="112">
        <f t="shared" si="60"/>
        <v>0</v>
      </c>
      <c r="AH16" s="113">
        <f t="shared" si="61"/>
        <v>0</v>
      </c>
      <c r="AI16" s="112">
        <f t="shared" si="62"/>
        <v>0</v>
      </c>
      <c r="AJ16" s="113">
        <f t="shared" si="63"/>
        <v>0</v>
      </c>
      <c r="AK16" s="112">
        <f t="shared" si="64"/>
        <v>0</v>
      </c>
    </row>
    <row r="17" spans="1:37" ht="35.4" thickBot="1" x14ac:dyDescent="0.3">
      <c r="A17" s="60" t="s">
        <v>33</v>
      </c>
      <c r="B17" s="61" t="s">
        <v>34</v>
      </c>
      <c r="C17" s="62"/>
      <c r="D17" s="208"/>
      <c r="E17" s="146"/>
      <c r="F17" s="146"/>
      <c r="G17" s="146"/>
      <c r="H17" s="146"/>
      <c r="I17" s="148"/>
      <c r="J17" s="140"/>
      <c r="K17" s="140"/>
      <c r="L17" s="140"/>
      <c r="M17" s="140"/>
      <c r="N17" s="141"/>
      <c r="O17" s="141"/>
      <c r="P17" s="141"/>
      <c r="Q17" s="141"/>
      <c r="R17" s="141"/>
      <c r="S17" s="142"/>
      <c r="T17" s="142"/>
      <c r="U17" s="142"/>
      <c r="V17" s="142"/>
      <c r="W17" s="142"/>
      <c r="X17" s="143"/>
      <c r="Y17" s="143"/>
      <c r="Z17" s="143"/>
      <c r="AA17" s="143"/>
      <c r="AB17" s="144"/>
      <c r="AC17" s="144"/>
      <c r="AD17" s="144"/>
      <c r="AE17" s="112"/>
      <c r="AF17" s="113"/>
      <c r="AG17" s="112"/>
      <c r="AH17" s="113"/>
      <c r="AI17" s="112"/>
      <c r="AJ17" s="113"/>
      <c r="AK17" s="112"/>
    </row>
    <row r="18" spans="1:37" ht="70.2" thickBot="1" x14ac:dyDescent="0.3">
      <c r="A18" s="56">
        <v>3.01</v>
      </c>
      <c r="B18" s="66" t="s">
        <v>35</v>
      </c>
      <c r="C18" s="58"/>
      <c r="D18" s="207"/>
      <c r="E18" s="149"/>
      <c r="F18" s="149"/>
      <c r="G18" s="149"/>
      <c r="H18" s="149"/>
      <c r="I18" s="148"/>
      <c r="J18" s="140"/>
      <c r="K18" s="140"/>
      <c r="L18" s="140"/>
      <c r="M18" s="140"/>
      <c r="N18" s="141"/>
      <c r="O18" s="141"/>
      <c r="P18" s="141"/>
      <c r="Q18" s="141"/>
      <c r="R18" s="141"/>
      <c r="S18" s="142"/>
      <c r="T18" s="142"/>
      <c r="U18" s="142"/>
      <c r="V18" s="142"/>
      <c r="W18" s="142"/>
      <c r="X18" s="143"/>
      <c r="Y18" s="143"/>
      <c r="Z18" s="143"/>
      <c r="AA18" s="143"/>
      <c r="AB18" s="144"/>
      <c r="AC18" s="144"/>
      <c r="AD18" s="144"/>
      <c r="AE18" s="112"/>
      <c r="AF18" s="113"/>
      <c r="AG18" s="112"/>
      <c r="AH18" s="113"/>
      <c r="AI18" s="112"/>
      <c r="AJ18" s="113"/>
      <c r="AK18" s="112"/>
    </row>
    <row r="19" spans="1:37" ht="70.2" thickBot="1" x14ac:dyDescent="0.3">
      <c r="A19" s="67" t="s">
        <v>36</v>
      </c>
      <c r="B19" s="68" t="s">
        <v>37</v>
      </c>
      <c r="C19" s="69"/>
      <c r="D19" s="208"/>
      <c r="E19" s="149"/>
      <c r="F19" s="149"/>
      <c r="G19" s="149"/>
      <c r="H19" s="149"/>
      <c r="I19" s="148"/>
      <c r="J19" s="140"/>
      <c r="K19" s="140"/>
      <c r="L19" s="140"/>
      <c r="M19" s="140"/>
      <c r="N19" s="141"/>
      <c r="O19" s="141"/>
      <c r="P19" s="141"/>
      <c r="Q19" s="141"/>
      <c r="R19" s="141"/>
      <c r="S19" s="142"/>
      <c r="T19" s="142"/>
      <c r="U19" s="142"/>
      <c r="V19" s="142"/>
      <c r="W19" s="142"/>
      <c r="X19" s="143"/>
      <c r="Y19" s="143"/>
      <c r="Z19" s="143"/>
      <c r="AA19" s="143"/>
      <c r="AB19" s="144"/>
      <c r="AC19" s="144"/>
      <c r="AD19" s="144"/>
      <c r="AE19" s="112"/>
      <c r="AF19" s="113"/>
      <c r="AG19" s="112"/>
      <c r="AH19" s="113"/>
      <c r="AI19" s="112"/>
      <c r="AJ19" s="113"/>
      <c r="AK19" s="112"/>
    </row>
    <row r="20" spans="1:37" ht="18" x14ac:dyDescent="0.25">
      <c r="A20" s="89" t="s">
        <v>50</v>
      </c>
      <c r="B20" s="87" t="s">
        <v>51</v>
      </c>
      <c r="C20" s="86" t="s">
        <v>12</v>
      </c>
      <c r="D20" s="207">
        <f>'ELV Works'!D30</f>
        <v>2</v>
      </c>
      <c r="E20" s="58" t="s">
        <v>113</v>
      </c>
      <c r="F20" s="149">
        <v>6.4</v>
      </c>
      <c r="G20" s="200">
        <v>0</v>
      </c>
      <c r="H20" s="200">
        <v>6.4</v>
      </c>
      <c r="I20" s="148">
        <f t="shared" si="42"/>
        <v>6.4</v>
      </c>
      <c r="J20" s="140">
        <f t="shared" ref="J20:J21" si="69">(1114.24/(3*34))*1.14</f>
        <v>12.453270588235293</v>
      </c>
      <c r="K20" s="140">
        <f t="shared" si="43"/>
        <v>79.700931764705885</v>
      </c>
      <c r="L20" s="140">
        <f>$J$20*K20</f>
        <v>992.53726940035983</v>
      </c>
      <c r="M20" s="140">
        <f t="shared" si="44"/>
        <v>1072.2382011650657</v>
      </c>
      <c r="N20" s="141">
        <f t="shared" si="45"/>
        <v>6.4</v>
      </c>
      <c r="O20" s="141"/>
      <c r="P20" s="141">
        <f t="shared" si="47"/>
        <v>0</v>
      </c>
      <c r="Q20" s="141">
        <f>$J$21*P20</f>
        <v>0</v>
      </c>
      <c r="R20" s="141">
        <f t="shared" si="48"/>
        <v>0</v>
      </c>
      <c r="S20" s="142">
        <f>G20</f>
        <v>0</v>
      </c>
      <c r="T20" s="142">
        <f t="shared" ref="T20:T21" si="70">(350/30)*1.14</f>
        <v>13.299999999999999</v>
      </c>
      <c r="U20" s="142">
        <f t="shared" si="51"/>
        <v>0</v>
      </c>
      <c r="V20" s="142">
        <f>$J$20*U20</f>
        <v>0</v>
      </c>
      <c r="W20" s="142">
        <f t="shared" si="52"/>
        <v>0</v>
      </c>
      <c r="X20" s="143" t="s">
        <v>109</v>
      </c>
      <c r="Y20" s="143">
        <f t="shared" si="53"/>
        <v>19.200000000000003</v>
      </c>
      <c r="Z20" s="143">
        <f>18*1.14</f>
        <v>20.52</v>
      </c>
      <c r="AA20" s="143">
        <f>Y20+(Z20*$J$22)</f>
        <v>19.200000000000003</v>
      </c>
      <c r="AB20" s="144">
        <f t="shared" si="55"/>
        <v>1091.4382011650657</v>
      </c>
      <c r="AC20" s="144">
        <f t="shared" si="56"/>
        <v>54.571910058253287</v>
      </c>
      <c r="AD20" s="144">
        <f t="shared" si="57"/>
        <v>352</v>
      </c>
      <c r="AE20" s="112">
        <f t="shared" si="58"/>
        <v>1498.010111223319</v>
      </c>
      <c r="AF20" s="113">
        <f t="shared" si="59"/>
        <v>224.70151668349783</v>
      </c>
      <c r="AG20" s="112">
        <f t="shared" si="60"/>
        <v>1722.7116279068168</v>
      </c>
      <c r="AH20" s="113">
        <f t="shared" si="61"/>
        <v>430.67790697670421</v>
      </c>
      <c r="AI20" s="112">
        <f t="shared" si="62"/>
        <v>2153.3895348835213</v>
      </c>
      <c r="AJ20" s="113">
        <f t="shared" si="63"/>
        <v>215.33895348835213</v>
      </c>
      <c r="AK20" s="112">
        <f t="shared" si="64"/>
        <v>2368.7284883718735</v>
      </c>
    </row>
    <row r="21" spans="1:37" ht="18.600000000000001" thickBot="1" x14ac:dyDescent="0.3">
      <c r="A21" s="89" t="s">
        <v>52</v>
      </c>
      <c r="B21" s="87" t="s">
        <v>53</v>
      </c>
      <c r="C21" s="86" t="s">
        <v>12</v>
      </c>
      <c r="D21" s="207">
        <f>'ELV Works'!D31</f>
        <v>2</v>
      </c>
      <c r="E21" s="58" t="s">
        <v>113</v>
      </c>
      <c r="F21" s="149">
        <v>6.4</v>
      </c>
      <c r="G21" s="201">
        <v>0</v>
      </c>
      <c r="H21" s="201">
        <v>6.4</v>
      </c>
      <c r="I21" s="148">
        <f t="shared" si="42"/>
        <v>6.4</v>
      </c>
      <c r="J21" s="140">
        <f t="shared" si="69"/>
        <v>12.453270588235293</v>
      </c>
      <c r="K21" s="140">
        <f t="shared" si="43"/>
        <v>79.700931764705885</v>
      </c>
      <c r="L21" s="140">
        <f>$J$20*K21</f>
        <v>992.53726940035983</v>
      </c>
      <c r="M21" s="140">
        <f t="shared" si="44"/>
        <v>1072.2382011650657</v>
      </c>
      <c r="N21" s="141">
        <f t="shared" si="45"/>
        <v>6.4</v>
      </c>
      <c r="O21" s="141"/>
      <c r="P21" s="141">
        <f t="shared" si="47"/>
        <v>0</v>
      </c>
      <c r="Q21" s="141">
        <f>$J$21*P21</f>
        <v>0</v>
      </c>
      <c r="R21" s="141">
        <f t="shared" si="48"/>
        <v>0</v>
      </c>
      <c r="S21" s="142">
        <f>G21</f>
        <v>0</v>
      </c>
      <c r="T21" s="142">
        <f t="shared" si="70"/>
        <v>13.299999999999999</v>
      </c>
      <c r="U21" s="142">
        <f t="shared" si="51"/>
        <v>0</v>
      </c>
      <c r="V21" s="142">
        <f>$J$20*U21</f>
        <v>0</v>
      </c>
      <c r="W21" s="142">
        <f t="shared" si="52"/>
        <v>0</v>
      </c>
      <c r="X21" s="143" t="s">
        <v>110</v>
      </c>
      <c r="Y21" s="143">
        <f t="shared" si="53"/>
        <v>19.200000000000003</v>
      </c>
      <c r="Z21" s="143">
        <f>18*1.14</f>
        <v>20.52</v>
      </c>
      <c r="AA21" s="143">
        <f>Y21+(Z21*$J$22)</f>
        <v>19.200000000000003</v>
      </c>
      <c r="AB21" s="144">
        <f t="shared" si="55"/>
        <v>1091.4382011650657</v>
      </c>
      <c r="AC21" s="144">
        <f t="shared" si="56"/>
        <v>54.571910058253287</v>
      </c>
      <c r="AD21" s="144">
        <f t="shared" si="57"/>
        <v>352</v>
      </c>
      <c r="AE21" s="112">
        <f t="shared" si="58"/>
        <v>1498.010111223319</v>
      </c>
      <c r="AF21" s="113">
        <f t="shared" si="59"/>
        <v>224.70151668349783</v>
      </c>
      <c r="AG21" s="112">
        <f t="shared" si="60"/>
        <v>1722.7116279068168</v>
      </c>
      <c r="AH21" s="113">
        <f t="shared" si="61"/>
        <v>430.67790697670421</v>
      </c>
      <c r="AI21" s="112">
        <f t="shared" si="62"/>
        <v>2153.3895348835213</v>
      </c>
      <c r="AJ21" s="113">
        <f t="shared" si="63"/>
        <v>215.33895348835213</v>
      </c>
      <c r="AK21" s="112">
        <f t="shared" si="64"/>
        <v>2368.7284883718735</v>
      </c>
    </row>
    <row r="22" spans="1:37" ht="34.799999999999997" x14ac:dyDescent="0.25">
      <c r="A22" s="60" t="s">
        <v>54</v>
      </c>
      <c r="B22" s="70" t="s">
        <v>55</v>
      </c>
      <c r="C22" s="71"/>
      <c r="D22" s="210"/>
      <c r="E22" s="149"/>
      <c r="F22" s="149"/>
      <c r="G22" s="149"/>
      <c r="H22" s="149"/>
      <c r="I22" s="148">
        <f t="shared" si="42"/>
        <v>0</v>
      </c>
      <c r="J22" s="140"/>
      <c r="K22" s="140"/>
      <c r="L22" s="140"/>
      <c r="M22" s="140"/>
      <c r="N22" s="141"/>
      <c r="O22" s="141"/>
      <c r="P22" s="141"/>
      <c r="Q22" s="141"/>
      <c r="R22" s="141"/>
      <c r="S22" s="142"/>
      <c r="T22" s="142"/>
      <c r="U22" s="142"/>
      <c r="V22" s="142"/>
      <c r="W22" s="142"/>
      <c r="X22" s="143"/>
      <c r="Y22" s="143"/>
      <c r="Z22" s="143"/>
      <c r="AA22" s="143"/>
      <c r="AB22" s="144"/>
      <c r="AC22" s="144"/>
      <c r="AD22" s="144"/>
      <c r="AE22" s="112"/>
      <c r="AF22" s="113"/>
      <c r="AG22" s="112"/>
      <c r="AH22" s="113"/>
      <c r="AI22" s="112"/>
      <c r="AJ22" s="113"/>
      <c r="AK22" s="112"/>
    </row>
    <row r="23" spans="1:37" ht="69.599999999999994" x14ac:dyDescent="0.25">
      <c r="A23" s="63" t="s">
        <v>56</v>
      </c>
      <c r="B23" s="72" t="s">
        <v>81</v>
      </c>
      <c r="C23" s="73"/>
      <c r="D23" s="211"/>
      <c r="E23" s="149"/>
      <c r="F23" s="149"/>
      <c r="G23" s="149"/>
      <c r="H23" s="149"/>
      <c r="I23" s="148">
        <f t="shared" si="42"/>
        <v>0</v>
      </c>
      <c r="J23" s="140"/>
      <c r="K23" s="140"/>
      <c r="L23" s="140"/>
      <c r="M23" s="140"/>
      <c r="N23" s="141"/>
      <c r="O23" s="141"/>
      <c r="P23" s="141"/>
      <c r="Q23" s="141"/>
      <c r="R23" s="141"/>
      <c r="S23" s="142"/>
      <c r="T23" s="142"/>
      <c r="U23" s="142"/>
      <c r="V23" s="142"/>
      <c r="W23" s="142"/>
      <c r="X23" s="143"/>
      <c r="Y23" s="143"/>
      <c r="Z23" s="143"/>
      <c r="AA23" s="143"/>
      <c r="AB23" s="144"/>
      <c r="AC23" s="144"/>
      <c r="AD23" s="144"/>
      <c r="AE23" s="112"/>
      <c r="AF23" s="113"/>
      <c r="AG23" s="112"/>
      <c r="AH23" s="113"/>
      <c r="AI23" s="112"/>
      <c r="AJ23" s="113"/>
      <c r="AK23" s="112"/>
    </row>
    <row r="24" spans="1:37" ht="18.600000000000001" thickBot="1" x14ac:dyDescent="0.3">
      <c r="A24" s="74" t="s">
        <v>58</v>
      </c>
      <c r="B24" s="75" t="s">
        <v>59</v>
      </c>
      <c r="C24" s="58" t="s">
        <v>12</v>
      </c>
      <c r="D24" s="212">
        <v>64</v>
      </c>
      <c r="E24" s="58" t="s">
        <v>113</v>
      </c>
      <c r="F24" s="200">
        <f>'LC-AVG-L'!E124</f>
        <v>2.7803030303030303</v>
      </c>
      <c r="G24" s="200">
        <f>'LC-AVG-L'!E125</f>
        <v>5.5303030303030303</v>
      </c>
      <c r="H24" s="200">
        <f>'LC-AVG-L'!E126</f>
        <v>8.3106060606060606</v>
      </c>
      <c r="I24" s="148">
        <f t="shared" si="42"/>
        <v>2.7803030303030303</v>
      </c>
      <c r="J24" s="140"/>
      <c r="K24" s="140">
        <f t="shared" si="43"/>
        <v>0</v>
      </c>
      <c r="L24" s="140">
        <f>$J$20*K24</f>
        <v>0</v>
      </c>
      <c r="M24" s="140">
        <f t="shared" si="44"/>
        <v>0</v>
      </c>
      <c r="N24" s="141">
        <f t="shared" si="45"/>
        <v>2.7803030303030303</v>
      </c>
      <c r="O24" s="141"/>
      <c r="P24" s="141">
        <f t="shared" si="47"/>
        <v>0</v>
      </c>
      <c r="Q24" s="141">
        <f>$J$21*P24</f>
        <v>0</v>
      </c>
      <c r="R24" s="141">
        <f t="shared" si="48"/>
        <v>0</v>
      </c>
      <c r="S24" s="142">
        <f t="shared" si="49"/>
        <v>5.5303030303030303</v>
      </c>
      <c r="T24" s="142"/>
      <c r="U24" s="142">
        <f t="shared" si="51"/>
        <v>0</v>
      </c>
      <c r="V24" s="142">
        <f>$J$20*U24</f>
        <v>0</v>
      </c>
      <c r="W24" s="142">
        <f t="shared" si="52"/>
        <v>0</v>
      </c>
      <c r="X24" s="143" t="s">
        <v>115</v>
      </c>
      <c r="Y24" s="143">
        <f t="shared" si="53"/>
        <v>24.93181818181818</v>
      </c>
      <c r="Z24" s="143">
        <f t="shared" ref="Z24" si="71">41*1.14</f>
        <v>46.739999999999995</v>
      </c>
      <c r="AA24" s="143">
        <f>Y24+(Z24*$J$22)</f>
        <v>24.93181818181818</v>
      </c>
      <c r="AB24" s="144">
        <f t="shared" si="55"/>
        <v>24.93181818181818</v>
      </c>
      <c r="AC24" s="144">
        <f t="shared" si="56"/>
        <v>1.2465909090909091</v>
      </c>
      <c r="AD24" s="144">
        <f t="shared" si="57"/>
        <v>291.17424242424238</v>
      </c>
      <c r="AE24" s="112">
        <f t="shared" si="58"/>
        <v>317.35265151515148</v>
      </c>
      <c r="AF24" s="113">
        <f t="shared" si="59"/>
        <v>47.602897727272719</v>
      </c>
      <c r="AG24" s="112">
        <f t="shared" si="60"/>
        <v>364.95554924242418</v>
      </c>
      <c r="AH24" s="113">
        <f t="shared" si="61"/>
        <v>91.238887310606046</v>
      </c>
      <c r="AI24" s="112">
        <f t="shared" si="62"/>
        <v>456.19443655303024</v>
      </c>
      <c r="AJ24" s="113">
        <f t="shared" si="63"/>
        <v>45.61944365530303</v>
      </c>
      <c r="AK24" s="112">
        <f t="shared" si="64"/>
        <v>501.81388020833327</v>
      </c>
    </row>
    <row r="25" spans="1:37" ht="35.4" thickBot="1" x14ac:dyDescent="0.3">
      <c r="A25" s="60" t="s">
        <v>65</v>
      </c>
      <c r="B25" s="76" t="s">
        <v>66</v>
      </c>
      <c r="C25" s="62"/>
      <c r="D25" s="208"/>
      <c r="E25" s="149"/>
      <c r="F25" s="149"/>
      <c r="G25" s="149"/>
      <c r="H25" s="149"/>
      <c r="I25" s="148"/>
      <c r="J25" s="140"/>
      <c r="K25" s="140"/>
      <c r="L25" s="140"/>
      <c r="M25" s="140"/>
      <c r="N25" s="141"/>
      <c r="O25" s="141"/>
      <c r="P25" s="141"/>
      <c r="Q25" s="141"/>
      <c r="R25" s="141"/>
      <c r="S25" s="142"/>
      <c r="T25" s="142"/>
      <c r="U25" s="142"/>
      <c r="V25" s="142"/>
      <c r="W25" s="142"/>
      <c r="X25" s="143"/>
      <c r="Y25" s="143"/>
      <c r="Z25" s="143"/>
      <c r="AA25" s="143"/>
      <c r="AB25" s="144"/>
      <c r="AC25" s="144"/>
      <c r="AD25" s="144"/>
      <c r="AE25" s="112"/>
      <c r="AF25" s="113"/>
      <c r="AG25" s="112"/>
      <c r="AH25" s="113"/>
      <c r="AI25" s="112"/>
      <c r="AJ25" s="113"/>
      <c r="AK25" s="112"/>
    </row>
    <row r="26" spans="1:37" ht="18.600000000000001" thickBot="1" x14ac:dyDescent="0.3">
      <c r="A26" s="83" t="s">
        <v>74</v>
      </c>
      <c r="B26" s="76" t="s">
        <v>75</v>
      </c>
      <c r="C26" s="62"/>
      <c r="D26" s="208"/>
      <c r="E26" s="149"/>
      <c r="F26" s="149"/>
      <c r="G26" s="149"/>
      <c r="H26" s="149"/>
      <c r="I26" s="148"/>
      <c r="J26" s="140"/>
      <c r="K26" s="140"/>
      <c r="L26" s="140"/>
      <c r="M26" s="140"/>
      <c r="N26" s="141"/>
      <c r="O26" s="141"/>
      <c r="P26" s="141"/>
      <c r="Q26" s="141"/>
      <c r="R26" s="141"/>
      <c r="S26" s="142"/>
      <c r="T26" s="142"/>
      <c r="U26" s="142"/>
      <c r="V26" s="142"/>
      <c r="W26" s="142"/>
      <c r="X26" s="143"/>
      <c r="Y26" s="143"/>
      <c r="Z26" s="143"/>
      <c r="AA26" s="143"/>
      <c r="AB26" s="144"/>
      <c r="AC26" s="144"/>
      <c r="AD26" s="144"/>
      <c r="AE26" s="112"/>
      <c r="AF26" s="113"/>
      <c r="AG26" s="112"/>
      <c r="AH26" s="113"/>
      <c r="AI26" s="112"/>
      <c r="AJ26" s="113"/>
      <c r="AK26" s="112"/>
    </row>
    <row r="27" spans="1:37" ht="52.8" thickBot="1" x14ac:dyDescent="0.3">
      <c r="A27" s="89" t="s">
        <v>78</v>
      </c>
      <c r="B27" s="90" t="s">
        <v>269</v>
      </c>
      <c r="C27" s="91" t="s">
        <v>12</v>
      </c>
      <c r="D27" s="213">
        <v>23</v>
      </c>
      <c r="E27" s="58" t="s">
        <v>113</v>
      </c>
      <c r="F27" s="149">
        <f>'LC-AVG-L'!E166</f>
        <v>11.75</v>
      </c>
      <c r="G27" s="149">
        <v>0</v>
      </c>
      <c r="H27" s="149">
        <v>11.75</v>
      </c>
      <c r="I27" s="148">
        <f t="shared" si="42"/>
        <v>11.75</v>
      </c>
      <c r="J27" s="140">
        <f t="shared" ref="J27:J28" si="72">(1114.24/(3*34))*1.14</f>
        <v>12.453270588235293</v>
      </c>
      <c r="K27" s="140">
        <f t="shared" si="43"/>
        <v>146.32592941176469</v>
      </c>
      <c r="L27" s="140">
        <f>$J$20*K27</f>
        <v>1822.2363930397228</v>
      </c>
      <c r="M27" s="140">
        <f t="shared" si="44"/>
        <v>1968.5623224514875</v>
      </c>
      <c r="N27" s="141">
        <f t="shared" si="45"/>
        <v>11.75</v>
      </c>
      <c r="O27" s="141"/>
      <c r="P27" s="141">
        <f t="shared" si="47"/>
        <v>0</v>
      </c>
      <c r="Q27" s="141">
        <f>$J$21*P27</f>
        <v>0</v>
      </c>
      <c r="R27" s="141">
        <f t="shared" si="48"/>
        <v>0</v>
      </c>
      <c r="S27" s="142">
        <f t="shared" si="49"/>
        <v>0</v>
      </c>
      <c r="T27" s="142"/>
      <c r="U27" s="142">
        <f t="shared" si="51"/>
        <v>0</v>
      </c>
      <c r="V27" s="142">
        <f>$J$20*U27</f>
        <v>0</v>
      </c>
      <c r="W27" s="142">
        <f t="shared" si="52"/>
        <v>0</v>
      </c>
      <c r="X27" s="143" t="s">
        <v>109</v>
      </c>
      <c r="Y27" s="143">
        <f t="shared" si="53"/>
        <v>35.25</v>
      </c>
      <c r="Z27" s="143">
        <f>18*1.14</f>
        <v>20.52</v>
      </c>
      <c r="AA27" s="143">
        <f>Y27+(Z27*$J$22)</f>
        <v>35.25</v>
      </c>
      <c r="AB27" s="144">
        <f t="shared" si="55"/>
        <v>2003.8123224514875</v>
      </c>
      <c r="AC27" s="144">
        <f t="shared" si="56"/>
        <v>100.19061612257438</v>
      </c>
      <c r="AD27" s="144">
        <f t="shared" si="57"/>
        <v>646.25</v>
      </c>
      <c r="AE27" s="112">
        <f t="shared" si="58"/>
        <v>2750.2529385740618</v>
      </c>
      <c r="AF27" s="113">
        <f t="shared" si="59"/>
        <v>412.53794078610923</v>
      </c>
      <c r="AG27" s="112">
        <f t="shared" si="60"/>
        <v>3162.7908793601709</v>
      </c>
      <c r="AH27" s="113">
        <f t="shared" si="61"/>
        <v>790.69771984004274</v>
      </c>
      <c r="AI27" s="112">
        <f t="shared" si="62"/>
        <v>3953.4885992002137</v>
      </c>
      <c r="AJ27" s="113">
        <f t="shared" si="63"/>
        <v>395.34885992002137</v>
      </c>
      <c r="AK27" s="112">
        <f t="shared" si="64"/>
        <v>4348.8374591202355</v>
      </c>
    </row>
    <row r="28" spans="1:37" ht="35.4" thickBot="1" x14ac:dyDescent="0.3">
      <c r="A28" s="56" t="s">
        <v>79</v>
      </c>
      <c r="B28" s="68" t="s">
        <v>80</v>
      </c>
      <c r="C28" s="82" t="s">
        <v>12</v>
      </c>
      <c r="D28" s="213">
        <v>27</v>
      </c>
      <c r="E28" s="58" t="s">
        <v>113</v>
      </c>
      <c r="F28" s="149">
        <f>'LC-AVG-L'!E183</f>
        <v>10.800000000000002</v>
      </c>
      <c r="G28" s="149">
        <v>0</v>
      </c>
      <c r="H28" s="149">
        <v>10.8</v>
      </c>
      <c r="I28" s="148">
        <f t="shared" si="42"/>
        <v>10.800000000000002</v>
      </c>
      <c r="J28" s="140">
        <f t="shared" si="72"/>
        <v>12.453270588235293</v>
      </c>
      <c r="K28" s="140">
        <f t="shared" si="43"/>
        <v>134.4953223529412</v>
      </c>
      <c r="L28" s="140">
        <f>$J$20*K28</f>
        <v>1674.9066421131074</v>
      </c>
      <c r="M28" s="140">
        <f t="shared" si="44"/>
        <v>1809.4019644660486</v>
      </c>
      <c r="N28" s="141">
        <f t="shared" si="45"/>
        <v>10.800000000000002</v>
      </c>
      <c r="O28" s="141"/>
      <c r="P28" s="141">
        <f t="shared" si="47"/>
        <v>0</v>
      </c>
      <c r="Q28" s="141">
        <f>$J$21*P28</f>
        <v>0</v>
      </c>
      <c r="R28" s="141">
        <f t="shared" si="48"/>
        <v>0</v>
      </c>
      <c r="S28" s="142">
        <f t="shared" si="49"/>
        <v>0</v>
      </c>
      <c r="T28" s="142"/>
      <c r="U28" s="142">
        <f t="shared" si="51"/>
        <v>0</v>
      </c>
      <c r="V28" s="142">
        <f>$J$20*U28</f>
        <v>0</v>
      </c>
      <c r="W28" s="142">
        <f t="shared" si="52"/>
        <v>0</v>
      </c>
      <c r="X28" s="143" t="s">
        <v>109</v>
      </c>
      <c r="Y28" s="143">
        <f t="shared" si="53"/>
        <v>32.400000000000006</v>
      </c>
      <c r="Z28" s="143">
        <f t="shared" ref="Z28" si="73">18*1.14</f>
        <v>20.52</v>
      </c>
      <c r="AA28" s="143">
        <f>Y28+(Z28*$J$22)</f>
        <v>32.400000000000006</v>
      </c>
      <c r="AB28" s="144">
        <f t="shared" si="55"/>
        <v>1841.8019644660487</v>
      </c>
      <c r="AC28" s="144">
        <f t="shared" si="56"/>
        <v>92.090098223302448</v>
      </c>
      <c r="AD28" s="144">
        <f t="shared" si="57"/>
        <v>594.00000000000011</v>
      </c>
      <c r="AE28" s="112">
        <f t="shared" si="58"/>
        <v>2527.8920626893514</v>
      </c>
      <c r="AF28" s="113">
        <f t="shared" si="59"/>
        <v>379.18380940340268</v>
      </c>
      <c r="AG28" s="112">
        <f t="shared" si="60"/>
        <v>2907.0758720927543</v>
      </c>
      <c r="AH28" s="113">
        <f t="shared" si="61"/>
        <v>726.76896802318856</v>
      </c>
      <c r="AI28" s="112">
        <f t="shared" si="62"/>
        <v>3633.844840115943</v>
      </c>
      <c r="AJ28" s="113">
        <f t="shared" si="63"/>
        <v>363.38448401159434</v>
      </c>
      <c r="AK28" s="112">
        <f t="shared" si="64"/>
        <v>3997.2293241275374</v>
      </c>
    </row>
  </sheetData>
  <mergeCells count="10">
    <mergeCell ref="I1:W1"/>
    <mergeCell ref="X1:AA1"/>
    <mergeCell ref="I2:M2"/>
    <mergeCell ref="N2:R2"/>
    <mergeCell ref="S2:W2"/>
    <mergeCell ref="F15:F16"/>
    <mergeCell ref="H15:H16"/>
    <mergeCell ref="G15:G16"/>
    <mergeCell ref="A1:D1"/>
    <mergeCell ref="A2:D2"/>
  </mergeCells>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14142-7FF3-4378-8E68-397434FEBD11}">
  <dimension ref="A1:AB191"/>
  <sheetViews>
    <sheetView rightToLeft="1" tabSelected="1" topLeftCell="A86" zoomScale="80" zoomScaleNormal="80" workbookViewId="0">
      <selection activeCell="A138" sqref="A138:A161"/>
    </sheetView>
  </sheetViews>
  <sheetFormatPr defaultRowHeight="13.8" x14ac:dyDescent="0.25"/>
  <cols>
    <col min="1" max="1" width="13.8984375" customWidth="1"/>
    <col min="2" max="2" width="13.19921875" bestFit="1" customWidth="1"/>
    <col min="3" max="3" width="10.296875" bestFit="1" customWidth="1"/>
    <col min="4" max="4" width="17.59765625" bestFit="1" customWidth="1"/>
    <col min="5" max="5" width="16" bestFit="1" customWidth="1"/>
    <col min="6" max="6" width="10.3984375" bestFit="1" customWidth="1"/>
    <col min="7" max="7" width="16.69921875" bestFit="1" customWidth="1"/>
    <col min="8" max="8" width="11.296875" bestFit="1" customWidth="1"/>
    <col min="9" max="9" width="16.8984375" bestFit="1" customWidth="1"/>
    <col min="10" max="10" width="9.296875" customWidth="1"/>
    <col min="11" max="11" width="12" customWidth="1"/>
    <col min="12" max="12" width="8.09765625" bestFit="1" customWidth="1"/>
    <col min="13" max="13" width="8.09765625" customWidth="1"/>
    <col min="14" max="14" width="6.69921875" bestFit="1" customWidth="1"/>
    <col min="15" max="15" width="8.3984375" bestFit="1" customWidth="1"/>
    <col min="16" max="16" width="11.09765625" bestFit="1" customWidth="1"/>
    <col min="18" max="18" width="11.09765625" bestFit="1" customWidth="1"/>
    <col min="19" max="19" width="8.296875" bestFit="1" customWidth="1"/>
    <col min="20" max="20" width="12.09765625" bestFit="1" customWidth="1"/>
    <col min="21" max="21" width="15" bestFit="1" customWidth="1"/>
    <col min="23" max="23" width="10.796875" bestFit="1" customWidth="1"/>
  </cols>
  <sheetData>
    <row r="1" spans="1:28" ht="17.399999999999999" x14ac:dyDescent="0.3">
      <c r="A1" s="305" t="str">
        <f>[1]Outlets!B19</f>
        <v>مخرج RG 11 لنظام كاميرات المراقبه التليفزيونيه معلق على الحائط</v>
      </c>
      <c r="B1" s="306"/>
      <c r="C1" s="306"/>
      <c r="D1" s="306"/>
      <c r="E1" s="306"/>
      <c r="F1" s="306"/>
      <c r="G1" s="306"/>
      <c r="H1" s="306"/>
      <c r="I1" s="306"/>
      <c r="J1" s="306"/>
      <c r="K1" s="306"/>
      <c r="L1" s="306"/>
      <c r="M1" s="306"/>
      <c r="N1" s="306"/>
      <c r="O1" s="306"/>
      <c r="P1" s="306"/>
      <c r="Q1" s="306"/>
      <c r="R1" s="306"/>
      <c r="S1" s="306"/>
      <c r="T1" s="222"/>
    </row>
    <row r="2" spans="1:28" ht="17.399999999999999" x14ac:dyDescent="0.3">
      <c r="A2" s="303" t="str">
        <f>[1]Outlets!B20</f>
        <v>مخرج RG 11   من نوع المضاد للعوامل الجويه لنظام كاميرات المراقبه التليفزيونيه معلق على الحائط</v>
      </c>
      <c r="B2" s="304"/>
      <c r="C2" s="304"/>
      <c r="D2" s="304"/>
      <c r="E2" s="304"/>
      <c r="F2" s="304"/>
      <c r="G2" s="304"/>
      <c r="H2" s="304"/>
      <c r="I2" s="304"/>
      <c r="J2" s="304"/>
      <c r="K2" s="304"/>
      <c r="L2" s="304"/>
      <c r="M2" s="304"/>
      <c r="N2" s="304"/>
      <c r="O2" s="304"/>
      <c r="P2" s="304"/>
      <c r="Q2" s="304"/>
      <c r="R2" s="304"/>
      <c r="S2" s="304"/>
      <c r="T2" s="223"/>
    </row>
    <row r="3" spans="1:28" s="149" customFormat="1" ht="15" x14ac:dyDescent="0.25">
      <c r="A3" s="293" t="s">
        <v>116</v>
      </c>
      <c r="B3" s="300"/>
      <c r="C3" s="300"/>
      <c r="D3" s="300" t="s">
        <v>117</v>
      </c>
      <c r="E3" s="300"/>
      <c r="F3" s="300" t="s">
        <v>118</v>
      </c>
      <c r="G3" s="300"/>
      <c r="H3" s="300"/>
      <c r="I3" s="300"/>
      <c r="J3" s="300" t="s">
        <v>119</v>
      </c>
      <c r="K3" s="300"/>
      <c r="L3" s="300" t="s">
        <v>120</v>
      </c>
      <c r="M3" s="300"/>
      <c r="N3" s="300"/>
      <c r="O3" s="300" t="s">
        <v>95</v>
      </c>
      <c r="P3" s="300"/>
      <c r="Q3" s="184" t="s">
        <v>120</v>
      </c>
      <c r="R3" s="184" t="s">
        <v>95</v>
      </c>
      <c r="S3" s="184" t="s">
        <v>121</v>
      </c>
      <c r="T3" s="223"/>
      <c r="U3"/>
      <c r="V3"/>
      <c r="W3"/>
      <c r="X3"/>
      <c r="Y3"/>
      <c r="Z3"/>
      <c r="AA3"/>
      <c r="AB3" s="185"/>
    </row>
    <row r="4" spans="1:28" s="149" customFormat="1" ht="15" x14ac:dyDescent="0.25">
      <c r="A4" s="224" t="s">
        <v>122</v>
      </c>
      <c r="B4" s="186" t="s">
        <v>123</v>
      </c>
      <c r="C4" s="186" t="s">
        <v>124</v>
      </c>
      <c r="D4" s="186" t="s">
        <v>125</v>
      </c>
      <c r="E4" s="186" t="s">
        <v>126</v>
      </c>
      <c r="F4" s="186" t="s">
        <v>127</v>
      </c>
      <c r="G4" s="186" t="s">
        <v>128</v>
      </c>
      <c r="H4" s="186" t="s">
        <v>129</v>
      </c>
      <c r="I4" s="186" t="s">
        <v>130</v>
      </c>
      <c r="J4" s="186" t="s">
        <v>131</v>
      </c>
      <c r="K4" s="186" t="s">
        <v>132</v>
      </c>
      <c r="L4" s="186" t="s">
        <v>133</v>
      </c>
      <c r="M4" s="186" t="s">
        <v>134</v>
      </c>
      <c r="N4" s="186" t="s">
        <v>135</v>
      </c>
      <c r="O4" s="186" t="s">
        <v>136</v>
      </c>
      <c r="P4" s="186" t="s">
        <v>137</v>
      </c>
      <c r="T4" s="223"/>
      <c r="U4"/>
      <c r="V4"/>
      <c r="W4"/>
      <c r="X4"/>
      <c r="Y4"/>
      <c r="Z4"/>
      <c r="AA4"/>
      <c r="AB4" s="185"/>
    </row>
    <row r="5" spans="1:28" ht="15" x14ac:dyDescent="0.25">
      <c r="A5" s="301" t="s">
        <v>201</v>
      </c>
      <c r="B5" s="294" t="s">
        <v>139</v>
      </c>
      <c r="C5" s="188" t="s">
        <v>179</v>
      </c>
      <c r="D5" s="189"/>
      <c r="E5" s="190">
        <v>1</v>
      </c>
      <c r="F5" s="190">
        <v>4</v>
      </c>
      <c r="G5" s="190">
        <v>2.5</v>
      </c>
      <c r="H5" s="190">
        <v>1.8</v>
      </c>
      <c r="I5" s="190">
        <v>3.4</v>
      </c>
      <c r="J5" s="190">
        <v>0</v>
      </c>
      <c r="K5" s="190">
        <v>0</v>
      </c>
      <c r="L5" s="189">
        <f t="shared" ref="L5" si="0">(F5-H5)+((2*E5)-1)*(F5-G5)</f>
        <v>3.7</v>
      </c>
      <c r="M5" s="189">
        <v>0</v>
      </c>
      <c r="N5" s="190">
        <v>95</v>
      </c>
      <c r="O5" s="190">
        <f t="shared" ref="O5" si="1">F5-I5</f>
        <v>0.60000000000000009</v>
      </c>
      <c r="P5" s="190">
        <f t="shared" ref="P5" si="2">(D5*2)*F5-I5</f>
        <v>-3.4</v>
      </c>
      <c r="Q5" s="189">
        <f>L5+N5</f>
        <v>98.7</v>
      </c>
      <c r="R5" s="189">
        <v>0</v>
      </c>
      <c r="S5" s="189">
        <f t="shared" ref="S5" si="3">R5+Q5+J5+K5</f>
        <v>98.7</v>
      </c>
      <c r="T5" s="223"/>
    </row>
    <row r="6" spans="1:28" ht="15" x14ac:dyDescent="0.25">
      <c r="A6" s="307"/>
      <c r="B6" s="295"/>
      <c r="C6" s="188" t="s">
        <v>180</v>
      </c>
      <c r="D6" s="189"/>
      <c r="E6" s="190">
        <v>1</v>
      </c>
      <c r="F6" s="190">
        <v>4</v>
      </c>
      <c r="G6" s="190">
        <v>2.5</v>
      </c>
      <c r="H6" s="190">
        <v>1.8</v>
      </c>
      <c r="I6" s="190">
        <v>3.4</v>
      </c>
      <c r="J6" s="190">
        <v>0</v>
      </c>
      <c r="K6" s="190">
        <v>0</v>
      </c>
      <c r="L6" s="189">
        <f t="shared" ref="L6:L26" si="4">(F6-H6)+((2*E6)-1)*(F6-G6)</f>
        <v>3.7</v>
      </c>
      <c r="M6" s="189">
        <v>0</v>
      </c>
      <c r="N6" s="190">
        <v>96</v>
      </c>
      <c r="O6" s="190">
        <f t="shared" ref="O6:O26" si="5">F6-I6</f>
        <v>0.60000000000000009</v>
      </c>
      <c r="P6" s="190">
        <f t="shared" ref="P6:P26" si="6">(D6*2)*F6-I6</f>
        <v>-3.4</v>
      </c>
      <c r="Q6" s="189">
        <f t="shared" ref="Q6:Q26" si="7">L6+N6</f>
        <v>99.7</v>
      </c>
      <c r="R6" s="189">
        <v>1</v>
      </c>
      <c r="S6" s="189">
        <f t="shared" ref="S6:S26" si="8">R6+Q6+J6+K6</f>
        <v>100.7</v>
      </c>
      <c r="T6" s="223"/>
    </row>
    <row r="7" spans="1:28" ht="15" x14ac:dyDescent="0.25">
      <c r="A7" s="307"/>
      <c r="B7" s="295"/>
      <c r="C7" s="188" t="s">
        <v>181</v>
      </c>
      <c r="D7" s="189"/>
      <c r="E7" s="190">
        <v>1</v>
      </c>
      <c r="F7" s="190">
        <v>4</v>
      </c>
      <c r="G7" s="190">
        <v>2.5</v>
      </c>
      <c r="H7" s="190">
        <v>1.8</v>
      </c>
      <c r="I7" s="190">
        <v>3.4</v>
      </c>
      <c r="J7" s="190">
        <v>0</v>
      </c>
      <c r="K7" s="190">
        <v>0</v>
      </c>
      <c r="L7" s="189">
        <f t="shared" si="4"/>
        <v>3.7</v>
      </c>
      <c r="M7" s="189">
        <v>0</v>
      </c>
      <c r="N7" s="190">
        <v>97</v>
      </c>
      <c r="O7" s="190">
        <f t="shared" si="5"/>
        <v>0.60000000000000009</v>
      </c>
      <c r="P7" s="190">
        <f t="shared" si="6"/>
        <v>-3.4</v>
      </c>
      <c r="Q7" s="189">
        <f t="shared" si="7"/>
        <v>100.7</v>
      </c>
      <c r="R7" s="189">
        <v>2</v>
      </c>
      <c r="S7" s="189">
        <f t="shared" si="8"/>
        <v>102.7</v>
      </c>
      <c r="T7" s="223"/>
    </row>
    <row r="8" spans="1:28" ht="15" x14ac:dyDescent="0.25">
      <c r="A8" s="307"/>
      <c r="B8" s="295"/>
      <c r="C8" s="188" t="s">
        <v>182</v>
      </c>
      <c r="D8" s="189"/>
      <c r="E8" s="190">
        <v>1</v>
      </c>
      <c r="F8" s="190">
        <v>4</v>
      </c>
      <c r="G8" s="190">
        <v>2.5</v>
      </c>
      <c r="H8" s="190">
        <v>1.8</v>
      </c>
      <c r="I8" s="190">
        <v>3.4</v>
      </c>
      <c r="J8" s="190">
        <v>0</v>
      </c>
      <c r="K8" s="190">
        <v>0</v>
      </c>
      <c r="L8" s="189">
        <f t="shared" si="4"/>
        <v>3.7</v>
      </c>
      <c r="M8" s="189">
        <v>0</v>
      </c>
      <c r="N8" s="190">
        <v>98</v>
      </c>
      <c r="O8" s="190">
        <f t="shared" si="5"/>
        <v>0.60000000000000009</v>
      </c>
      <c r="P8" s="190">
        <f t="shared" si="6"/>
        <v>-3.4</v>
      </c>
      <c r="Q8" s="189">
        <f t="shared" si="7"/>
        <v>101.7</v>
      </c>
      <c r="R8" s="189">
        <v>3</v>
      </c>
      <c r="S8" s="189">
        <f t="shared" si="8"/>
        <v>104.7</v>
      </c>
      <c r="T8" s="223"/>
    </row>
    <row r="9" spans="1:28" ht="15" x14ac:dyDescent="0.25">
      <c r="A9" s="307"/>
      <c r="B9" s="295"/>
      <c r="C9" s="188" t="s">
        <v>183</v>
      </c>
      <c r="D9" s="189"/>
      <c r="E9" s="190">
        <v>1</v>
      </c>
      <c r="F9" s="190">
        <v>4</v>
      </c>
      <c r="G9" s="190">
        <v>2.5</v>
      </c>
      <c r="H9" s="190">
        <v>1.8</v>
      </c>
      <c r="I9" s="190">
        <v>3.4</v>
      </c>
      <c r="J9" s="190">
        <v>0</v>
      </c>
      <c r="K9" s="190">
        <v>0</v>
      </c>
      <c r="L9" s="189">
        <f t="shared" si="4"/>
        <v>3.7</v>
      </c>
      <c r="M9" s="189">
        <v>0</v>
      </c>
      <c r="N9" s="190">
        <v>99</v>
      </c>
      <c r="O9" s="190">
        <f t="shared" si="5"/>
        <v>0.60000000000000009</v>
      </c>
      <c r="P9" s="190">
        <f t="shared" si="6"/>
        <v>-3.4</v>
      </c>
      <c r="Q9" s="189">
        <f t="shared" si="7"/>
        <v>102.7</v>
      </c>
      <c r="R9" s="189">
        <v>4</v>
      </c>
      <c r="S9" s="189">
        <f t="shared" si="8"/>
        <v>106.7</v>
      </c>
      <c r="T9" s="223"/>
    </row>
    <row r="10" spans="1:28" ht="15" x14ac:dyDescent="0.25">
      <c r="A10" s="307"/>
      <c r="B10" s="295"/>
      <c r="C10" s="188" t="s">
        <v>184</v>
      </c>
      <c r="D10" s="189"/>
      <c r="E10" s="190">
        <v>1</v>
      </c>
      <c r="F10" s="190">
        <v>4</v>
      </c>
      <c r="G10" s="190">
        <v>2.5</v>
      </c>
      <c r="H10" s="190">
        <v>1.8</v>
      </c>
      <c r="I10" s="190">
        <v>3.4</v>
      </c>
      <c r="J10" s="190">
        <v>0</v>
      </c>
      <c r="K10" s="190">
        <v>0</v>
      </c>
      <c r="L10" s="189">
        <f t="shared" si="4"/>
        <v>3.7</v>
      </c>
      <c r="M10" s="189">
        <v>0</v>
      </c>
      <c r="N10" s="190">
        <v>100</v>
      </c>
      <c r="O10" s="190">
        <f t="shared" si="5"/>
        <v>0.60000000000000009</v>
      </c>
      <c r="P10" s="190">
        <f t="shared" si="6"/>
        <v>-3.4</v>
      </c>
      <c r="Q10" s="189">
        <f t="shared" si="7"/>
        <v>103.7</v>
      </c>
      <c r="R10" s="189">
        <v>5</v>
      </c>
      <c r="S10" s="189">
        <f t="shared" si="8"/>
        <v>108.7</v>
      </c>
      <c r="T10" s="223"/>
    </row>
    <row r="11" spans="1:28" ht="15" x14ac:dyDescent="0.25">
      <c r="A11" s="307"/>
      <c r="B11" s="295"/>
      <c r="C11" s="188" t="s">
        <v>185</v>
      </c>
      <c r="D11" s="189"/>
      <c r="E11" s="190">
        <v>1</v>
      </c>
      <c r="F11" s="190">
        <v>4</v>
      </c>
      <c r="G11" s="190">
        <v>2.5</v>
      </c>
      <c r="H11" s="190">
        <v>1.8</v>
      </c>
      <c r="I11" s="190">
        <v>3.4</v>
      </c>
      <c r="J11" s="190">
        <v>0</v>
      </c>
      <c r="K11" s="190">
        <v>0</v>
      </c>
      <c r="L11" s="189">
        <f t="shared" si="4"/>
        <v>3.7</v>
      </c>
      <c r="M11" s="189">
        <v>0</v>
      </c>
      <c r="N11" s="190">
        <v>101</v>
      </c>
      <c r="O11" s="190">
        <f t="shared" si="5"/>
        <v>0.60000000000000009</v>
      </c>
      <c r="P11" s="190">
        <f t="shared" si="6"/>
        <v>-3.4</v>
      </c>
      <c r="Q11" s="189">
        <f t="shared" si="7"/>
        <v>104.7</v>
      </c>
      <c r="R11" s="189">
        <v>6</v>
      </c>
      <c r="S11" s="189">
        <f t="shared" si="8"/>
        <v>110.7</v>
      </c>
      <c r="T11" s="223"/>
    </row>
    <row r="12" spans="1:28" ht="15" x14ac:dyDescent="0.25">
      <c r="A12" s="307"/>
      <c r="B12" s="295"/>
      <c r="C12" s="188" t="s">
        <v>186</v>
      </c>
      <c r="D12" s="189"/>
      <c r="E12" s="190">
        <v>1</v>
      </c>
      <c r="F12" s="190">
        <v>4</v>
      </c>
      <c r="G12" s="190">
        <v>2.5</v>
      </c>
      <c r="H12" s="190">
        <v>1.8</v>
      </c>
      <c r="I12" s="190">
        <v>3.4</v>
      </c>
      <c r="J12" s="190">
        <v>0</v>
      </c>
      <c r="K12" s="190">
        <v>0</v>
      </c>
      <c r="L12" s="189">
        <f t="shared" si="4"/>
        <v>3.7</v>
      </c>
      <c r="M12" s="189">
        <v>0</v>
      </c>
      <c r="N12" s="190">
        <v>102</v>
      </c>
      <c r="O12" s="190">
        <f t="shared" si="5"/>
        <v>0.60000000000000009</v>
      </c>
      <c r="P12" s="190">
        <f t="shared" si="6"/>
        <v>-3.4</v>
      </c>
      <c r="Q12" s="189">
        <f t="shared" si="7"/>
        <v>105.7</v>
      </c>
      <c r="R12" s="189">
        <v>7</v>
      </c>
      <c r="S12" s="189">
        <f t="shared" si="8"/>
        <v>112.7</v>
      </c>
      <c r="T12" s="223"/>
    </row>
    <row r="13" spans="1:28" ht="15" x14ac:dyDescent="0.25">
      <c r="A13" s="307"/>
      <c r="B13" s="295"/>
      <c r="C13" s="188" t="s">
        <v>187</v>
      </c>
      <c r="D13" s="189"/>
      <c r="E13" s="190">
        <v>1</v>
      </c>
      <c r="F13" s="190">
        <v>4</v>
      </c>
      <c r="G13" s="190">
        <v>2.5</v>
      </c>
      <c r="H13" s="190">
        <v>1.8</v>
      </c>
      <c r="I13" s="190">
        <v>3.4</v>
      </c>
      <c r="J13" s="190">
        <v>0</v>
      </c>
      <c r="K13" s="190">
        <v>0</v>
      </c>
      <c r="L13" s="189">
        <f t="shared" si="4"/>
        <v>3.7</v>
      </c>
      <c r="M13" s="189">
        <v>0</v>
      </c>
      <c r="N13" s="190">
        <v>103</v>
      </c>
      <c r="O13" s="190">
        <f t="shared" si="5"/>
        <v>0.60000000000000009</v>
      </c>
      <c r="P13" s="190">
        <f t="shared" si="6"/>
        <v>-3.4</v>
      </c>
      <c r="Q13" s="189">
        <f t="shared" si="7"/>
        <v>106.7</v>
      </c>
      <c r="R13" s="189">
        <v>8</v>
      </c>
      <c r="S13" s="189">
        <f t="shared" si="8"/>
        <v>114.7</v>
      </c>
      <c r="T13" s="223"/>
    </row>
    <row r="14" spans="1:28" ht="15" x14ac:dyDescent="0.25">
      <c r="A14" s="307"/>
      <c r="B14" s="295"/>
      <c r="C14" s="188" t="s">
        <v>188</v>
      </c>
      <c r="D14" s="189"/>
      <c r="E14" s="190">
        <v>1</v>
      </c>
      <c r="F14" s="190">
        <v>4</v>
      </c>
      <c r="G14" s="190">
        <v>2.5</v>
      </c>
      <c r="H14" s="190">
        <v>1.8</v>
      </c>
      <c r="I14" s="190">
        <v>3.4</v>
      </c>
      <c r="J14" s="190">
        <v>0</v>
      </c>
      <c r="K14" s="190">
        <v>0</v>
      </c>
      <c r="L14" s="189">
        <f t="shared" si="4"/>
        <v>3.7</v>
      </c>
      <c r="M14" s="189">
        <v>0</v>
      </c>
      <c r="N14" s="190">
        <v>104</v>
      </c>
      <c r="O14" s="190">
        <f t="shared" si="5"/>
        <v>0.60000000000000009</v>
      </c>
      <c r="P14" s="190">
        <f t="shared" si="6"/>
        <v>-3.4</v>
      </c>
      <c r="Q14" s="189">
        <f t="shared" si="7"/>
        <v>107.7</v>
      </c>
      <c r="R14" s="189">
        <v>9</v>
      </c>
      <c r="S14" s="189">
        <f t="shared" si="8"/>
        <v>116.7</v>
      </c>
      <c r="T14" s="223"/>
    </row>
    <row r="15" spans="1:28" ht="15" x14ac:dyDescent="0.25">
      <c r="A15" s="307"/>
      <c r="B15" s="295"/>
      <c r="C15" s="188" t="s">
        <v>189</v>
      </c>
      <c r="D15" s="189"/>
      <c r="E15" s="190">
        <v>1</v>
      </c>
      <c r="F15" s="190">
        <v>4</v>
      </c>
      <c r="G15" s="190">
        <v>2.5</v>
      </c>
      <c r="H15" s="190">
        <v>1.8</v>
      </c>
      <c r="I15" s="190">
        <v>3.4</v>
      </c>
      <c r="J15" s="190">
        <v>0</v>
      </c>
      <c r="K15" s="190">
        <v>0</v>
      </c>
      <c r="L15" s="189">
        <f t="shared" si="4"/>
        <v>3.7</v>
      </c>
      <c r="M15" s="189">
        <v>0</v>
      </c>
      <c r="N15" s="190">
        <v>105</v>
      </c>
      <c r="O15" s="190">
        <f t="shared" si="5"/>
        <v>0.60000000000000009</v>
      </c>
      <c r="P15" s="190">
        <f t="shared" si="6"/>
        <v>-3.4</v>
      </c>
      <c r="Q15" s="189">
        <f t="shared" si="7"/>
        <v>108.7</v>
      </c>
      <c r="R15" s="189">
        <v>10</v>
      </c>
      <c r="S15" s="189">
        <f t="shared" si="8"/>
        <v>118.7</v>
      </c>
      <c r="T15" s="223"/>
    </row>
    <row r="16" spans="1:28" ht="15" x14ac:dyDescent="0.25">
      <c r="A16" s="307"/>
      <c r="B16" s="295"/>
      <c r="C16" s="188" t="s">
        <v>190</v>
      </c>
      <c r="D16" s="189"/>
      <c r="E16" s="190">
        <v>1</v>
      </c>
      <c r="F16" s="190">
        <v>4</v>
      </c>
      <c r="G16" s="190">
        <v>2.5</v>
      </c>
      <c r="H16" s="190">
        <v>1.8</v>
      </c>
      <c r="I16" s="190">
        <v>3.4</v>
      </c>
      <c r="J16" s="190">
        <v>0</v>
      </c>
      <c r="K16" s="190">
        <v>0</v>
      </c>
      <c r="L16" s="189">
        <f t="shared" si="4"/>
        <v>3.7</v>
      </c>
      <c r="M16" s="189">
        <v>0</v>
      </c>
      <c r="N16" s="190">
        <v>106</v>
      </c>
      <c r="O16" s="190">
        <f t="shared" si="5"/>
        <v>0.60000000000000009</v>
      </c>
      <c r="P16" s="190">
        <f t="shared" si="6"/>
        <v>-3.4</v>
      </c>
      <c r="Q16" s="189">
        <f t="shared" si="7"/>
        <v>109.7</v>
      </c>
      <c r="R16" s="189">
        <v>11</v>
      </c>
      <c r="S16" s="189">
        <f t="shared" si="8"/>
        <v>120.7</v>
      </c>
      <c r="T16" s="223"/>
    </row>
    <row r="17" spans="1:20" ht="15" x14ac:dyDescent="0.25">
      <c r="A17" s="307"/>
      <c r="B17" s="295"/>
      <c r="C17" s="188" t="s">
        <v>191</v>
      </c>
      <c r="D17" s="189"/>
      <c r="E17" s="190">
        <v>1</v>
      </c>
      <c r="F17" s="190">
        <v>4</v>
      </c>
      <c r="G17" s="190">
        <v>2.5</v>
      </c>
      <c r="H17" s="190">
        <v>1.8</v>
      </c>
      <c r="I17" s="190">
        <v>3.4</v>
      </c>
      <c r="J17" s="190">
        <v>0</v>
      </c>
      <c r="K17" s="190">
        <v>0</v>
      </c>
      <c r="L17" s="189">
        <f t="shared" si="4"/>
        <v>3.7</v>
      </c>
      <c r="M17" s="189">
        <v>0</v>
      </c>
      <c r="N17" s="190">
        <v>107</v>
      </c>
      <c r="O17" s="190">
        <f t="shared" si="5"/>
        <v>0.60000000000000009</v>
      </c>
      <c r="P17" s="190">
        <f t="shared" si="6"/>
        <v>-3.4</v>
      </c>
      <c r="Q17" s="189">
        <f t="shared" si="7"/>
        <v>110.7</v>
      </c>
      <c r="R17" s="189">
        <v>12</v>
      </c>
      <c r="S17" s="189">
        <f t="shared" si="8"/>
        <v>122.7</v>
      </c>
      <c r="T17" s="223"/>
    </row>
    <row r="18" spans="1:20" ht="15" x14ac:dyDescent="0.25">
      <c r="A18" s="307"/>
      <c r="B18" s="295"/>
      <c r="C18" s="188" t="s">
        <v>192</v>
      </c>
      <c r="D18" s="189"/>
      <c r="E18" s="190">
        <v>1</v>
      </c>
      <c r="F18" s="190">
        <v>4</v>
      </c>
      <c r="G18" s="190">
        <v>2.5</v>
      </c>
      <c r="H18" s="190">
        <v>1.8</v>
      </c>
      <c r="I18" s="190">
        <v>3.4</v>
      </c>
      <c r="J18" s="190">
        <v>0</v>
      </c>
      <c r="K18" s="190">
        <v>0</v>
      </c>
      <c r="L18" s="189">
        <f t="shared" si="4"/>
        <v>3.7</v>
      </c>
      <c r="M18" s="189">
        <v>0</v>
      </c>
      <c r="N18" s="190">
        <v>108</v>
      </c>
      <c r="O18" s="190">
        <f t="shared" si="5"/>
        <v>0.60000000000000009</v>
      </c>
      <c r="P18" s="190">
        <f t="shared" si="6"/>
        <v>-3.4</v>
      </c>
      <c r="Q18" s="189">
        <f t="shared" si="7"/>
        <v>111.7</v>
      </c>
      <c r="R18" s="189">
        <v>13</v>
      </c>
      <c r="S18" s="189">
        <f t="shared" si="8"/>
        <v>124.7</v>
      </c>
      <c r="T18" s="223"/>
    </row>
    <row r="19" spans="1:20" ht="15" x14ac:dyDescent="0.25">
      <c r="A19" s="307"/>
      <c r="B19" s="295"/>
      <c r="C19" s="188" t="s">
        <v>193</v>
      </c>
      <c r="D19" s="189"/>
      <c r="E19" s="190">
        <v>1</v>
      </c>
      <c r="F19" s="190">
        <v>4</v>
      </c>
      <c r="G19" s="190">
        <v>2.5</v>
      </c>
      <c r="H19" s="190">
        <v>1.8</v>
      </c>
      <c r="I19" s="190">
        <v>3.4</v>
      </c>
      <c r="J19" s="190">
        <v>0</v>
      </c>
      <c r="K19" s="190">
        <v>0</v>
      </c>
      <c r="L19" s="189">
        <f t="shared" si="4"/>
        <v>3.7</v>
      </c>
      <c r="M19" s="189">
        <v>0</v>
      </c>
      <c r="N19" s="190">
        <v>109</v>
      </c>
      <c r="O19" s="190">
        <f t="shared" si="5"/>
        <v>0.60000000000000009</v>
      </c>
      <c r="P19" s="190">
        <f t="shared" si="6"/>
        <v>-3.4</v>
      </c>
      <c r="Q19" s="189">
        <f t="shared" si="7"/>
        <v>112.7</v>
      </c>
      <c r="R19" s="189">
        <v>14</v>
      </c>
      <c r="S19" s="189">
        <f t="shared" si="8"/>
        <v>126.7</v>
      </c>
      <c r="T19" s="223"/>
    </row>
    <row r="20" spans="1:20" ht="15" x14ac:dyDescent="0.25">
      <c r="A20" s="307"/>
      <c r="B20" s="295"/>
      <c r="C20" s="188" t="s">
        <v>194</v>
      </c>
      <c r="D20" s="189"/>
      <c r="E20" s="190">
        <v>1</v>
      </c>
      <c r="F20" s="190">
        <v>4</v>
      </c>
      <c r="G20" s="190">
        <v>2.5</v>
      </c>
      <c r="H20" s="190">
        <v>1.8</v>
      </c>
      <c r="I20" s="190">
        <v>3.4</v>
      </c>
      <c r="J20" s="190">
        <v>0</v>
      </c>
      <c r="K20" s="190">
        <v>0</v>
      </c>
      <c r="L20" s="189">
        <f t="shared" si="4"/>
        <v>3.7</v>
      </c>
      <c r="M20" s="189">
        <v>0</v>
      </c>
      <c r="N20" s="190">
        <v>110</v>
      </c>
      <c r="O20" s="190">
        <f t="shared" si="5"/>
        <v>0.60000000000000009</v>
      </c>
      <c r="P20" s="190">
        <f t="shared" si="6"/>
        <v>-3.4</v>
      </c>
      <c r="Q20" s="189">
        <f t="shared" si="7"/>
        <v>113.7</v>
      </c>
      <c r="R20" s="189">
        <v>15</v>
      </c>
      <c r="S20" s="189">
        <f t="shared" si="8"/>
        <v>128.69999999999999</v>
      </c>
      <c r="T20" s="223"/>
    </row>
    <row r="21" spans="1:20" ht="15" x14ac:dyDescent="0.25">
      <c r="A21" s="307"/>
      <c r="B21" s="295"/>
      <c r="C21" s="188" t="s">
        <v>195</v>
      </c>
      <c r="D21" s="189"/>
      <c r="E21" s="190">
        <v>1</v>
      </c>
      <c r="F21" s="190">
        <v>4</v>
      </c>
      <c r="G21" s="190">
        <v>2.5</v>
      </c>
      <c r="H21" s="190">
        <v>1.8</v>
      </c>
      <c r="I21" s="190">
        <v>3.4</v>
      </c>
      <c r="J21" s="190">
        <v>0</v>
      </c>
      <c r="K21" s="190">
        <v>0</v>
      </c>
      <c r="L21" s="189">
        <f t="shared" si="4"/>
        <v>3.7</v>
      </c>
      <c r="M21" s="189">
        <v>0</v>
      </c>
      <c r="N21" s="190">
        <v>111</v>
      </c>
      <c r="O21" s="190">
        <f t="shared" si="5"/>
        <v>0.60000000000000009</v>
      </c>
      <c r="P21" s="190">
        <f t="shared" si="6"/>
        <v>-3.4</v>
      </c>
      <c r="Q21" s="189">
        <f t="shared" si="7"/>
        <v>114.7</v>
      </c>
      <c r="R21" s="189">
        <v>16</v>
      </c>
      <c r="S21" s="189">
        <f t="shared" si="8"/>
        <v>130.69999999999999</v>
      </c>
      <c r="T21" s="223"/>
    </row>
    <row r="22" spans="1:20" ht="15" x14ac:dyDescent="0.25">
      <c r="A22" s="307"/>
      <c r="B22" s="295"/>
      <c r="C22" s="188" t="s">
        <v>196</v>
      </c>
      <c r="D22" s="189"/>
      <c r="E22" s="190">
        <v>1</v>
      </c>
      <c r="F22" s="190">
        <v>4</v>
      </c>
      <c r="G22" s="190">
        <v>2.5</v>
      </c>
      <c r="H22" s="190">
        <v>1.8</v>
      </c>
      <c r="I22" s="190">
        <v>3.4</v>
      </c>
      <c r="J22" s="190">
        <v>0</v>
      </c>
      <c r="K22" s="190">
        <v>0</v>
      </c>
      <c r="L22" s="189">
        <f t="shared" si="4"/>
        <v>3.7</v>
      </c>
      <c r="M22" s="189">
        <v>0</v>
      </c>
      <c r="N22" s="190">
        <v>112</v>
      </c>
      <c r="O22" s="190">
        <f t="shared" si="5"/>
        <v>0.60000000000000009</v>
      </c>
      <c r="P22" s="190">
        <f t="shared" si="6"/>
        <v>-3.4</v>
      </c>
      <c r="Q22" s="189">
        <f t="shared" si="7"/>
        <v>115.7</v>
      </c>
      <c r="R22" s="189">
        <v>17</v>
      </c>
      <c r="S22" s="189">
        <f t="shared" si="8"/>
        <v>132.69999999999999</v>
      </c>
      <c r="T22" s="223"/>
    </row>
    <row r="23" spans="1:20" ht="15" x14ac:dyDescent="0.25">
      <c r="A23" s="307"/>
      <c r="B23" s="295"/>
      <c r="C23" s="188" t="s">
        <v>197</v>
      </c>
      <c r="D23" s="189"/>
      <c r="E23" s="190">
        <v>1</v>
      </c>
      <c r="F23" s="190">
        <v>4</v>
      </c>
      <c r="G23" s="190">
        <v>2.5</v>
      </c>
      <c r="H23" s="190">
        <v>1.8</v>
      </c>
      <c r="I23" s="190">
        <v>3.4</v>
      </c>
      <c r="J23" s="190">
        <v>0</v>
      </c>
      <c r="K23" s="190">
        <v>0</v>
      </c>
      <c r="L23" s="189">
        <f t="shared" si="4"/>
        <v>3.7</v>
      </c>
      <c r="M23" s="189">
        <v>0</v>
      </c>
      <c r="N23" s="190">
        <v>113</v>
      </c>
      <c r="O23" s="190">
        <f t="shared" si="5"/>
        <v>0.60000000000000009</v>
      </c>
      <c r="P23" s="190">
        <f t="shared" si="6"/>
        <v>-3.4</v>
      </c>
      <c r="Q23" s="189">
        <f t="shared" si="7"/>
        <v>116.7</v>
      </c>
      <c r="R23" s="189">
        <v>18</v>
      </c>
      <c r="S23" s="189">
        <f t="shared" si="8"/>
        <v>134.69999999999999</v>
      </c>
      <c r="T23" s="223"/>
    </row>
    <row r="24" spans="1:20" ht="15" x14ac:dyDescent="0.25">
      <c r="A24" s="307"/>
      <c r="B24" s="295"/>
      <c r="C24" s="188" t="s">
        <v>198</v>
      </c>
      <c r="D24" s="189"/>
      <c r="E24" s="190">
        <v>1</v>
      </c>
      <c r="F24" s="190">
        <v>4</v>
      </c>
      <c r="G24" s="190">
        <v>2.5</v>
      </c>
      <c r="H24" s="190">
        <v>1.8</v>
      </c>
      <c r="I24" s="190">
        <v>3.4</v>
      </c>
      <c r="J24" s="190">
        <v>0</v>
      </c>
      <c r="K24" s="190">
        <v>0</v>
      </c>
      <c r="L24" s="189">
        <f t="shared" si="4"/>
        <v>3.7</v>
      </c>
      <c r="M24" s="189">
        <v>0</v>
      </c>
      <c r="N24" s="190">
        <v>114</v>
      </c>
      <c r="O24" s="190">
        <f t="shared" si="5"/>
        <v>0.60000000000000009</v>
      </c>
      <c r="P24" s="190">
        <f t="shared" si="6"/>
        <v>-3.4</v>
      </c>
      <c r="Q24" s="189">
        <f t="shared" si="7"/>
        <v>117.7</v>
      </c>
      <c r="R24" s="189">
        <v>19</v>
      </c>
      <c r="S24" s="189">
        <f t="shared" si="8"/>
        <v>136.69999999999999</v>
      </c>
      <c r="T24" s="223"/>
    </row>
    <row r="25" spans="1:20" ht="15" x14ac:dyDescent="0.25">
      <c r="A25" s="307"/>
      <c r="B25" s="295"/>
      <c r="C25" s="188" t="s">
        <v>199</v>
      </c>
      <c r="D25" s="189"/>
      <c r="E25" s="190">
        <v>1</v>
      </c>
      <c r="F25" s="190">
        <v>4</v>
      </c>
      <c r="G25" s="190">
        <v>2.5</v>
      </c>
      <c r="H25" s="190">
        <v>1.8</v>
      </c>
      <c r="I25" s="190">
        <v>3.4</v>
      </c>
      <c r="J25" s="190">
        <v>0</v>
      </c>
      <c r="K25" s="190">
        <v>0</v>
      </c>
      <c r="L25" s="189">
        <f t="shared" si="4"/>
        <v>3.7</v>
      </c>
      <c r="M25" s="189">
        <v>0</v>
      </c>
      <c r="N25" s="190">
        <v>115</v>
      </c>
      <c r="O25" s="190">
        <f t="shared" si="5"/>
        <v>0.60000000000000009</v>
      </c>
      <c r="P25" s="190">
        <f t="shared" si="6"/>
        <v>-3.4</v>
      </c>
      <c r="Q25" s="189">
        <f t="shared" si="7"/>
        <v>118.7</v>
      </c>
      <c r="R25" s="189">
        <v>20</v>
      </c>
      <c r="S25" s="189">
        <f t="shared" si="8"/>
        <v>138.69999999999999</v>
      </c>
      <c r="T25" s="223"/>
    </row>
    <row r="26" spans="1:20" ht="15" x14ac:dyDescent="0.25">
      <c r="A26" s="302"/>
      <c r="B26" s="308"/>
      <c r="C26" s="188" t="s">
        <v>200</v>
      </c>
      <c r="D26" s="189"/>
      <c r="E26" s="190">
        <v>1</v>
      </c>
      <c r="F26" s="190">
        <v>4</v>
      </c>
      <c r="G26" s="190">
        <v>2.5</v>
      </c>
      <c r="H26" s="190">
        <v>1.8</v>
      </c>
      <c r="I26" s="190">
        <v>3.4</v>
      </c>
      <c r="J26" s="190">
        <v>0</v>
      </c>
      <c r="K26" s="190">
        <v>0</v>
      </c>
      <c r="L26" s="189">
        <f t="shared" si="4"/>
        <v>3.7</v>
      </c>
      <c r="M26" s="189">
        <v>0</v>
      </c>
      <c r="N26" s="190">
        <v>116</v>
      </c>
      <c r="O26" s="190">
        <f t="shared" si="5"/>
        <v>0.60000000000000009</v>
      </c>
      <c r="P26" s="190">
        <f t="shared" si="6"/>
        <v>-3.4</v>
      </c>
      <c r="Q26" s="189">
        <f t="shared" si="7"/>
        <v>119.7</v>
      </c>
      <c r="R26" s="189">
        <v>21</v>
      </c>
      <c r="S26" s="189">
        <f t="shared" si="8"/>
        <v>140.69999999999999</v>
      </c>
      <c r="T26" s="223"/>
    </row>
    <row r="27" spans="1:20" ht="15" x14ac:dyDescent="0.25">
      <c r="A27" s="289" t="s">
        <v>171</v>
      </c>
      <c r="B27" s="291"/>
      <c r="C27" s="290"/>
      <c r="D27" s="194">
        <f>SUM(D5:D26)</f>
        <v>0</v>
      </c>
      <c r="E27" s="194">
        <f>SUM(E5:E26)</f>
        <v>22</v>
      </c>
      <c r="F27" s="214"/>
      <c r="G27" s="214"/>
      <c r="H27" s="214"/>
      <c r="I27" s="214"/>
      <c r="J27" s="214"/>
      <c r="K27" s="214"/>
      <c r="L27" s="214"/>
      <c r="M27" s="191">
        <f t="shared" ref="M27" si="9">E27*F27</f>
        <v>0</v>
      </c>
      <c r="N27" s="214"/>
      <c r="O27" s="214"/>
      <c r="P27" s="214"/>
      <c r="Q27" s="191">
        <f>SUM(Q5:Q26)</f>
        <v>2402.4</v>
      </c>
      <c r="R27" s="191">
        <f>SUM(R5:R26)</f>
        <v>231</v>
      </c>
      <c r="S27" s="191">
        <f>SUM(S5:S26)</f>
        <v>2633.3999999999996</v>
      </c>
      <c r="T27" s="223"/>
    </row>
    <row r="28" spans="1:20" x14ac:dyDescent="0.25">
      <c r="A28" s="226"/>
      <c r="T28" s="223"/>
    </row>
    <row r="29" spans="1:20" ht="17.399999999999999" x14ac:dyDescent="0.3">
      <c r="A29" s="226"/>
      <c r="D29" s="215" t="s">
        <v>143</v>
      </c>
      <c r="E29" s="150">
        <f>D27+E27</f>
        <v>22</v>
      </c>
      <c r="T29" s="223"/>
    </row>
    <row r="30" spans="1:20" ht="17.399999999999999" x14ac:dyDescent="0.3">
      <c r="A30" s="226"/>
      <c r="D30" s="215" t="s">
        <v>144</v>
      </c>
      <c r="E30" s="150">
        <f>Q27/E29</f>
        <v>109.2</v>
      </c>
      <c r="K30" s="292" t="s">
        <v>239</v>
      </c>
      <c r="L30" s="292"/>
      <c r="M30" s="292"/>
      <c r="N30" s="292"/>
      <c r="T30" s="223"/>
    </row>
    <row r="31" spans="1:20" ht="17.399999999999999" x14ac:dyDescent="0.3">
      <c r="A31" s="226"/>
      <c r="D31" s="215" t="s">
        <v>145</v>
      </c>
      <c r="E31" s="150">
        <f>R27/E29</f>
        <v>10.5</v>
      </c>
      <c r="K31" s="292"/>
      <c r="L31" s="292"/>
      <c r="M31" s="292"/>
      <c r="N31" s="292"/>
      <c r="T31" s="223"/>
    </row>
    <row r="32" spans="1:20" ht="17.399999999999999" x14ac:dyDescent="0.3">
      <c r="A32" s="226"/>
      <c r="D32" s="215" t="s">
        <v>146</v>
      </c>
      <c r="E32" s="150">
        <f>S27/E29</f>
        <v>119.69999999999999</v>
      </c>
      <c r="T32" s="223"/>
    </row>
    <row r="33" spans="1:20" ht="14.4" thickBot="1" x14ac:dyDescent="0.3">
      <c r="A33" s="227"/>
      <c r="B33" s="228"/>
      <c r="C33" s="228"/>
      <c r="D33" s="228"/>
      <c r="E33" s="228"/>
      <c r="F33" s="228"/>
      <c r="G33" s="228"/>
      <c r="H33" s="228"/>
      <c r="I33" s="228"/>
      <c r="J33" s="228"/>
      <c r="K33" s="228"/>
      <c r="L33" s="228"/>
      <c r="M33" s="228"/>
      <c r="N33" s="228"/>
      <c r="O33" s="228"/>
      <c r="P33" s="228"/>
      <c r="Q33" s="228"/>
      <c r="R33" s="228"/>
      <c r="S33" s="228"/>
      <c r="T33" s="229"/>
    </row>
    <row r="34" spans="1:20" ht="14.4" thickBot="1" x14ac:dyDescent="0.3"/>
    <row r="35" spans="1:20" x14ac:dyDescent="0.25">
      <c r="A35" s="230"/>
      <c r="B35" s="231"/>
      <c r="C35" s="231"/>
      <c r="D35" s="231"/>
      <c r="E35" s="231"/>
      <c r="F35" s="231"/>
      <c r="G35" s="231"/>
      <c r="H35" s="231"/>
      <c r="I35" s="231"/>
      <c r="J35" s="231"/>
      <c r="K35" s="231"/>
      <c r="L35" s="231"/>
      <c r="M35" s="231"/>
      <c r="N35" s="231"/>
      <c r="O35" s="231"/>
      <c r="P35" s="231"/>
      <c r="Q35" s="231"/>
      <c r="R35" s="231"/>
      <c r="S35" s="231"/>
      <c r="T35" s="222"/>
    </row>
    <row r="36" spans="1:20" ht="17.399999999999999" x14ac:dyDescent="0.3">
      <c r="A36" s="303" t="str">
        <f>[1]Outlets!B21</f>
        <v>مخرج RG 11  لنظام كاميرات المراقبه التليفزيونيه معلق على السقف</v>
      </c>
      <c r="B36" s="304"/>
      <c r="C36" s="304"/>
      <c r="D36" s="304"/>
      <c r="E36" s="304"/>
      <c r="F36" s="304"/>
      <c r="G36" s="304"/>
      <c r="H36" s="304"/>
      <c r="I36" s="304"/>
      <c r="J36" s="304"/>
      <c r="K36" s="304"/>
      <c r="L36" s="304"/>
      <c r="M36" s="304"/>
      <c r="N36" s="304"/>
      <c r="O36" s="304"/>
      <c r="P36" s="304"/>
      <c r="Q36" s="304"/>
      <c r="R36" s="304"/>
      <c r="S36" s="304"/>
      <c r="T36" s="223"/>
    </row>
    <row r="37" spans="1:20" ht="17.399999999999999" x14ac:dyDescent="0.3">
      <c r="A37" s="298" t="str">
        <f>[1]Outlets!B22</f>
        <v>مخرج RG 11  من نوع المضاد للعوامل الجويه لنظام كاميرات المراقبه التليفزيونيه معلق على السقف</v>
      </c>
      <c r="B37" s="299"/>
      <c r="C37" s="299"/>
      <c r="D37" s="299"/>
      <c r="E37" s="299"/>
      <c r="F37" s="299"/>
      <c r="G37" s="299"/>
      <c r="H37" s="299"/>
      <c r="I37" s="299"/>
      <c r="J37" s="299"/>
      <c r="K37" s="299"/>
      <c r="L37" s="299"/>
      <c r="M37" s="299"/>
      <c r="N37" s="299"/>
      <c r="O37" s="299"/>
      <c r="P37" s="299"/>
      <c r="Q37" s="299"/>
      <c r="R37" s="299"/>
      <c r="S37" s="299"/>
      <c r="T37" s="223"/>
    </row>
    <row r="38" spans="1:20" ht="15" x14ac:dyDescent="0.25">
      <c r="A38" s="293" t="s">
        <v>116</v>
      </c>
      <c r="B38" s="300"/>
      <c r="C38" s="300"/>
      <c r="D38" s="300" t="s">
        <v>117</v>
      </c>
      <c r="E38" s="300"/>
      <c r="F38" s="300" t="s">
        <v>118</v>
      </c>
      <c r="G38" s="300"/>
      <c r="H38" s="300"/>
      <c r="I38" s="300"/>
      <c r="J38" s="300" t="s">
        <v>119</v>
      </c>
      <c r="K38" s="300"/>
      <c r="L38" s="300" t="s">
        <v>120</v>
      </c>
      <c r="M38" s="300"/>
      <c r="N38" s="300"/>
      <c r="O38" s="300" t="s">
        <v>95</v>
      </c>
      <c r="P38" s="300"/>
      <c r="Q38" s="184" t="s">
        <v>120</v>
      </c>
      <c r="R38" s="184" t="s">
        <v>95</v>
      </c>
      <c r="S38" s="184" t="s">
        <v>121</v>
      </c>
      <c r="T38" s="223"/>
    </row>
    <row r="39" spans="1:20" ht="15" x14ac:dyDescent="0.25">
      <c r="A39" s="224" t="s">
        <v>122</v>
      </c>
      <c r="B39" s="186" t="s">
        <v>123</v>
      </c>
      <c r="C39" s="186" t="s">
        <v>124</v>
      </c>
      <c r="D39" s="186" t="s">
        <v>125</v>
      </c>
      <c r="E39" s="186" t="s">
        <v>126</v>
      </c>
      <c r="F39" s="186" t="s">
        <v>127</v>
      </c>
      <c r="G39" s="186" t="s">
        <v>128</v>
      </c>
      <c r="H39" s="186" t="s">
        <v>129</v>
      </c>
      <c r="I39" s="186" t="s">
        <v>130</v>
      </c>
      <c r="J39" s="186" t="s">
        <v>131</v>
      </c>
      <c r="K39" s="186" t="s">
        <v>132</v>
      </c>
      <c r="L39" s="186" t="s">
        <v>133</v>
      </c>
      <c r="M39" s="186" t="s">
        <v>134</v>
      </c>
      <c r="N39" s="186" t="s">
        <v>135</v>
      </c>
      <c r="O39" s="186" t="s">
        <v>136</v>
      </c>
      <c r="P39" s="186" t="s">
        <v>137</v>
      </c>
      <c r="Q39" s="149"/>
      <c r="R39" s="149"/>
      <c r="S39" s="149"/>
      <c r="T39" s="223"/>
    </row>
    <row r="40" spans="1:20" ht="15" x14ac:dyDescent="0.25">
      <c r="A40" s="293" t="s">
        <v>201</v>
      </c>
      <c r="B40" s="294" t="s">
        <v>139</v>
      </c>
      <c r="C40" s="188" t="s">
        <v>202</v>
      </c>
      <c r="D40" s="189">
        <v>1</v>
      </c>
      <c r="E40" s="190"/>
      <c r="F40" s="190">
        <v>4</v>
      </c>
      <c r="G40" s="190">
        <v>2.5</v>
      </c>
      <c r="H40" s="190">
        <v>1.8</v>
      </c>
      <c r="I40" s="190">
        <v>3.4</v>
      </c>
      <c r="J40" s="190">
        <v>0</v>
      </c>
      <c r="K40" s="190">
        <v>0</v>
      </c>
      <c r="L40" s="189">
        <f>(F40-H40)+((2*E40)-1)*(F40-G40)</f>
        <v>0.70000000000000018</v>
      </c>
      <c r="M40" s="189">
        <v>0</v>
      </c>
      <c r="N40" s="190">
        <v>90</v>
      </c>
      <c r="O40" s="190">
        <f>F40-I40</f>
        <v>0.60000000000000009</v>
      </c>
      <c r="P40" s="190">
        <f>(D40*2)*F40-I40</f>
        <v>4.5999999999999996</v>
      </c>
      <c r="Q40" s="189">
        <f>L40+N40</f>
        <v>90.7</v>
      </c>
      <c r="R40" s="189">
        <v>0.6</v>
      </c>
      <c r="S40" s="189">
        <f>R40+Q40+J40+K40</f>
        <v>91.3</v>
      </c>
      <c r="T40" s="223"/>
    </row>
    <row r="41" spans="1:20" ht="15" x14ac:dyDescent="0.25">
      <c r="A41" s="293"/>
      <c r="B41" s="295"/>
      <c r="C41" s="188" t="s">
        <v>203</v>
      </c>
      <c r="D41" s="189">
        <v>1</v>
      </c>
      <c r="E41" s="190"/>
      <c r="F41" s="190">
        <v>4</v>
      </c>
      <c r="G41" s="190">
        <v>2.5</v>
      </c>
      <c r="H41" s="190">
        <v>1.8</v>
      </c>
      <c r="I41" s="190">
        <v>3.4</v>
      </c>
      <c r="J41" s="190">
        <v>0</v>
      </c>
      <c r="K41" s="190">
        <v>0</v>
      </c>
      <c r="L41" s="189">
        <f t="shared" ref="L41:L67" si="10">(F41-H41)+((2*E41)-1)*(F41-G41)</f>
        <v>0.70000000000000018</v>
      </c>
      <c r="M41" s="189">
        <v>0</v>
      </c>
      <c r="N41" s="190">
        <v>90</v>
      </c>
      <c r="O41" s="190">
        <f t="shared" ref="O41:O67" si="11">F41-I41</f>
        <v>0.60000000000000009</v>
      </c>
      <c r="P41" s="190">
        <f t="shared" ref="P41:P67" si="12">(D41*2)*F41-I41</f>
        <v>4.5999999999999996</v>
      </c>
      <c r="Q41" s="189">
        <f t="shared" ref="Q41:Q67" si="13">L41+N41</f>
        <v>90.7</v>
      </c>
      <c r="R41" s="189">
        <v>1.6</v>
      </c>
      <c r="S41" s="189">
        <f t="shared" ref="S41:S67" si="14">R41+Q41+J41+K41</f>
        <v>92.3</v>
      </c>
      <c r="T41" s="223"/>
    </row>
    <row r="42" spans="1:20" ht="15" x14ac:dyDescent="0.25">
      <c r="A42" s="293"/>
      <c r="B42" s="295"/>
      <c r="C42" s="188" t="s">
        <v>204</v>
      </c>
      <c r="D42" s="189">
        <v>1</v>
      </c>
      <c r="E42" s="190"/>
      <c r="F42" s="190">
        <v>4</v>
      </c>
      <c r="G42" s="190">
        <v>2.5</v>
      </c>
      <c r="H42" s="190">
        <v>1.8</v>
      </c>
      <c r="I42" s="190">
        <v>3.4</v>
      </c>
      <c r="J42" s="190">
        <v>0</v>
      </c>
      <c r="K42" s="190">
        <v>0</v>
      </c>
      <c r="L42" s="189">
        <f t="shared" si="10"/>
        <v>0.70000000000000018</v>
      </c>
      <c r="M42" s="189">
        <v>0</v>
      </c>
      <c r="N42" s="190">
        <v>90</v>
      </c>
      <c r="O42" s="190">
        <f t="shared" si="11"/>
        <v>0.60000000000000009</v>
      </c>
      <c r="P42" s="190">
        <f t="shared" si="12"/>
        <v>4.5999999999999996</v>
      </c>
      <c r="Q42" s="189">
        <f t="shared" si="13"/>
        <v>90.7</v>
      </c>
      <c r="R42" s="189">
        <v>2.6</v>
      </c>
      <c r="S42" s="189">
        <f t="shared" si="14"/>
        <v>93.3</v>
      </c>
      <c r="T42" s="223"/>
    </row>
    <row r="43" spans="1:20" ht="15" x14ac:dyDescent="0.25">
      <c r="A43" s="293"/>
      <c r="B43" s="295"/>
      <c r="C43" s="188" t="s">
        <v>205</v>
      </c>
      <c r="D43" s="189">
        <v>1</v>
      </c>
      <c r="E43" s="190"/>
      <c r="F43" s="190">
        <v>4</v>
      </c>
      <c r="G43" s="190">
        <v>2.5</v>
      </c>
      <c r="H43" s="190">
        <v>1.8</v>
      </c>
      <c r="I43" s="190">
        <v>3.4</v>
      </c>
      <c r="J43" s="190">
        <v>0</v>
      </c>
      <c r="K43" s="190">
        <v>0</v>
      </c>
      <c r="L43" s="189">
        <f t="shared" si="10"/>
        <v>0.70000000000000018</v>
      </c>
      <c r="M43" s="189">
        <v>0</v>
      </c>
      <c r="N43" s="190">
        <v>90</v>
      </c>
      <c r="O43" s="190">
        <f t="shared" si="11"/>
        <v>0.60000000000000009</v>
      </c>
      <c r="P43" s="190">
        <f t="shared" si="12"/>
        <v>4.5999999999999996</v>
      </c>
      <c r="Q43" s="189">
        <f t="shared" si="13"/>
        <v>90.7</v>
      </c>
      <c r="R43" s="189">
        <v>3.6</v>
      </c>
      <c r="S43" s="189">
        <f t="shared" si="14"/>
        <v>94.3</v>
      </c>
      <c r="T43" s="223"/>
    </row>
    <row r="44" spans="1:20" ht="15" x14ac:dyDescent="0.25">
      <c r="A44" s="293"/>
      <c r="B44" s="295"/>
      <c r="C44" s="188" t="s">
        <v>206</v>
      </c>
      <c r="D44" s="189">
        <v>1</v>
      </c>
      <c r="E44" s="190"/>
      <c r="F44" s="190">
        <v>4</v>
      </c>
      <c r="G44" s="190">
        <v>2.5</v>
      </c>
      <c r="H44" s="190">
        <v>1.8</v>
      </c>
      <c r="I44" s="190">
        <v>3.4</v>
      </c>
      <c r="J44" s="190">
        <v>0</v>
      </c>
      <c r="K44" s="190">
        <v>0</v>
      </c>
      <c r="L44" s="189">
        <f t="shared" si="10"/>
        <v>0.70000000000000018</v>
      </c>
      <c r="M44" s="189">
        <v>0</v>
      </c>
      <c r="N44" s="190">
        <v>90</v>
      </c>
      <c r="O44" s="190">
        <f t="shared" si="11"/>
        <v>0.60000000000000009</v>
      </c>
      <c r="P44" s="190">
        <f t="shared" si="12"/>
        <v>4.5999999999999996</v>
      </c>
      <c r="Q44" s="189">
        <f t="shared" si="13"/>
        <v>90.7</v>
      </c>
      <c r="R44" s="189">
        <v>4.5999999999999996</v>
      </c>
      <c r="S44" s="189">
        <f t="shared" si="14"/>
        <v>95.3</v>
      </c>
      <c r="T44" s="223"/>
    </row>
    <row r="45" spans="1:20" ht="15" x14ac:dyDescent="0.25">
      <c r="A45" s="293"/>
      <c r="B45" s="295"/>
      <c r="C45" s="188" t="s">
        <v>207</v>
      </c>
      <c r="D45" s="189">
        <v>1</v>
      </c>
      <c r="E45" s="190"/>
      <c r="F45" s="190">
        <v>4</v>
      </c>
      <c r="G45" s="190">
        <v>2.5</v>
      </c>
      <c r="H45" s="190">
        <v>1.8</v>
      </c>
      <c r="I45" s="190">
        <v>3.4</v>
      </c>
      <c r="J45" s="190">
        <v>0</v>
      </c>
      <c r="K45" s="190">
        <v>0</v>
      </c>
      <c r="L45" s="189">
        <f t="shared" si="10"/>
        <v>0.70000000000000018</v>
      </c>
      <c r="M45" s="189">
        <v>0</v>
      </c>
      <c r="N45" s="190">
        <v>90</v>
      </c>
      <c r="O45" s="190">
        <f t="shared" si="11"/>
        <v>0.60000000000000009</v>
      </c>
      <c r="P45" s="190">
        <f t="shared" si="12"/>
        <v>4.5999999999999996</v>
      </c>
      <c r="Q45" s="189">
        <f t="shared" si="13"/>
        <v>90.7</v>
      </c>
      <c r="R45" s="189">
        <v>5.6</v>
      </c>
      <c r="S45" s="189">
        <f t="shared" si="14"/>
        <v>96.3</v>
      </c>
      <c r="T45" s="223"/>
    </row>
    <row r="46" spans="1:20" ht="15" x14ac:dyDescent="0.25">
      <c r="A46" s="293"/>
      <c r="B46" s="295"/>
      <c r="C46" s="188" t="s">
        <v>208</v>
      </c>
      <c r="D46" s="189">
        <v>1</v>
      </c>
      <c r="E46" s="190"/>
      <c r="F46" s="190">
        <v>4</v>
      </c>
      <c r="G46" s="190">
        <v>2.5</v>
      </c>
      <c r="H46" s="190">
        <v>1.8</v>
      </c>
      <c r="I46" s="190">
        <v>3.4</v>
      </c>
      <c r="J46" s="190">
        <v>0</v>
      </c>
      <c r="K46" s="190">
        <v>0</v>
      </c>
      <c r="L46" s="189">
        <f t="shared" si="10"/>
        <v>0.70000000000000018</v>
      </c>
      <c r="M46" s="189">
        <v>0</v>
      </c>
      <c r="N46" s="190">
        <v>90</v>
      </c>
      <c r="O46" s="190">
        <f t="shared" si="11"/>
        <v>0.60000000000000009</v>
      </c>
      <c r="P46" s="190">
        <f t="shared" si="12"/>
        <v>4.5999999999999996</v>
      </c>
      <c r="Q46" s="189">
        <f t="shared" si="13"/>
        <v>90.7</v>
      </c>
      <c r="R46" s="189">
        <v>6.6</v>
      </c>
      <c r="S46" s="189">
        <f t="shared" si="14"/>
        <v>97.3</v>
      </c>
      <c r="T46" s="223"/>
    </row>
    <row r="47" spans="1:20" ht="15" x14ac:dyDescent="0.25">
      <c r="A47" s="293"/>
      <c r="B47" s="295"/>
      <c r="C47" s="188" t="s">
        <v>209</v>
      </c>
      <c r="D47" s="189">
        <v>1</v>
      </c>
      <c r="E47" s="190"/>
      <c r="F47" s="190">
        <v>4</v>
      </c>
      <c r="G47" s="190">
        <v>2.5</v>
      </c>
      <c r="H47" s="190">
        <v>1.8</v>
      </c>
      <c r="I47" s="190">
        <v>3.4</v>
      </c>
      <c r="J47" s="190">
        <v>0</v>
      </c>
      <c r="K47" s="190">
        <v>0</v>
      </c>
      <c r="L47" s="189">
        <f t="shared" si="10"/>
        <v>0.70000000000000018</v>
      </c>
      <c r="M47" s="189">
        <v>0</v>
      </c>
      <c r="N47" s="190">
        <v>90</v>
      </c>
      <c r="O47" s="190">
        <f t="shared" si="11"/>
        <v>0.60000000000000009</v>
      </c>
      <c r="P47" s="190">
        <f t="shared" si="12"/>
        <v>4.5999999999999996</v>
      </c>
      <c r="Q47" s="189">
        <f t="shared" si="13"/>
        <v>90.7</v>
      </c>
      <c r="R47" s="189">
        <v>7.6</v>
      </c>
      <c r="S47" s="189">
        <f t="shared" si="14"/>
        <v>98.3</v>
      </c>
      <c r="T47" s="223"/>
    </row>
    <row r="48" spans="1:20" ht="15" x14ac:dyDescent="0.25">
      <c r="A48" s="293"/>
      <c r="B48" s="295"/>
      <c r="C48" s="188" t="s">
        <v>210</v>
      </c>
      <c r="D48" s="189">
        <v>1</v>
      </c>
      <c r="E48" s="190"/>
      <c r="F48" s="190">
        <v>4</v>
      </c>
      <c r="G48" s="190">
        <v>2.5</v>
      </c>
      <c r="H48" s="190">
        <v>1.8</v>
      </c>
      <c r="I48" s="190">
        <v>3.4</v>
      </c>
      <c r="J48" s="190">
        <v>0</v>
      </c>
      <c r="K48" s="190">
        <v>0</v>
      </c>
      <c r="L48" s="189">
        <f t="shared" si="10"/>
        <v>0.70000000000000018</v>
      </c>
      <c r="M48" s="189">
        <v>0</v>
      </c>
      <c r="N48" s="190">
        <v>90</v>
      </c>
      <c r="O48" s="190">
        <f t="shared" si="11"/>
        <v>0.60000000000000009</v>
      </c>
      <c r="P48" s="190">
        <f t="shared" si="12"/>
        <v>4.5999999999999996</v>
      </c>
      <c r="Q48" s="189">
        <f t="shared" si="13"/>
        <v>90.7</v>
      </c>
      <c r="R48" s="189">
        <v>8.6</v>
      </c>
      <c r="S48" s="189">
        <f t="shared" si="14"/>
        <v>99.3</v>
      </c>
      <c r="T48" s="223"/>
    </row>
    <row r="49" spans="1:20" ht="15" x14ac:dyDescent="0.25">
      <c r="A49" s="293"/>
      <c r="B49" s="295"/>
      <c r="C49" s="188" t="s">
        <v>211</v>
      </c>
      <c r="D49" s="189">
        <v>1</v>
      </c>
      <c r="E49" s="190"/>
      <c r="F49" s="190">
        <v>4</v>
      </c>
      <c r="G49" s="190">
        <v>2.5</v>
      </c>
      <c r="H49" s="190">
        <v>1.8</v>
      </c>
      <c r="I49" s="190">
        <v>3.4</v>
      </c>
      <c r="J49" s="190">
        <v>0</v>
      </c>
      <c r="K49" s="190">
        <v>0</v>
      </c>
      <c r="L49" s="189">
        <f t="shared" si="10"/>
        <v>0.70000000000000018</v>
      </c>
      <c r="M49" s="189">
        <v>0</v>
      </c>
      <c r="N49" s="190">
        <v>90</v>
      </c>
      <c r="O49" s="190">
        <f t="shared" si="11"/>
        <v>0.60000000000000009</v>
      </c>
      <c r="P49" s="190">
        <f t="shared" si="12"/>
        <v>4.5999999999999996</v>
      </c>
      <c r="Q49" s="189">
        <f t="shared" si="13"/>
        <v>90.7</v>
      </c>
      <c r="R49" s="189">
        <v>9.6</v>
      </c>
      <c r="S49" s="189">
        <f t="shared" si="14"/>
        <v>100.3</v>
      </c>
      <c r="T49" s="223"/>
    </row>
    <row r="50" spans="1:20" ht="15" x14ac:dyDescent="0.25">
      <c r="A50" s="293"/>
      <c r="B50" s="295"/>
      <c r="C50" s="188" t="s">
        <v>108</v>
      </c>
      <c r="D50" s="189">
        <v>1</v>
      </c>
      <c r="E50" s="190"/>
      <c r="F50" s="190">
        <v>4</v>
      </c>
      <c r="G50" s="190">
        <v>2.5</v>
      </c>
      <c r="H50" s="190">
        <v>1.8</v>
      </c>
      <c r="I50" s="190">
        <v>3.4</v>
      </c>
      <c r="J50" s="190">
        <v>0</v>
      </c>
      <c r="K50" s="190">
        <v>0</v>
      </c>
      <c r="L50" s="189">
        <f t="shared" si="10"/>
        <v>0.70000000000000018</v>
      </c>
      <c r="M50" s="189">
        <v>0</v>
      </c>
      <c r="N50" s="190">
        <v>90</v>
      </c>
      <c r="O50" s="190">
        <f t="shared" si="11"/>
        <v>0.60000000000000009</v>
      </c>
      <c r="P50" s="190">
        <f t="shared" si="12"/>
        <v>4.5999999999999996</v>
      </c>
      <c r="Q50" s="189">
        <f t="shared" si="13"/>
        <v>90.7</v>
      </c>
      <c r="R50" s="189">
        <v>10.6</v>
      </c>
      <c r="S50" s="189">
        <f t="shared" si="14"/>
        <v>101.3</v>
      </c>
      <c r="T50" s="223"/>
    </row>
    <row r="51" spans="1:20" ht="15" x14ac:dyDescent="0.25">
      <c r="A51" s="293"/>
      <c r="B51" s="295"/>
      <c r="C51" s="188" t="s">
        <v>212</v>
      </c>
      <c r="D51" s="189">
        <v>1</v>
      </c>
      <c r="E51" s="190"/>
      <c r="F51" s="190">
        <v>4</v>
      </c>
      <c r="G51" s="190">
        <v>2.5</v>
      </c>
      <c r="H51" s="190">
        <v>1.8</v>
      </c>
      <c r="I51" s="190">
        <v>3.4</v>
      </c>
      <c r="J51" s="190">
        <v>0</v>
      </c>
      <c r="K51" s="190">
        <v>0</v>
      </c>
      <c r="L51" s="189">
        <f t="shared" si="10"/>
        <v>0.70000000000000018</v>
      </c>
      <c r="M51" s="189">
        <v>0</v>
      </c>
      <c r="N51" s="190">
        <v>90</v>
      </c>
      <c r="O51" s="190">
        <f t="shared" si="11"/>
        <v>0.60000000000000009</v>
      </c>
      <c r="P51" s="190">
        <f t="shared" si="12"/>
        <v>4.5999999999999996</v>
      </c>
      <c r="Q51" s="189">
        <f t="shared" si="13"/>
        <v>90.7</v>
      </c>
      <c r="R51" s="189">
        <v>11.6</v>
      </c>
      <c r="S51" s="189">
        <f t="shared" si="14"/>
        <v>102.3</v>
      </c>
      <c r="T51" s="223"/>
    </row>
    <row r="52" spans="1:20" ht="15" x14ac:dyDescent="0.25">
      <c r="A52" s="293"/>
      <c r="B52" s="295"/>
      <c r="C52" s="188" t="s">
        <v>213</v>
      </c>
      <c r="D52" s="189">
        <v>1</v>
      </c>
      <c r="E52" s="190"/>
      <c r="F52" s="190">
        <v>4</v>
      </c>
      <c r="G52" s="190">
        <v>2.5</v>
      </c>
      <c r="H52" s="190">
        <v>1.8</v>
      </c>
      <c r="I52" s="190">
        <v>3.4</v>
      </c>
      <c r="J52" s="190">
        <v>0</v>
      </c>
      <c r="K52" s="190">
        <v>0</v>
      </c>
      <c r="L52" s="189">
        <f t="shared" si="10"/>
        <v>0.70000000000000018</v>
      </c>
      <c r="M52" s="189">
        <v>0</v>
      </c>
      <c r="N52" s="190">
        <v>90</v>
      </c>
      <c r="O52" s="190">
        <f t="shared" si="11"/>
        <v>0.60000000000000009</v>
      </c>
      <c r="P52" s="190">
        <f t="shared" si="12"/>
        <v>4.5999999999999996</v>
      </c>
      <c r="Q52" s="189">
        <f t="shared" si="13"/>
        <v>90.7</v>
      </c>
      <c r="R52" s="189">
        <v>12.6</v>
      </c>
      <c r="S52" s="189">
        <f t="shared" si="14"/>
        <v>103.3</v>
      </c>
      <c r="T52" s="223"/>
    </row>
    <row r="53" spans="1:20" ht="15" x14ac:dyDescent="0.25">
      <c r="A53" s="293"/>
      <c r="B53" s="295"/>
      <c r="C53" s="188" t="s">
        <v>214</v>
      </c>
      <c r="D53" s="189">
        <v>1</v>
      </c>
      <c r="E53" s="190"/>
      <c r="F53" s="190">
        <v>4</v>
      </c>
      <c r="G53" s="190">
        <v>2.5</v>
      </c>
      <c r="H53" s="190">
        <v>1.8</v>
      </c>
      <c r="I53" s="190">
        <v>3.4</v>
      </c>
      <c r="J53" s="190">
        <v>0</v>
      </c>
      <c r="K53" s="190">
        <v>0</v>
      </c>
      <c r="L53" s="189">
        <f t="shared" si="10"/>
        <v>0.70000000000000018</v>
      </c>
      <c r="M53" s="189">
        <v>0</v>
      </c>
      <c r="N53" s="190">
        <v>90</v>
      </c>
      <c r="O53" s="190">
        <f t="shared" si="11"/>
        <v>0.60000000000000009</v>
      </c>
      <c r="P53" s="190">
        <f t="shared" si="12"/>
        <v>4.5999999999999996</v>
      </c>
      <c r="Q53" s="189">
        <f t="shared" si="13"/>
        <v>90.7</v>
      </c>
      <c r="R53" s="189">
        <v>13.6</v>
      </c>
      <c r="S53" s="189">
        <f t="shared" si="14"/>
        <v>104.3</v>
      </c>
      <c r="T53" s="223"/>
    </row>
    <row r="54" spans="1:20" ht="15" x14ac:dyDescent="0.25">
      <c r="A54" s="293"/>
      <c r="B54" s="295"/>
      <c r="C54" s="188" t="s">
        <v>215</v>
      </c>
      <c r="D54" s="189">
        <v>1</v>
      </c>
      <c r="E54" s="190"/>
      <c r="F54" s="190">
        <v>4</v>
      </c>
      <c r="G54" s="190">
        <v>2.5</v>
      </c>
      <c r="H54" s="190">
        <v>1.8</v>
      </c>
      <c r="I54" s="190">
        <v>3.4</v>
      </c>
      <c r="J54" s="190">
        <v>0</v>
      </c>
      <c r="K54" s="190">
        <v>0</v>
      </c>
      <c r="L54" s="189">
        <f t="shared" si="10"/>
        <v>0.70000000000000018</v>
      </c>
      <c r="M54" s="189">
        <v>0</v>
      </c>
      <c r="N54" s="190">
        <v>90</v>
      </c>
      <c r="O54" s="190">
        <f t="shared" si="11"/>
        <v>0.60000000000000009</v>
      </c>
      <c r="P54" s="190">
        <f t="shared" si="12"/>
        <v>4.5999999999999996</v>
      </c>
      <c r="Q54" s="189">
        <f t="shared" si="13"/>
        <v>90.7</v>
      </c>
      <c r="R54" s="189">
        <v>14.6</v>
      </c>
      <c r="S54" s="189">
        <f t="shared" si="14"/>
        <v>105.3</v>
      </c>
      <c r="T54" s="223"/>
    </row>
    <row r="55" spans="1:20" ht="15" x14ac:dyDescent="0.25">
      <c r="A55" s="293"/>
      <c r="B55" s="295"/>
      <c r="C55" s="188" t="s">
        <v>216</v>
      </c>
      <c r="D55" s="189">
        <v>1</v>
      </c>
      <c r="E55" s="190"/>
      <c r="F55" s="190">
        <v>4</v>
      </c>
      <c r="G55" s="190">
        <v>2.5</v>
      </c>
      <c r="H55" s="190">
        <v>1.8</v>
      </c>
      <c r="I55" s="190">
        <v>3.4</v>
      </c>
      <c r="J55" s="190">
        <v>0</v>
      </c>
      <c r="K55" s="190">
        <v>0</v>
      </c>
      <c r="L55" s="189">
        <f t="shared" si="10"/>
        <v>0.70000000000000018</v>
      </c>
      <c r="M55" s="189">
        <v>0</v>
      </c>
      <c r="N55" s="190">
        <v>90</v>
      </c>
      <c r="O55" s="190">
        <f t="shared" si="11"/>
        <v>0.60000000000000009</v>
      </c>
      <c r="P55" s="190">
        <f t="shared" si="12"/>
        <v>4.5999999999999996</v>
      </c>
      <c r="Q55" s="189">
        <f t="shared" si="13"/>
        <v>90.7</v>
      </c>
      <c r="R55" s="189">
        <v>15.6</v>
      </c>
      <c r="S55" s="189">
        <f t="shared" si="14"/>
        <v>106.3</v>
      </c>
      <c r="T55" s="223"/>
    </row>
    <row r="56" spans="1:20" ht="15" x14ac:dyDescent="0.25">
      <c r="A56" s="293"/>
      <c r="B56" s="295"/>
      <c r="C56" s="188" t="s">
        <v>217</v>
      </c>
      <c r="D56" s="189">
        <v>1</v>
      </c>
      <c r="E56" s="190"/>
      <c r="F56" s="190">
        <v>4</v>
      </c>
      <c r="G56" s="190">
        <v>2.5</v>
      </c>
      <c r="H56" s="190">
        <v>1.8</v>
      </c>
      <c r="I56" s="190">
        <v>3.4</v>
      </c>
      <c r="J56" s="190">
        <v>0</v>
      </c>
      <c r="K56" s="190">
        <v>0</v>
      </c>
      <c r="L56" s="189">
        <f t="shared" si="10"/>
        <v>0.70000000000000018</v>
      </c>
      <c r="M56" s="189">
        <v>0</v>
      </c>
      <c r="N56" s="190">
        <v>90</v>
      </c>
      <c r="O56" s="190">
        <f t="shared" si="11"/>
        <v>0.60000000000000009</v>
      </c>
      <c r="P56" s="190">
        <f t="shared" si="12"/>
        <v>4.5999999999999996</v>
      </c>
      <c r="Q56" s="189">
        <f t="shared" si="13"/>
        <v>90.7</v>
      </c>
      <c r="R56" s="189">
        <v>16.600000000000001</v>
      </c>
      <c r="S56" s="189">
        <f t="shared" si="14"/>
        <v>107.30000000000001</v>
      </c>
      <c r="T56" s="223"/>
    </row>
    <row r="57" spans="1:20" ht="15" x14ac:dyDescent="0.25">
      <c r="A57" s="293"/>
      <c r="B57" s="295"/>
      <c r="C57" s="188" t="s">
        <v>218</v>
      </c>
      <c r="D57" s="189">
        <v>1</v>
      </c>
      <c r="E57" s="190"/>
      <c r="F57" s="190">
        <v>4</v>
      </c>
      <c r="G57" s="190">
        <v>2.5</v>
      </c>
      <c r="H57" s="190">
        <v>1.8</v>
      </c>
      <c r="I57" s="190">
        <v>3.4</v>
      </c>
      <c r="J57" s="190">
        <v>0</v>
      </c>
      <c r="K57" s="190">
        <v>0</v>
      </c>
      <c r="L57" s="189">
        <f t="shared" si="10"/>
        <v>0.70000000000000018</v>
      </c>
      <c r="M57" s="189">
        <v>0</v>
      </c>
      <c r="N57" s="190">
        <v>90</v>
      </c>
      <c r="O57" s="190">
        <f t="shared" si="11"/>
        <v>0.60000000000000009</v>
      </c>
      <c r="P57" s="190">
        <f t="shared" si="12"/>
        <v>4.5999999999999996</v>
      </c>
      <c r="Q57" s="189">
        <f t="shared" si="13"/>
        <v>90.7</v>
      </c>
      <c r="R57" s="189">
        <v>17.600000000000001</v>
      </c>
      <c r="S57" s="189">
        <f t="shared" si="14"/>
        <v>108.30000000000001</v>
      </c>
      <c r="T57" s="223"/>
    </row>
    <row r="58" spans="1:20" ht="15" x14ac:dyDescent="0.25">
      <c r="A58" s="293"/>
      <c r="B58" s="295"/>
      <c r="C58" s="188" t="s">
        <v>219</v>
      </c>
      <c r="D58" s="189">
        <v>1</v>
      </c>
      <c r="E58" s="190"/>
      <c r="F58" s="190">
        <v>4</v>
      </c>
      <c r="G58" s="190">
        <v>2.5</v>
      </c>
      <c r="H58" s="190">
        <v>1.8</v>
      </c>
      <c r="I58" s="190">
        <v>3.4</v>
      </c>
      <c r="J58" s="190">
        <v>0</v>
      </c>
      <c r="K58" s="190">
        <v>0</v>
      </c>
      <c r="L58" s="189">
        <f t="shared" si="10"/>
        <v>0.70000000000000018</v>
      </c>
      <c r="M58" s="189">
        <v>0</v>
      </c>
      <c r="N58" s="190">
        <v>90</v>
      </c>
      <c r="O58" s="190">
        <f t="shared" si="11"/>
        <v>0.60000000000000009</v>
      </c>
      <c r="P58" s="190">
        <f t="shared" si="12"/>
        <v>4.5999999999999996</v>
      </c>
      <c r="Q58" s="189">
        <f t="shared" si="13"/>
        <v>90.7</v>
      </c>
      <c r="R58" s="189">
        <v>18.600000000000001</v>
      </c>
      <c r="S58" s="189">
        <f t="shared" si="14"/>
        <v>109.30000000000001</v>
      </c>
      <c r="T58" s="223"/>
    </row>
    <row r="59" spans="1:20" ht="15" x14ac:dyDescent="0.25">
      <c r="A59" s="293"/>
      <c r="B59" s="295"/>
      <c r="C59" s="188" t="s">
        <v>220</v>
      </c>
      <c r="D59" s="189">
        <v>1</v>
      </c>
      <c r="E59" s="190"/>
      <c r="F59" s="190">
        <v>4</v>
      </c>
      <c r="G59" s="190">
        <v>2.5</v>
      </c>
      <c r="H59" s="190">
        <v>1.8</v>
      </c>
      <c r="I59" s="190">
        <v>3.4</v>
      </c>
      <c r="J59" s="190">
        <v>0</v>
      </c>
      <c r="K59" s="190">
        <v>0</v>
      </c>
      <c r="L59" s="189">
        <f t="shared" si="10"/>
        <v>0.70000000000000018</v>
      </c>
      <c r="M59" s="189">
        <v>0</v>
      </c>
      <c r="N59" s="190">
        <v>90</v>
      </c>
      <c r="O59" s="190">
        <f t="shared" si="11"/>
        <v>0.60000000000000009</v>
      </c>
      <c r="P59" s="190">
        <f t="shared" si="12"/>
        <v>4.5999999999999996</v>
      </c>
      <c r="Q59" s="189">
        <f t="shared" si="13"/>
        <v>90.7</v>
      </c>
      <c r="R59" s="189">
        <v>19.600000000000001</v>
      </c>
      <c r="S59" s="189">
        <f t="shared" si="14"/>
        <v>110.30000000000001</v>
      </c>
      <c r="T59" s="223"/>
    </row>
    <row r="60" spans="1:20" ht="15" x14ac:dyDescent="0.25">
      <c r="A60" s="293"/>
      <c r="B60" s="295"/>
      <c r="C60" s="188" t="s">
        <v>221</v>
      </c>
      <c r="D60" s="189">
        <v>1</v>
      </c>
      <c r="E60" s="190"/>
      <c r="F60" s="190">
        <v>4</v>
      </c>
      <c r="G60" s="190">
        <v>2.5</v>
      </c>
      <c r="H60" s="190">
        <v>1.8</v>
      </c>
      <c r="I60" s="190">
        <v>3.4</v>
      </c>
      <c r="J60" s="190">
        <v>0</v>
      </c>
      <c r="K60" s="190">
        <v>0</v>
      </c>
      <c r="L60" s="189">
        <f t="shared" si="10"/>
        <v>0.70000000000000018</v>
      </c>
      <c r="M60" s="189">
        <v>0</v>
      </c>
      <c r="N60" s="190">
        <v>90</v>
      </c>
      <c r="O60" s="190">
        <f t="shared" si="11"/>
        <v>0.60000000000000009</v>
      </c>
      <c r="P60" s="190">
        <f t="shared" si="12"/>
        <v>4.5999999999999996</v>
      </c>
      <c r="Q60" s="189">
        <f t="shared" si="13"/>
        <v>90.7</v>
      </c>
      <c r="R60" s="189">
        <v>20.6</v>
      </c>
      <c r="S60" s="189">
        <f t="shared" si="14"/>
        <v>111.30000000000001</v>
      </c>
      <c r="T60" s="223"/>
    </row>
    <row r="61" spans="1:20" ht="15" x14ac:dyDescent="0.25">
      <c r="A61" s="293"/>
      <c r="B61" s="295"/>
      <c r="C61" s="188" t="s">
        <v>222</v>
      </c>
      <c r="D61" s="189">
        <v>1</v>
      </c>
      <c r="E61" s="190"/>
      <c r="F61" s="190">
        <v>4</v>
      </c>
      <c r="G61" s="190">
        <v>2.5</v>
      </c>
      <c r="H61" s="190">
        <v>1.8</v>
      </c>
      <c r="I61" s="190">
        <v>3.4</v>
      </c>
      <c r="J61" s="190">
        <v>0</v>
      </c>
      <c r="K61" s="190">
        <v>0</v>
      </c>
      <c r="L61" s="189">
        <f t="shared" si="10"/>
        <v>0.70000000000000018</v>
      </c>
      <c r="M61" s="189">
        <v>0</v>
      </c>
      <c r="N61" s="190">
        <v>90</v>
      </c>
      <c r="O61" s="190">
        <f t="shared" si="11"/>
        <v>0.60000000000000009</v>
      </c>
      <c r="P61" s="190">
        <f t="shared" si="12"/>
        <v>4.5999999999999996</v>
      </c>
      <c r="Q61" s="189">
        <f t="shared" si="13"/>
        <v>90.7</v>
      </c>
      <c r="R61" s="189">
        <v>21.6</v>
      </c>
      <c r="S61" s="189">
        <f t="shared" si="14"/>
        <v>112.30000000000001</v>
      </c>
      <c r="T61" s="223"/>
    </row>
    <row r="62" spans="1:20" ht="15" x14ac:dyDescent="0.25">
      <c r="A62" s="293"/>
      <c r="B62" s="295"/>
      <c r="C62" s="188" t="s">
        <v>223</v>
      </c>
      <c r="D62" s="189">
        <v>1</v>
      </c>
      <c r="E62" s="190"/>
      <c r="F62" s="190">
        <v>4</v>
      </c>
      <c r="G62" s="190">
        <v>2.5</v>
      </c>
      <c r="H62" s="190">
        <v>1.8</v>
      </c>
      <c r="I62" s="190">
        <v>3.4</v>
      </c>
      <c r="J62" s="190">
        <v>0</v>
      </c>
      <c r="K62" s="190">
        <v>0</v>
      </c>
      <c r="L62" s="189">
        <f t="shared" si="10"/>
        <v>0.70000000000000018</v>
      </c>
      <c r="M62" s="189">
        <v>0</v>
      </c>
      <c r="N62" s="190">
        <v>90</v>
      </c>
      <c r="O62" s="190">
        <f t="shared" si="11"/>
        <v>0.60000000000000009</v>
      </c>
      <c r="P62" s="190">
        <f t="shared" si="12"/>
        <v>4.5999999999999996</v>
      </c>
      <c r="Q62" s="189">
        <f t="shared" si="13"/>
        <v>90.7</v>
      </c>
      <c r="R62" s="189">
        <v>22.6</v>
      </c>
      <c r="S62" s="189">
        <f t="shared" si="14"/>
        <v>113.30000000000001</v>
      </c>
      <c r="T62" s="223"/>
    </row>
    <row r="63" spans="1:20" ht="15" x14ac:dyDescent="0.25">
      <c r="A63" s="293"/>
      <c r="B63" s="295"/>
      <c r="C63" s="188" t="s">
        <v>224</v>
      </c>
      <c r="D63" s="189">
        <v>1</v>
      </c>
      <c r="E63" s="190"/>
      <c r="F63" s="190">
        <v>4</v>
      </c>
      <c r="G63" s="190">
        <v>2.5</v>
      </c>
      <c r="H63" s="190">
        <v>1.8</v>
      </c>
      <c r="I63" s="190">
        <v>3.4</v>
      </c>
      <c r="J63" s="190">
        <v>0</v>
      </c>
      <c r="K63" s="190">
        <v>0</v>
      </c>
      <c r="L63" s="189">
        <f t="shared" si="10"/>
        <v>0.70000000000000018</v>
      </c>
      <c r="M63" s="189">
        <v>0</v>
      </c>
      <c r="N63" s="190">
        <v>90</v>
      </c>
      <c r="O63" s="190">
        <f t="shared" si="11"/>
        <v>0.60000000000000009</v>
      </c>
      <c r="P63" s="190">
        <f t="shared" si="12"/>
        <v>4.5999999999999996</v>
      </c>
      <c r="Q63" s="189">
        <f t="shared" si="13"/>
        <v>90.7</v>
      </c>
      <c r="R63" s="189">
        <v>23.6</v>
      </c>
      <c r="S63" s="189">
        <f t="shared" si="14"/>
        <v>114.30000000000001</v>
      </c>
      <c r="T63" s="223"/>
    </row>
    <row r="64" spans="1:20" ht="15" x14ac:dyDescent="0.25">
      <c r="A64" s="293"/>
      <c r="B64" s="295"/>
      <c r="C64" s="188" t="s">
        <v>225</v>
      </c>
      <c r="D64" s="189">
        <v>1</v>
      </c>
      <c r="E64" s="190"/>
      <c r="F64" s="190">
        <v>4</v>
      </c>
      <c r="G64" s="190">
        <v>2.5</v>
      </c>
      <c r="H64" s="190">
        <v>1.8</v>
      </c>
      <c r="I64" s="190">
        <v>3.4</v>
      </c>
      <c r="J64" s="190">
        <v>0</v>
      </c>
      <c r="K64" s="190">
        <v>0</v>
      </c>
      <c r="L64" s="189">
        <f t="shared" si="10"/>
        <v>0.70000000000000018</v>
      </c>
      <c r="M64" s="189">
        <v>0</v>
      </c>
      <c r="N64" s="190">
        <v>90</v>
      </c>
      <c r="O64" s="190">
        <f t="shared" si="11"/>
        <v>0.60000000000000009</v>
      </c>
      <c r="P64" s="190">
        <f t="shared" si="12"/>
        <v>4.5999999999999996</v>
      </c>
      <c r="Q64" s="189">
        <f t="shared" si="13"/>
        <v>90.7</v>
      </c>
      <c r="R64" s="189">
        <v>24.6</v>
      </c>
      <c r="S64" s="189">
        <f t="shared" si="14"/>
        <v>115.30000000000001</v>
      </c>
      <c r="T64" s="223"/>
    </row>
    <row r="65" spans="1:20" ht="15" x14ac:dyDescent="0.25">
      <c r="A65" s="293"/>
      <c r="B65" s="295"/>
      <c r="C65" s="188" t="s">
        <v>226</v>
      </c>
      <c r="D65" s="189">
        <v>1</v>
      </c>
      <c r="E65" s="190"/>
      <c r="F65" s="190">
        <v>4</v>
      </c>
      <c r="G65" s="190">
        <v>2.5</v>
      </c>
      <c r="H65" s="190">
        <v>1.8</v>
      </c>
      <c r="I65" s="190">
        <v>3.4</v>
      </c>
      <c r="J65" s="190">
        <v>0</v>
      </c>
      <c r="K65" s="190">
        <v>0</v>
      </c>
      <c r="L65" s="189">
        <f t="shared" si="10"/>
        <v>0.70000000000000018</v>
      </c>
      <c r="M65" s="189">
        <v>0</v>
      </c>
      <c r="N65" s="190">
        <v>90</v>
      </c>
      <c r="O65" s="190">
        <f t="shared" si="11"/>
        <v>0.60000000000000009</v>
      </c>
      <c r="P65" s="190">
        <f t="shared" si="12"/>
        <v>4.5999999999999996</v>
      </c>
      <c r="Q65" s="189">
        <f t="shared" si="13"/>
        <v>90.7</v>
      </c>
      <c r="R65" s="189">
        <v>25.6</v>
      </c>
      <c r="S65" s="189">
        <f t="shared" si="14"/>
        <v>116.30000000000001</v>
      </c>
      <c r="T65" s="223"/>
    </row>
    <row r="66" spans="1:20" ht="15" x14ac:dyDescent="0.25">
      <c r="A66" s="293"/>
      <c r="B66" s="295"/>
      <c r="C66" s="188" t="s">
        <v>227</v>
      </c>
      <c r="D66" s="189">
        <v>1</v>
      </c>
      <c r="E66" s="190"/>
      <c r="F66" s="190">
        <v>4</v>
      </c>
      <c r="G66" s="190">
        <v>2.5</v>
      </c>
      <c r="H66" s="190">
        <v>1.8</v>
      </c>
      <c r="I66" s="190">
        <v>3.4</v>
      </c>
      <c r="J66" s="190">
        <v>0</v>
      </c>
      <c r="K66" s="190">
        <v>0</v>
      </c>
      <c r="L66" s="189">
        <f t="shared" si="10"/>
        <v>0.70000000000000018</v>
      </c>
      <c r="M66" s="189">
        <v>0</v>
      </c>
      <c r="N66" s="190">
        <v>90</v>
      </c>
      <c r="O66" s="190">
        <f t="shared" si="11"/>
        <v>0.60000000000000009</v>
      </c>
      <c r="P66" s="190">
        <f t="shared" si="12"/>
        <v>4.5999999999999996</v>
      </c>
      <c r="Q66" s="189">
        <f t="shared" si="13"/>
        <v>90.7</v>
      </c>
      <c r="R66" s="189">
        <v>26.6</v>
      </c>
      <c r="S66" s="189">
        <f t="shared" si="14"/>
        <v>117.30000000000001</v>
      </c>
      <c r="T66" s="223"/>
    </row>
    <row r="67" spans="1:20" ht="15" x14ac:dyDescent="0.25">
      <c r="A67" s="293"/>
      <c r="B67" s="295"/>
      <c r="C67" s="188" t="s">
        <v>228</v>
      </c>
      <c r="D67" s="189">
        <v>1</v>
      </c>
      <c r="E67" s="190"/>
      <c r="F67" s="190">
        <v>4</v>
      </c>
      <c r="G67" s="190">
        <v>2.5</v>
      </c>
      <c r="H67" s="190">
        <v>1.8</v>
      </c>
      <c r="I67" s="190">
        <v>3.4</v>
      </c>
      <c r="J67" s="190">
        <v>0</v>
      </c>
      <c r="K67" s="190">
        <v>0</v>
      </c>
      <c r="L67" s="189">
        <f t="shared" si="10"/>
        <v>0.70000000000000018</v>
      </c>
      <c r="M67" s="189">
        <v>0</v>
      </c>
      <c r="N67" s="190">
        <v>90</v>
      </c>
      <c r="O67" s="190">
        <f t="shared" si="11"/>
        <v>0.60000000000000009</v>
      </c>
      <c r="P67" s="190">
        <f t="shared" si="12"/>
        <v>4.5999999999999996</v>
      </c>
      <c r="Q67" s="189">
        <f t="shared" si="13"/>
        <v>90.7</v>
      </c>
      <c r="R67" s="189">
        <v>27.6</v>
      </c>
      <c r="S67" s="189">
        <f t="shared" si="14"/>
        <v>118.30000000000001</v>
      </c>
      <c r="T67" s="223"/>
    </row>
    <row r="68" spans="1:20" ht="15" x14ac:dyDescent="0.25">
      <c r="A68" s="289" t="s">
        <v>171</v>
      </c>
      <c r="B68" s="291"/>
      <c r="C68" s="290"/>
      <c r="D68" s="194">
        <f>SUM(D40:D67)</f>
        <v>28</v>
      </c>
      <c r="E68" s="194">
        <f>SUM(E40:E67)</f>
        <v>0</v>
      </c>
      <c r="F68" s="214"/>
      <c r="G68" s="214"/>
      <c r="H68" s="214"/>
      <c r="I68" s="214"/>
      <c r="J68" s="214"/>
      <c r="K68" s="214"/>
      <c r="L68" s="214"/>
      <c r="M68" s="191">
        <f t="shared" ref="M68" si="15">E68*F68</f>
        <v>0</v>
      </c>
      <c r="N68" s="214"/>
      <c r="O68" s="214"/>
      <c r="P68" s="214"/>
      <c r="Q68" s="191">
        <f>SUM(Q40:Q67)</f>
        <v>2539.6</v>
      </c>
      <c r="R68" s="191">
        <f>SUM(R40:R67)</f>
        <v>394.80000000000007</v>
      </c>
      <c r="S68" s="191">
        <f>SUM(S40:S67)</f>
        <v>2934.4000000000005</v>
      </c>
      <c r="T68" s="223"/>
    </row>
    <row r="69" spans="1:20" ht="14.4" thickBot="1" x14ac:dyDescent="0.3">
      <c r="A69" s="226"/>
      <c r="T69" s="223"/>
    </row>
    <row r="70" spans="1:20" ht="17.399999999999999" x14ac:dyDescent="0.3">
      <c r="A70" s="226"/>
      <c r="D70" s="216" t="s">
        <v>143</v>
      </c>
      <c r="E70" s="217">
        <f>D68+E68</f>
        <v>28</v>
      </c>
      <c r="T70" s="223"/>
    </row>
    <row r="71" spans="1:20" ht="17.399999999999999" x14ac:dyDescent="0.3">
      <c r="A71" s="226"/>
      <c r="D71" s="218" t="s">
        <v>144</v>
      </c>
      <c r="E71" s="219">
        <f>Q68/E70</f>
        <v>90.7</v>
      </c>
      <c r="J71" s="292" t="s">
        <v>240</v>
      </c>
      <c r="K71" s="292"/>
      <c r="L71" s="292"/>
      <c r="T71" s="223"/>
    </row>
    <row r="72" spans="1:20" ht="17.399999999999999" x14ac:dyDescent="0.3">
      <c r="A72" s="226"/>
      <c r="D72" s="218" t="s">
        <v>145</v>
      </c>
      <c r="E72" s="219">
        <f>R68/E70</f>
        <v>14.100000000000003</v>
      </c>
      <c r="J72" s="292"/>
      <c r="K72" s="292"/>
      <c r="L72" s="292"/>
      <c r="T72" s="223"/>
    </row>
    <row r="73" spans="1:20" ht="18" thickBot="1" x14ac:dyDescent="0.35">
      <c r="A73" s="226"/>
      <c r="D73" s="220" t="s">
        <v>146</v>
      </c>
      <c r="E73" s="221">
        <f>S68/E70</f>
        <v>104.80000000000003</v>
      </c>
      <c r="T73" s="223"/>
    </row>
    <row r="74" spans="1:20" ht="14.4" thickBot="1" x14ac:dyDescent="0.3">
      <c r="A74" s="227"/>
      <c r="B74" s="228"/>
      <c r="C74" s="228"/>
      <c r="D74" s="228"/>
      <c r="E74" s="228"/>
      <c r="F74" s="228"/>
      <c r="G74" s="228"/>
      <c r="H74" s="228"/>
      <c r="I74" s="228"/>
      <c r="J74" s="228"/>
      <c r="K74" s="228"/>
      <c r="L74" s="228"/>
      <c r="M74" s="228"/>
      <c r="N74" s="228"/>
      <c r="O74" s="228"/>
      <c r="P74" s="228"/>
      <c r="Q74" s="228"/>
      <c r="R74" s="228"/>
      <c r="S74" s="228"/>
      <c r="T74" s="229"/>
    </row>
    <row r="76" spans="1:20" ht="14.4" thickBot="1" x14ac:dyDescent="0.3"/>
    <row r="77" spans="1:20" ht="17.399999999999999" x14ac:dyDescent="0.3">
      <c r="A77" s="305" t="s">
        <v>229</v>
      </c>
      <c r="B77" s="306"/>
      <c r="C77" s="306"/>
      <c r="D77" s="306"/>
      <c r="E77" s="306"/>
      <c r="F77" s="306"/>
      <c r="G77" s="306"/>
      <c r="H77" s="306"/>
      <c r="I77" s="306"/>
      <c r="J77" s="306"/>
      <c r="K77" s="306"/>
      <c r="L77" s="306"/>
      <c r="M77" s="306"/>
      <c r="N77" s="306"/>
      <c r="O77" s="306"/>
      <c r="P77" s="306"/>
      <c r="Q77" s="306"/>
      <c r="R77" s="306"/>
      <c r="S77" s="306"/>
      <c r="T77" s="222"/>
    </row>
    <row r="78" spans="1:20" ht="17.399999999999999" x14ac:dyDescent="0.3">
      <c r="A78" s="303"/>
      <c r="B78" s="304"/>
      <c r="C78" s="304"/>
      <c r="D78" s="304"/>
      <c r="E78" s="304"/>
      <c r="F78" s="304"/>
      <c r="G78" s="304"/>
      <c r="H78" s="304"/>
      <c r="I78" s="304"/>
      <c r="J78" s="304"/>
      <c r="K78" s="304"/>
      <c r="L78" s="304"/>
      <c r="M78" s="304"/>
      <c r="N78" s="304"/>
      <c r="O78" s="304"/>
      <c r="P78" s="304"/>
      <c r="Q78" s="304"/>
      <c r="R78" s="304"/>
      <c r="S78" s="304"/>
      <c r="T78" s="223"/>
    </row>
    <row r="79" spans="1:20" ht="15" x14ac:dyDescent="0.25">
      <c r="A79" s="293" t="s">
        <v>116</v>
      </c>
      <c r="B79" s="300"/>
      <c r="C79" s="300"/>
      <c r="D79" s="300" t="s">
        <v>117</v>
      </c>
      <c r="E79" s="300"/>
      <c r="F79" s="300" t="s">
        <v>118</v>
      </c>
      <c r="G79" s="300"/>
      <c r="H79" s="300"/>
      <c r="I79" s="300"/>
      <c r="J79" s="300" t="s">
        <v>119</v>
      </c>
      <c r="K79" s="300"/>
      <c r="L79" s="300" t="s">
        <v>120</v>
      </c>
      <c r="M79" s="300"/>
      <c r="N79" s="300"/>
      <c r="O79" s="300" t="s">
        <v>95</v>
      </c>
      <c r="P79" s="300"/>
      <c r="Q79" s="184" t="s">
        <v>120</v>
      </c>
      <c r="R79" s="184" t="s">
        <v>95</v>
      </c>
      <c r="S79" s="184" t="s">
        <v>121</v>
      </c>
      <c r="T79" s="223"/>
    </row>
    <row r="80" spans="1:20" ht="15" x14ac:dyDescent="0.25">
      <c r="A80" s="224" t="s">
        <v>122</v>
      </c>
      <c r="B80" s="186" t="s">
        <v>123</v>
      </c>
      <c r="C80" s="186" t="s">
        <v>124</v>
      </c>
      <c r="D80" s="186" t="s">
        <v>125</v>
      </c>
      <c r="E80" s="186" t="s">
        <v>126</v>
      </c>
      <c r="F80" s="186" t="s">
        <v>127</v>
      </c>
      <c r="G80" s="186" t="s">
        <v>128</v>
      </c>
      <c r="H80" s="186" t="s">
        <v>129</v>
      </c>
      <c r="I80" s="186" t="s">
        <v>130</v>
      </c>
      <c r="J80" s="186" t="s">
        <v>131</v>
      </c>
      <c r="K80" s="186" t="s">
        <v>132</v>
      </c>
      <c r="L80" s="186" t="s">
        <v>133</v>
      </c>
      <c r="M80" s="186" t="s">
        <v>134</v>
      </c>
      <c r="N80" s="186" t="s">
        <v>135</v>
      </c>
      <c r="O80" s="186" t="s">
        <v>136</v>
      </c>
      <c r="P80" s="186" t="s">
        <v>137</v>
      </c>
      <c r="Q80" s="149"/>
      <c r="R80" s="149"/>
      <c r="S80" s="149"/>
      <c r="T80" s="223"/>
    </row>
    <row r="81" spans="1:20" ht="15" x14ac:dyDescent="0.25">
      <c r="A81" s="301" t="s">
        <v>201</v>
      </c>
      <c r="B81" s="294" t="s">
        <v>139</v>
      </c>
      <c r="C81" s="188" t="s">
        <v>230</v>
      </c>
      <c r="D81" s="189"/>
      <c r="E81" s="190">
        <v>1</v>
      </c>
      <c r="F81" s="190">
        <v>4</v>
      </c>
      <c r="G81" s="190">
        <v>2.5</v>
      </c>
      <c r="H81" s="190">
        <v>1.8</v>
      </c>
      <c r="I81" s="190">
        <v>3.4</v>
      </c>
      <c r="J81" s="190">
        <v>0</v>
      </c>
      <c r="K81" s="190">
        <v>0</v>
      </c>
      <c r="L81" s="189">
        <f t="shared" ref="L81:L89" si="16">(F81-H81)+((2*E81)-1)*(F81-G81)</f>
        <v>3.7</v>
      </c>
      <c r="M81" s="189">
        <v>0</v>
      </c>
      <c r="N81" s="190">
        <v>74</v>
      </c>
      <c r="O81" s="190">
        <f t="shared" ref="O81:O89" si="17">F81-I81</f>
        <v>0.60000000000000009</v>
      </c>
      <c r="P81" s="190">
        <f t="shared" ref="P81:P89" si="18">(D81*2)*F81-I81</f>
        <v>-3.4</v>
      </c>
      <c r="Q81" s="189">
        <f>L81+N81</f>
        <v>77.7</v>
      </c>
      <c r="R81" s="189">
        <v>0</v>
      </c>
      <c r="S81" s="189">
        <f t="shared" ref="S81:S89" si="19">R81+Q81+J81+K81</f>
        <v>77.7</v>
      </c>
      <c r="T81" s="223"/>
    </row>
    <row r="82" spans="1:20" ht="15" x14ac:dyDescent="0.25">
      <c r="A82" s="307"/>
      <c r="B82" s="295"/>
      <c r="C82" s="188" t="s">
        <v>231</v>
      </c>
      <c r="D82" s="189"/>
      <c r="E82" s="190">
        <v>1</v>
      </c>
      <c r="F82" s="190">
        <v>4</v>
      </c>
      <c r="G82" s="190">
        <v>2.5</v>
      </c>
      <c r="H82" s="190">
        <v>1.8</v>
      </c>
      <c r="I82" s="190">
        <v>3.4</v>
      </c>
      <c r="J82" s="190">
        <v>0</v>
      </c>
      <c r="K82" s="190">
        <v>0</v>
      </c>
      <c r="L82" s="189">
        <f t="shared" si="16"/>
        <v>3.7</v>
      </c>
      <c r="M82" s="189">
        <v>0</v>
      </c>
      <c r="N82" s="190">
        <v>56</v>
      </c>
      <c r="O82" s="190">
        <f t="shared" si="17"/>
        <v>0.60000000000000009</v>
      </c>
      <c r="P82" s="190">
        <f t="shared" si="18"/>
        <v>-3.4</v>
      </c>
      <c r="Q82" s="189">
        <f t="shared" ref="Q82:Q89" si="20">L82+N82</f>
        <v>59.7</v>
      </c>
      <c r="R82" s="189">
        <v>1</v>
      </c>
      <c r="S82" s="189">
        <f t="shared" si="19"/>
        <v>60.7</v>
      </c>
      <c r="T82" s="223"/>
    </row>
    <row r="83" spans="1:20" ht="15" x14ac:dyDescent="0.25">
      <c r="A83" s="307"/>
      <c r="B83" s="295"/>
      <c r="C83" s="188" t="s">
        <v>232</v>
      </c>
      <c r="D83" s="189"/>
      <c r="E83" s="190">
        <v>1</v>
      </c>
      <c r="F83" s="190">
        <v>4</v>
      </c>
      <c r="G83" s="190">
        <v>2.5</v>
      </c>
      <c r="H83" s="190">
        <v>1.8</v>
      </c>
      <c r="I83" s="190">
        <v>3.4</v>
      </c>
      <c r="J83" s="190">
        <v>0</v>
      </c>
      <c r="K83" s="190">
        <v>0</v>
      </c>
      <c r="L83" s="189">
        <f t="shared" si="16"/>
        <v>3.7</v>
      </c>
      <c r="M83" s="189">
        <v>0</v>
      </c>
      <c r="N83" s="190">
        <v>48</v>
      </c>
      <c r="O83" s="190">
        <f t="shared" si="17"/>
        <v>0.60000000000000009</v>
      </c>
      <c r="P83" s="190">
        <f t="shared" si="18"/>
        <v>-3.4</v>
      </c>
      <c r="Q83" s="189">
        <f t="shared" si="20"/>
        <v>51.7</v>
      </c>
      <c r="R83" s="189">
        <v>2</v>
      </c>
      <c r="S83" s="189">
        <f t="shared" si="19"/>
        <v>53.7</v>
      </c>
      <c r="T83" s="223"/>
    </row>
    <row r="84" spans="1:20" ht="15" x14ac:dyDescent="0.25">
      <c r="A84" s="307"/>
      <c r="B84" s="295"/>
      <c r="C84" s="188" t="s">
        <v>233</v>
      </c>
      <c r="D84" s="189"/>
      <c r="E84" s="190">
        <v>1</v>
      </c>
      <c r="F84" s="190">
        <v>4</v>
      </c>
      <c r="G84" s="190">
        <v>2.5</v>
      </c>
      <c r="H84" s="190">
        <v>1.8</v>
      </c>
      <c r="I84" s="190">
        <v>3.4</v>
      </c>
      <c r="J84" s="190">
        <v>0</v>
      </c>
      <c r="K84" s="190">
        <v>0</v>
      </c>
      <c r="L84" s="189">
        <f t="shared" si="16"/>
        <v>3.7</v>
      </c>
      <c r="M84" s="189">
        <v>0</v>
      </c>
      <c r="N84" s="190">
        <v>46</v>
      </c>
      <c r="O84" s="190">
        <f t="shared" si="17"/>
        <v>0.60000000000000009</v>
      </c>
      <c r="P84" s="190">
        <f t="shared" si="18"/>
        <v>-3.4</v>
      </c>
      <c r="Q84" s="189">
        <f t="shared" si="20"/>
        <v>49.7</v>
      </c>
      <c r="R84" s="189">
        <v>3</v>
      </c>
      <c r="S84" s="189">
        <f t="shared" si="19"/>
        <v>52.7</v>
      </c>
      <c r="T84" s="223"/>
    </row>
    <row r="85" spans="1:20" ht="15" x14ac:dyDescent="0.25">
      <c r="A85" s="307"/>
      <c r="B85" s="295"/>
      <c r="C85" s="188" t="s">
        <v>234</v>
      </c>
      <c r="D85" s="189"/>
      <c r="E85" s="190">
        <v>1</v>
      </c>
      <c r="F85" s="190">
        <v>4</v>
      </c>
      <c r="G85" s="190">
        <v>2.5</v>
      </c>
      <c r="H85" s="190">
        <v>1.8</v>
      </c>
      <c r="I85" s="190">
        <v>3.4</v>
      </c>
      <c r="J85" s="190">
        <v>0</v>
      </c>
      <c r="K85" s="190">
        <v>0</v>
      </c>
      <c r="L85" s="189">
        <f t="shared" si="16"/>
        <v>3.7</v>
      </c>
      <c r="M85" s="189">
        <v>0</v>
      </c>
      <c r="N85" s="190">
        <v>67</v>
      </c>
      <c r="O85" s="190">
        <f t="shared" si="17"/>
        <v>0.60000000000000009</v>
      </c>
      <c r="P85" s="190">
        <f t="shared" si="18"/>
        <v>-3.4</v>
      </c>
      <c r="Q85" s="189">
        <f t="shared" si="20"/>
        <v>70.7</v>
      </c>
      <c r="R85" s="189">
        <v>4</v>
      </c>
      <c r="S85" s="189">
        <f t="shared" si="19"/>
        <v>74.7</v>
      </c>
      <c r="T85" s="223"/>
    </row>
    <row r="86" spans="1:20" ht="15" x14ac:dyDescent="0.25">
      <c r="A86" s="307"/>
      <c r="B86" s="295"/>
      <c r="C86" s="188" t="s">
        <v>235</v>
      </c>
      <c r="D86" s="189"/>
      <c r="E86" s="190">
        <v>1</v>
      </c>
      <c r="F86" s="190">
        <v>4</v>
      </c>
      <c r="G86" s="190">
        <v>2.5</v>
      </c>
      <c r="H86" s="190">
        <v>1.8</v>
      </c>
      <c r="I86" s="190">
        <v>3.4</v>
      </c>
      <c r="J86" s="190">
        <v>0</v>
      </c>
      <c r="K86" s="190">
        <v>0</v>
      </c>
      <c r="L86" s="189">
        <f t="shared" si="16"/>
        <v>3.7</v>
      </c>
      <c r="M86" s="189">
        <v>0</v>
      </c>
      <c r="N86" s="190">
        <v>85</v>
      </c>
      <c r="O86" s="190">
        <f t="shared" si="17"/>
        <v>0.60000000000000009</v>
      </c>
      <c r="P86" s="190">
        <f t="shared" si="18"/>
        <v>-3.4</v>
      </c>
      <c r="Q86" s="189">
        <f t="shared" si="20"/>
        <v>88.7</v>
      </c>
      <c r="R86" s="189">
        <v>5</v>
      </c>
      <c r="S86" s="189">
        <f t="shared" si="19"/>
        <v>93.7</v>
      </c>
      <c r="T86" s="223"/>
    </row>
    <row r="87" spans="1:20" ht="15" x14ac:dyDescent="0.25">
      <c r="A87" s="307"/>
      <c r="B87" s="295"/>
      <c r="C87" s="188" t="s">
        <v>236</v>
      </c>
      <c r="D87" s="189"/>
      <c r="E87" s="190">
        <v>1</v>
      </c>
      <c r="F87" s="190">
        <v>4</v>
      </c>
      <c r="G87" s="190">
        <v>2.5</v>
      </c>
      <c r="H87" s="190">
        <v>1.8</v>
      </c>
      <c r="I87" s="190">
        <v>3.4</v>
      </c>
      <c r="J87" s="190">
        <v>0</v>
      </c>
      <c r="K87" s="190">
        <v>0</v>
      </c>
      <c r="L87" s="189">
        <f t="shared" si="16"/>
        <v>3.7</v>
      </c>
      <c r="M87" s="189">
        <v>0</v>
      </c>
      <c r="N87" s="190">
        <v>109</v>
      </c>
      <c r="O87" s="190">
        <f t="shared" si="17"/>
        <v>0.60000000000000009</v>
      </c>
      <c r="P87" s="190">
        <f t="shared" si="18"/>
        <v>-3.4</v>
      </c>
      <c r="Q87" s="189">
        <f t="shared" si="20"/>
        <v>112.7</v>
      </c>
      <c r="R87" s="189">
        <v>6</v>
      </c>
      <c r="S87" s="189">
        <f t="shared" si="19"/>
        <v>118.7</v>
      </c>
      <c r="T87" s="223"/>
    </row>
    <row r="88" spans="1:20" ht="15" x14ac:dyDescent="0.25">
      <c r="A88" s="307"/>
      <c r="B88" s="295"/>
      <c r="C88" s="188" t="s">
        <v>237</v>
      </c>
      <c r="D88" s="189"/>
      <c r="E88" s="190">
        <v>1</v>
      </c>
      <c r="F88" s="190">
        <v>4</v>
      </c>
      <c r="G88" s="190">
        <v>2.5</v>
      </c>
      <c r="H88" s="190">
        <v>1.8</v>
      </c>
      <c r="I88" s="190">
        <v>3.4</v>
      </c>
      <c r="J88" s="190">
        <v>0</v>
      </c>
      <c r="K88" s="190">
        <v>0</v>
      </c>
      <c r="L88" s="189">
        <f t="shared" si="16"/>
        <v>3.7</v>
      </c>
      <c r="M88" s="189">
        <v>0</v>
      </c>
      <c r="N88" s="190">
        <v>107</v>
      </c>
      <c r="O88" s="190">
        <f t="shared" si="17"/>
        <v>0.60000000000000009</v>
      </c>
      <c r="P88" s="190">
        <f t="shared" si="18"/>
        <v>-3.4</v>
      </c>
      <c r="Q88" s="189">
        <f t="shared" si="20"/>
        <v>110.7</v>
      </c>
      <c r="R88" s="189">
        <v>7</v>
      </c>
      <c r="S88" s="189">
        <f t="shared" si="19"/>
        <v>117.7</v>
      </c>
      <c r="T88" s="223"/>
    </row>
    <row r="89" spans="1:20" ht="15" x14ac:dyDescent="0.25">
      <c r="A89" s="307"/>
      <c r="B89" s="295"/>
      <c r="C89" s="188" t="s">
        <v>238</v>
      </c>
      <c r="D89" s="189"/>
      <c r="E89" s="190">
        <v>1</v>
      </c>
      <c r="F89" s="190">
        <v>4</v>
      </c>
      <c r="G89" s="190">
        <v>2.5</v>
      </c>
      <c r="H89" s="190">
        <v>1.8</v>
      </c>
      <c r="I89" s="190">
        <v>3.4</v>
      </c>
      <c r="J89" s="190">
        <v>0</v>
      </c>
      <c r="K89" s="190">
        <v>0</v>
      </c>
      <c r="L89" s="189">
        <f t="shared" si="16"/>
        <v>3.7</v>
      </c>
      <c r="M89" s="189">
        <v>0</v>
      </c>
      <c r="N89" s="190">
        <v>126</v>
      </c>
      <c r="O89" s="190">
        <f t="shared" si="17"/>
        <v>0.60000000000000009</v>
      </c>
      <c r="P89" s="190">
        <f t="shared" si="18"/>
        <v>-3.4</v>
      </c>
      <c r="Q89" s="189">
        <f t="shared" si="20"/>
        <v>129.69999999999999</v>
      </c>
      <c r="R89" s="189">
        <v>8</v>
      </c>
      <c r="S89" s="189">
        <f t="shared" si="19"/>
        <v>137.69999999999999</v>
      </c>
      <c r="T89" s="223"/>
    </row>
    <row r="90" spans="1:20" ht="15" x14ac:dyDescent="0.25">
      <c r="A90" s="289" t="s">
        <v>171</v>
      </c>
      <c r="B90" s="291"/>
      <c r="C90" s="290"/>
      <c r="D90" s="194">
        <f>SUM(D81:D89)</f>
        <v>0</v>
      </c>
      <c r="E90" s="194">
        <f>SUM(E81:E89)</f>
        <v>9</v>
      </c>
      <c r="F90" s="214"/>
      <c r="G90" s="214"/>
      <c r="H90" s="214"/>
      <c r="I90" s="214"/>
      <c r="J90" s="214"/>
      <c r="K90" s="214"/>
      <c r="L90" s="214"/>
      <c r="M90" s="191">
        <f t="shared" ref="M90" si="21">E90*F90</f>
        <v>0</v>
      </c>
      <c r="N90" s="214"/>
      <c r="O90" s="214"/>
      <c r="P90" s="214"/>
      <c r="Q90" s="191">
        <f>SUM(Q81:Q89)</f>
        <v>751.3</v>
      </c>
      <c r="R90" s="191">
        <f>SUM(R81:R89)</f>
        <v>36</v>
      </c>
      <c r="S90" s="191">
        <f>SUM(S81:S89)</f>
        <v>787.3</v>
      </c>
      <c r="T90" s="223"/>
    </row>
    <row r="91" spans="1:20" x14ac:dyDescent="0.25">
      <c r="A91" s="226"/>
      <c r="T91" s="223"/>
    </row>
    <row r="92" spans="1:20" ht="17.399999999999999" x14ac:dyDescent="0.3">
      <c r="A92" s="226"/>
      <c r="D92" s="215" t="s">
        <v>143</v>
      </c>
      <c r="E92" s="150">
        <f>D90+E90</f>
        <v>9</v>
      </c>
      <c r="T92" s="223"/>
    </row>
    <row r="93" spans="1:20" ht="17.399999999999999" x14ac:dyDescent="0.3">
      <c r="A93" s="226"/>
      <c r="D93" s="215" t="s">
        <v>144</v>
      </c>
      <c r="E93" s="150">
        <f>Q90/E92</f>
        <v>83.477777777777774</v>
      </c>
      <c r="J93" s="292" t="s">
        <v>241</v>
      </c>
      <c r="K93" s="292"/>
      <c r="L93" s="292"/>
      <c r="T93" s="223"/>
    </row>
    <row r="94" spans="1:20" ht="17.399999999999999" x14ac:dyDescent="0.3">
      <c r="A94" s="226"/>
      <c r="D94" s="215" t="s">
        <v>145</v>
      </c>
      <c r="E94" s="150">
        <f>R90/E92</f>
        <v>4</v>
      </c>
      <c r="J94" s="292"/>
      <c r="K94" s="292"/>
      <c r="L94" s="292"/>
      <c r="T94" s="223"/>
    </row>
    <row r="95" spans="1:20" ht="17.399999999999999" x14ac:dyDescent="0.3">
      <c r="A95" s="226"/>
      <c r="D95" s="215" t="s">
        <v>146</v>
      </c>
      <c r="E95" s="150">
        <f>S90/E92</f>
        <v>87.477777777777774</v>
      </c>
      <c r="T95" s="223"/>
    </row>
    <row r="96" spans="1:20" ht="14.4" thickBot="1" x14ac:dyDescent="0.3">
      <c r="A96" s="227"/>
      <c r="B96" s="228"/>
      <c r="C96" s="228"/>
      <c r="D96" s="228"/>
      <c r="E96" s="228"/>
      <c r="F96" s="228"/>
      <c r="G96" s="228"/>
      <c r="H96" s="228"/>
      <c r="I96" s="228"/>
      <c r="J96" s="228"/>
      <c r="K96" s="228"/>
      <c r="L96" s="228"/>
      <c r="M96" s="228"/>
      <c r="N96" s="228"/>
      <c r="O96" s="228"/>
      <c r="P96" s="228"/>
      <c r="Q96" s="228"/>
      <c r="R96" s="228"/>
      <c r="S96" s="228"/>
      <c r="T96" s="229"/>
    </row>
    <row r="99" spans="1:20" ht="14.4" thickBot="1" x14ac:dyDescent="0.3"/>
    <row r="100" spans="1:20" x14ac:dyDescent="0.25">
      <c r="A100" s="230"/>
      <c r="B100" s="231"/>
      <c r="C100" s="231"/>
      <c r="D100" s="231"/>
      <c r="E100" s="231"/>
      <c r="F100" s="231"/>
      <c r="G100" s="231"/>
      <c r="H100" s="231"/>
      <c r="I100" s="231"/>
      <c r="J100" s="231"/>
      <c r="K100" s="231"/>
      <c r="L100" s="231"/>
      <c r="M100" s="231"/>
      <c r="N100" s="231"/>
      <c r="O100" s="231"/>
      <c r="P100" s="231"/>
      <c r="Q100" s="231"/>
      <c r="R100" s="231"/>
      <c r="S100" s="231"/>
      <c r="T100" s="222"/>
    </row>
    <row r="101" spans="1:20" ht="17.399999999999999" x14ac:dyDescent="0.3">
      <c r="A101" s="303" t="str">
        <f>[1]Outlets!B26</f>
        <v>مخرج RG 45 لنظام التحكم فى الدخول و الخروج معلق على الحائط</v>
      </c>
      <c r="B101" s="304"/>
      <c r="C101" s="304"/>
      <c r="D101" s="304"/>
      <c r="E101" s="304"/>
      <c r="F101" s="304"/>
      <c r="G101" s="304"/>
      <c r="H101" s="304"/>
      <c r="I101" s="304"/>
      <c r="J101" s="304"/>
      <c r="K101" s="304"/>
      <c r="L101" s="304"/>
      <c r="M101" s="304"/>
      <c r="N101" s="304"/>
      <c r="O101" s="304"/>
      <c r="P101" s="304"/>
      <c r="Q101" s="304"/>
      <c r="R101" s="304"/>
      <c r="S101" s="304"/>
      <c r="T101" s="223"/>
    </row>
    <row r="102" spans="1:20" ht="17.399999999999999" x14ac:dyDescent="0.3">
      <c r="A102" s="303" t="str">
        <f>[1]Outlets!B27</f>
        <v xml:space="preserve">مخرج RG 45 لنظام التحكم فى الدخول و الخروج معلق على الحائطمن من نوع المضاد للعوامل الجويه </v>
      </c>
      <c r="B102" s="304"/>
      <c r="C102" s="304"/>
      <c r="D102" s="304"/>
      <c r="E102" s="304"/>
      <c r="F102" s="304"/>
      <c r="G102" s="304"/>
      <c r="H102" s="304"/>
      <c r="I102" s="304"/>
      <c r="J102" s="304"/>
      <c r="K102" s="304"/>
      <c r="L102" s="304"/>
      <c r="M102" s="304"/>
      <c r="N102" s="304"/>
      <c r="O102" s="304"/>
      <c r="P102" s="304"/>
      <c r="Q102" s="304"/>
      <c r="R102" s="304"/>
      <c r="S102" s="304"/>
      <c r="T102" s="223"/>
    </row>
    <row r="103" spans="1:20" ht="15" x14ac:dyDescent="0.25">
      <c r="A103" s="293" t="s">
        <v>116</v>
      </c>
      <c r="B103" s="300"/>
      <c r="C103" s="300"/>
      <c r="D103" s="300" t="s">
        <v>117</v>
      </c>
      <c r="E103" s="300"/>
      <c r="F103" s="300" t="s">
        <v>118</v>
      </c>
      <c r="G103" s="300"/>
      <c r="H103" s="300"/>
      <c r="I103" s="300"/>
      <c r="J103" s="300" t="s">
        <v>119</v>
      </c>
      <c r="K103" s="300"/>
      <c r="L103" s="300" t="s">
        <v>120</v>
      </c>
      <c r="M103" s="300"/>
      <c r="N103" s="300"/>
      <c r="O103" s="300" t="s">
        <v>95</v>
      </c>
      <c r="P103" s="300"/>
      <c r="Q103" s="184" t="s">
        <v>120</v>
      </c>
      <c r="R103" s="184" t="s">
        <v>95</v>
      </c>
      <c r="S103" s="184" t="s">
        <v>121</v>
      </c>
      <c r="T103" s="223"/>
    </row>
    <row r="104" spans="1:20" ht="15" x14ac:dyDescent="0.25">
      <c r="A104" s="224" t="s">
        <v>122</v>
      </c>
      <c r="B104" s="186" t="s">
        <v>123</v>
      </c>
      <c r="C104" s="186" t="s">
        <v>124</v>
      </c>
      <c r="D104" s="186" t="s">
        <v>125</v>
      </c>
      <c r="E104" s="186" t="s">
        <v>126</v>
      </c>
      <c r="F104" s="186" t="s">
        <v>127</v>
      </c>
      <c r="G104" s="186" t="s">
        <v>128</v>
      </c>
      <c r="H104" s="186" t="s">
        <v>129</v>
      </c>
      <c r="I104" s="186" t="s">
        <v>130</v>
      </c>
      <c r="J104" s="186" t="s">
        <v>131</v>
      </c>
      <c r="K104" s="186" t="s">
        <v>132</v>
      </c>
      <c r="L104" s="186" t="s">
        <v>133</v>
      </c>
      <c r="M104" s="186" t="s">
        <v>134</v>
      </c>
      <c r="N104" s="186" t="s">
        <v>135</v>
      </c>
      <c r="O104" s="186" t="s">
        <v>136</v>
      </c>
      <c r="P104" s="186" t="s">
        <v>137</v>
      </c>
      <c r="Q104" s="149"/>
      <c r="R104" s="149"/>
      <c r="S104" s="149"/>
      <c r="T104" s="223"/>
    </row>
    <row r="105" spans="1:20" ht="15" x14ac:dyDescent="0.25">
      <c r="A105" s="301" t="s">
        <v>138</v>
      </c>
      <c r="B105" s="294" t="s">
        <v>139</v>
      </c>
      <c r="C105" s="188" t="s">
        <v>140</v>
      </c>
      <c r="D105" s="189">
        <v>0</v>
      </c>
      <c r="E105" s="190">
        <v>1</v>
      </c>
      <c r="F105" s="190">
        <v>4</v>
      </c>
      <c r="G105" s="190">
        <v>2.5</v>
      </c>
      <c r="H105" s="190">
        <v>1.8</v>
      </c>
      <c r="I105" s="190">
        <v>3.4</v>
      </c>
      <c r="J105" s="190">
        <v>0</v>
      </c>
      <c r="K105" s="190"/>
      <c r="L105" s="189">
        <f>(F105-H105)+((2*E105)-1)*(F105-G105)</f>
        <v>3.7</v>
      </c>
      <c r="M105" s="189">
        <v>0</v>
      </c>
      <c r="N105" s="190">
        <v>1.8</v>
      </c>
      <c r="O105" s="190">
        <f>F105-I105</f>
        <v>0.60000000000000009</v>
      </c>
      <c r="P105" s="190">
        <f>(D105*2)*F105-I105</f>
        <v>-3.4</v>
      </c>
      <c r="Q105" s="189">
        <f>L105+N105</f>
        <v>5.5</v>
      </c>
      <c r="R105" s="189">
        <v>0</v>
      </c>
      <c r="S105" s="189">
        <f>R105+Q105+J105+K105</f>
        <v>5.5</v>
      </c>
      <c r="T105" s="223"/>
    </row>
    <row r="106" spans="1:20" ht="15" x14ac:dyDescent="0.25">
      <c r="A106" s="302"/>
      <c r="B106" s="295"/>
      <c r="C106" s="188" t="s">
        <v>141</v>
      </c>
      <c r="D106" s="189">
        <v>0</v>
      </c>
      <c r="E106" s="190">
        <v>1</v>
      </c>
      <c r="F106" s="190">
        <v>4</v>
      </c>
      <c r="G106" s="190">
        <v>2.5</v>
      </c>
      <c r="H106" s="190">
        <v>1.8</v>
      </c>
      <c r="I106" s="190">
        <v>3.4</v>
      </c>
      <c r="J106" s="190">
        <v>0</v>
      </c>
      <c r="K106" s="190"/>
      <c r="L106" s="189">
        <f>(F106-H106)+((2*E106)-1)*(F106-G106)</f>
        <v>3.7</v>
      </c>
      <c r="M106" s="189">
        <v>0</v>
      </c>
      <c r="N106" s="190">
        <v>4.2</v>
      </c>
      <c r="O106" s="190">
        <f>F106-I106</f>
        <v>0.60000000000000009</v>
      </c>
      <c r="P106" s="190">
        <f>(D106*2)*F106-I106</f>
        <v>-3.4</v>
      </c>
      <c r="Q106" s="189">
        <f t="shared" ref="Q106" si="22">L106+N106</f>
        <v>7.9</v>
      </c>
      <c r="R106" s="189">
        <v>0</v>
      </c>
      <c r="S106" s="189">
        <f>R106+Q106+J106+K106</f>
        <v>7.9</v>
      </c>
      <c r="T106" s="223"/>
    </row>
    <row r="107" spans="1:20" ht="15" x14ac:dyDescent="0.25">
      <c r="A107" s="289" t="s">
        <v>171</v>
      </c>
      <c r="B107" s="290"/>
      <c r="C107" s="214"/>
      <c r="D107" s="194">
        <f>SUM(D105:D106)</f>
        <v>0</v>
      </c>
      <c r="E107" s="194">
        <f>SUM(E105:E106)</f>
        <v>2</v>
      </c>
      <c r="F107" s="214"/>
      <c r="G107" s="214"/>
      <c r="H107" s="214"/>
      <c r="I107" s="214"/>
      <c r="J107" s="214"/>
      <c r="K107" s="214"/>
      <c r="L107" s="214"/>
      <c r="M107" s="191">
        <f t="shared" ref="M107" si="23">E107*F107</f>
        <v>0</v>
      </c>
      <c r="N107" s="214"/>
      <c r="O107" s="214"/>
      <c r="P107" s="214"/>
      <c r="Q107" s="191">
        <f>SUM(Q105:Q106)</f>
        <v>13.4</v>
      </c>
      <c r="R107" s="191">
        <f>SUM(R105:R106)</f>
        <v>0</v>
      </c>
      <c r="S107" s="191">
        <f>SUM(S105:S106)</f>
        <v>13.4</v>
      </c>
      <c r="T107" s="223"/>
    </row>
    <row r="108" spans="1:20" x14ac:dyDescent="0.25">
      <c r="A108" s="226"/>
      <c r="T108" s="223"/>
    </row>
    <row r="109" spans="1:20" ht="17.399999999999999" x14ac:dyDescent="0.3">
      <c r="A109" s="226"/>
      <c r="D109" s="233" t="s">
        <v>143</v>
      </c>
      <c r="E109" s="234">
        <f>D107+E107</f>
        <v>2</v>
      </c>
      <c r="T109" s="223"/>
    </row>
    <row r="110" spans="1:20" ht="17.399999999999999" x14ac:dyDescent="0.3">
      <c r="A110" s="226"/>
      <c r="D110" s="233" t="s">
        <v>144</v>
      </c>
      <c r="E110" s="234">
        <f>Q107/E109</f>
        <v>6.7</v>
      </c>
      <c r="T110" s="223"/>
    </row>
    <row r="111" spans="1:20" ht="17.399999999999999" x14ac:dyDescent="0.3">
      <c r="A111" s="226"/>
      <c r="D111" s="233" t="s">
        <v>145</v>
      </c>
      <c r="E111" s="234">
        <f>R107/E109</f>
        <v>0</v>
      </c>
      <c r="T111" s="223"/>
    </row>
    <row r="112" spans="1:20" ht="17.399999999999999" x14ac:dyDescent="0.3">
      <c r="A112" s="226"/>
      <c r="D112" s="233" t="s">
        <v>146</v>
      </c>
      <c r="E112" s="234">
        <f>S107/E109</f>
        <v>6.7</v>
      </c>
      <c r="T112" s="223"/>
    </row>
    <row r="113" spans="1:20" ht="14.4" thickBot="1" x14ac:dyDescent="0.3">
      <c r="A113" s="227"/>
      <c r="B113" s="228"/>
      <c r="C113" s="228"/>
      <c r="D113" s="228"/>
      <c r="E113" s="228"/>
      <c r="F113" s="228"/>
      <c r="G113" s="228"/>
      <c r="H113" s="228"/>
      <c r="I113" s="228"/>
      <c r="J113" s="228"/>
      <c r="K113" s="228"/>
      <c r="L113" s="228"/>
      <c r="M113" s="228"/>
      <c r="N113" s="228"/>
      <c r="O113" s="228"/>
      <c r="P113" s="228"/>
      <c r="Q113" s="228"/>
      <c r="R113" s="228"/>
      <c r="S113" s="228"/>
      <c r="T113" s="229"/>
    </row>
    <row r="114" spans="1:20" ht="14.4" thickBot="1" x14ac:dyDescent="0.3"/>
    <row r="115" spans="1:20" x14ac:dyDescent="0.25">
      <c r="A115" s="230"/>
      <c r="B115" s="231"/>
      <c r="C115" s="231"/>
      <c r="D115" s="231"/>
      <c r="E115" s="231"/>
      <c r="F115" s="231"/>
      <c r="G115" s="231"/>
      <c r="H115" s="231"/>
      <c r="I115" s="231"/>
      <c r="J115" s="231"/>
      <c r="K115" s="231"/>
      <c r="L115" s="231"/>
      <c r="M115" s="231"/>
      <c r="N115" s="231"/>
      <c r="O115" s="231"/>
      <c r="P115" s="231"/>
      <c r="Q115" s="231"/>
      <c r="R115" s="231"/>
      <c r="S115" s="231"/>
      <c r="T115" s="222"/>
    </row>
    <row r="116" spans="1:20" ht="17.399999999999999" x14ac:dyDescent="0.3">
      <c r="A116" s="303" t="str">
        <f>[1]Outlets!B30</f>
        <v>سماعه سقف 6 وات تشمل كابل  (2x1.5mm2 105º)</v>
      </c>
      <c r="B116" s="304"/>
      <c r="C116" s="304"/>
      <c r="D116" s="304"/>
      <c r="E116" s="304"/>
      <c r="F116" s="304"/>
      <c r="G116" s="304"/>
      <c r="H116" s="304"/>
      <c r="I116" s="304"/>
      <c r="J116" s="304"/>
      <c r="K116" s="304"/>
      <c r="L116" s="304"/>
      <c r="M116" s="304"/>
      <c r="N116" s="304"/>
      <c r="O116" s="304"/>
      <c r="P116" s="304"/>
      <c r="Q116" s="304"/>
      <c r="R116" s="304"/>
      <c r="S116" s="304"/>
      <c r="T116" s="223"/>
    </row>
    <row r="117" spans="1:20" ht="17.399999999999999" x14ac:dyDescent="0.3">
      <c r="A117" s="303" t="str">
        <f>[1]Outlets!B31</f>
        <v>كالبند السابق ولكن من نوع المضاد للعوامل الجويه</v>
      </c>
      <c r="B117" s="304"/>
      <c r="C117" s="304"/>
      <c r="D117" s="304"/>
      <c r="E117" s="304"/>
      <c r="F117" s="304"/>
      <c r="G117" s="304"/>
      <c r="H117" s="304"/>
      <c r="I117" s="304"/>
      <c r="J117" s="304"/>
      <c r="K117" s="304"/>
      <c r="L117" s="304"/>
      <c r="M117" s="304"/>
      <c r="N117" s="304"/>
      <c r="O117" s="304"/>
      <c r="P117" s="304"/>
      <c r="Q117" s="304"/>
      <c r="R117" s="304"/>
      <c r="S117" s="304"/>
      <c r="T117" s="223"/>
    </row>
    <row r="118" spans="1:20" ht="15" x14ac:dyDescent="0.25">
      <c r="A118" s="293" t="s">
        <v>116</v>
      </c>
      <c r="B118" s="300"/>
      <c r="C118" s="300"/>
      <c r="D118" s="300" t="s">
        <v>117</v>
      </c>
      <c r="E118" s="300"/>
      <c r="F118" s="300" t="s">
        <v>118</v>
      </c>
      <c r="G118" s="300"/>
      <c r="H118" s="300"/>
      <c r="I118" s="300"/>
      <c r="J118" s="300" t="s">
        <v>119</v>
      </c>
      <c r="K118" s="300"/>
      <c r="L118" s="300" t="s">
        <v>120</v>
      </c>
      <c r="M118" s="300"/>
      <c r="N118" s="300"/>
      <c r="O118" s="300" t="s">
        <v>95</v>
      </c>
      <c r="P118" s="300"/>
      <c r="Q118" s="184" t="s">
        <v>120</v>
      </c>
      <c r="R118" s="184" t="s">
        <v>95</v>
      </c>
      <c r="S118" s="184" t="s">
        <v>121</v>
      </c>
      <c r="T118" s="223"/>
    </row>
    <row r="119" spans="1:20" ht="15" x14ac:dyDescent="0.25">
      <c r="A119" s="224" t="s">
        <v>122</v>
      </c>
      <c r="B119" s="186" t="s">
        <v>123</v>
      </c>
      <c r="C119" s="186" t="s">
        <v>124</v>
      </c>
      <c r="D119" s="186" t="s">
        <v>125</v>
      </c>
      <c r="E119" s="186" t="s">
        <v>126</v>
      </c>
      <c r="F119" s="186" t="s">
        <v>127</v>
      </c>
      <c r="G119" s="186" t="s">
        <v>128</v>
      </c>
      <c r="H119" s="186" t="s">
        <v>129</v>
      </c>
      <c r="I119" s="186" t="s">
        <v>130</v>
      </c>
      <c r="J119" s="186" t="s">
        <v>131</v>
      </c>
      <c r="K119" s="186" t="s">
        <v>132</v>
      </c>
      <c r="L119" s="186" t="s">
        <v>133</v>
      </c>
      <c r="M119" s="186" t="s">
        <v>134</v>
      </c>
      <c r="N119" s="186" t="s">
        <v>135</v>
      </c>
      <c r="O119" s="186" t="s">
        <v>136</v>
      </c>
      <c r="P119" s="186" t="s">
        <v>137</v>
      </c>
      <c r="Q119" s="149"/>
      <c r="R119" s="149"/>
      <c r="S119" s="149"/>
      <c r="T119" s="223"/>
    </row>
    <row r="120" spans="1:20" ht="15" x14ac:dyDescent="0.25">
      <c r="A120" s="224" t="s">
        <v>201</v>
      </c>
      <c r="B120" s="187" t="s">
        <v>139</v>
      </c>
      <c r="C120" s="188" t="s">
        <v>140</v>
      </c>
      <c r="D120" s="189">
        <v>64</v>
      </c>
      <c r="E120" s="190">
        <v>2</v>
      </c>
      <c r="F120" s="190">
        <v>4</v>
      </c>
      <c r="G120" s="190">
        <v>2.5</v>
      </c>
      <c r="H120" s="190">
        <v>1.8</v>
      </c>
      <c r="I120" s="190">
        <v>3.4</v>
      </c>
      <c r="J120" s="190">
        <v>0</v>
      </c>
      <c r="K120" s="190"/>
      <c r="L120" s="189">
        <v>2.2000000000000002</v>
      </c>
      <c r="M120" s="189">
        <v>0</v>
      </c>
      <c r="N120" s="190">
        <v>365</v>
      </c>
      <c r="O120" s="190">
        <f>F120-I120</f>
        <v>0.60000000000000009</v>
      </c>
      <c r="P120" s="190">
        <f>(D120*2)*F120-I120</f>
        <v>508.6</v>
      </c>
      <c r="Q120" s="189">
        <v>183.5</v>
      </c>
      <c r="R120" s="189">
        <f>N120</f>
        <v>365</v>
      </c>
      <c r="S120" s="189">
        <f>R120+Q120+J120+K120</f>
        <v>548.5</v>
      </c>
      <c r="T120" s="223"/>
    </row>
    <row r="121" spans="1:20" ht="15" x14ac:dyDescent="0.25">
      <c r="A121" s="250"/>
      <c r="B121" s="214"/>
      <c r="C121" s="214"/>
      <c r="D121" s="194">
        <f>SUM(D120:D120)</f>
        <v>64</v>
      </c>
      <c r="E121" s="194">
        <f>SUM(E120:E120)</f>
        <v>2</v>
      </c>
      <c r="F121" s="214"/>
      <c r="G121" s="214"/>
      <c r="H121" s="214"/>
      <c r="I121" s="214"/>
      <c r="J121" s="214"/>
      <c r="K121" s="214"/>
      <c r="L121" s="214"/>
      <c r="M121" s="191">
        <f t="shared" ref="M121" si="24">E121*F121</f>
        <v>0</v>
      </c>
      <c r="N121" s="214"/>
      <c r="O121" s="214"/>
      <c r="P121" s="214"/>
      <c r="Q121" s="191">
        <f>SUM(Q120:Q120)</f>
        <v>183.5</v>
      </c>
      <c r="R121" s="191">
        <f>SUM(R120:R120)</f>
        <v>365</v>
      </c>
      <c r="S121" s="191">
        <f>SUM(S120:S120)</f>
        <v>548.5</v>
      </c>
      <c r="T121" s="223"/>
    </row>
    <row r="122" spans="1:20" x14ac:dyDescent="0.25">
      <c r="A122" s="226"/>
      <c r="T122" s="223"/>
    </row>
    <row r="123" spans="1:20" ht="17.399999999999999" x14ac:dyDescent="0.3">
      <c r="A123" s="226"/>
      <c r="D123" s="233" t="s">
        <v>143</v>
      </c>
      <c r="E123" s="234">
        <f>D121+E121</f>
        <v>66</v>
      </c>
      <c r="T123" s="223"/>
    </row>
    <row r="124" spans="1:20" ht="17.399999999999999" x14ac:dyDescent="0.3">
      <c r="A124" s="226"/>
      <c r="D124" s="233" t="s">
        <v>144</v>
      </c>
      <c r="E124" s="234">
        <f>Q121/E123</f>
        <v>2.7803030303030303</v>
      </c>
      <c r="T124" s="223"/>
    </row>
    <row r="125" spans="1:20" ht="17.399999999999999" x14ac:dyDescent="0.3">
      <c r="A125" s="226"/>
      <c r="D125" s="233" t="s">
        <v>145</v>
      </c>
      <c r="E125" s="234">
        <f>R121/E123</f>
        <v>5.5303030303030303</v>
      </c>
      <c r="T125" s="223"/>
    </row>
    <row r="126" spans="1:20" ht="17.399999999999999" x14ac:dyDescent="0.3">
      <c r="A126" s="226"/>
      <c r="D126" s="233" t="s">
        <v>146</v>
      </c>
      <c r="E126" s="234">
        <f>S121/E123</f>
        <v>8.3106060606060606</v>
      </c>
      <c r="T126" s="223"/>
    </row>
    <row r="127" spans="1:20" ht="17.399999999999999" x14ac:dyDescent="0.3">
      <c r="A127" s="226"/>
      <c r="D127" s="233"/>
      <c r="E127" s="234"/>
      <c r="T127" s="223"/>
    </row>
    <row r="128" spans="1:20" ht="18" thickBot="1" x14ac:dyDescent="0.35">
      <c r="A128" s="227"/>
      <c r="B128" s="228"/>
      <c r="C128" s="228"/>
      <c r="D128" s="236"/>
      <c r="E128" s="235"/>
      <c r="F128" s="228"/>
      <c r="G128" s="228"/>
      <c r="H128" s="228"/>
      <c r="I128" s="228"/>
      <c r="J128" s="228"/>
      <c r="K128" s="228"/>
      <c r="L128" s="228"/>
      <c r="M128" s="228"/>
      <c r="N128" s="228"/>
      <c r="O128" s="228"/>
      <c r="P128" s="228"/>
      <c r="Q128" s="228"/>
      <c r="R128" s="228"/>
      <c r="S128" s="228"/>
      <c r="T128" s="229"/>
    </row>
    <row r="129" spans="1:20" ht="17.399999999999999" x14ac:dyDescent="0.3">
      <c r="D129" s="237"/>
      <c r="E129" s="234"/>
    </row>
    <row r="130" spans="1:20" ht="17.399999999999999" x14ac:dyDescent="0.3">
      <c r="D130" s="237"/>
      <c r="E130" s="234"/>
    </row>
    <row r="132" spans="1:20" ht="14.4" thickBot="1" x14ac:dyDescent="0.3"/>
    <row r="133" spans="1:20" x14ac:dyDescent="0.25">
      <c r="A133" s="230"/>
      <c r="B133" s="231"/>
      <c r="C133" s="231"/>
      <c r="D133" s="231"/>
      <c r="E133" s="231"/>
      <c r="F133" s="231"/>
      <c r="G133" s="231"/>
      <c r="H133" s="231"/>
      <c r="I133" s="231"/>
      <c r="J133" s="231"/>
      <c r="K133" s="231"/>
      <c r="L133" s="231"/>
      <c r="M133" s="231"/>
      <c r="N133" s="231"/>
      <c r="O133" s="231"/>
      <c r="P133" s="231"/>
      <c r="Q133" s="231"/>
      <c r="R133" s="231"/>
      <c r="S133" s="231"/>
      <c r="T133" s="222"/>
    </row>
    <row r="134" spans="1:20" x14ac:dyDescent="0.25">
      <c r="A134" s="296" t="s">
        <v>242</v>
      </c>
      <c r="B134" s="297"/>
      <c r="C134" s="297"/>
      <c r="D134" s="297"/>
      <c r="E134" s="297"/>
      <c r="F134" s="297"/>
      <c r="G134" s="297"/>
      <c r="H134" s="297"/>
      <c r="I134" s="297"/>
      <c r="J134" s="297"/>
      <c r="K134" s="297"/>
      <c r="L134" s="297"/>
      <c r="M134" s="297"/>
      <c r="N134" s="297"/>
      <c r="O134" s="297"/>
      <c r="P134" s="297"/>
      <c r="Q134" s="297"/>
      <c r="R134" s="297"/>
      <c r="S134" s="297"/>
      <c r="T134" s="223"/>
    </row>
    <row r="135" spans="1:20" ht="17.399999999999999" x14ac:dyDescent="0.3">
      <c r="A135" s="298"/>
      <c r="B135" s="299"/>
      <c r="C135" s="299"/>
      <c r="D135" s="299"/>
      <c r="E135" s="299"/>
      <c r="F135" s="299"/>
      <c r="G135" s="299"/>
      <c r="H135" s="299"/>
      <c r="I135" s="299"/>
      <c r="J135" s="299"/>
      <c r="K135" s="299"/>
      <c r="L135" s="299"/>
      <c r="M135" s="299"/>
      <c r="N135" s="299"/>
      <c r="O135" s="299"/>
      <c r="P135" s="299"/>
      <c r="Q135" s="299"/>
      <c r="R135" s="299"/>
      <c r="S135" s="299"/>
      <c r="T135" s="223"/>
    </row>
    <row r="136" spans="1:20" ht="15" x14ac:dyDescent="0.25">
      <c r="A136" s="293" t="s">
        <v>116</v>
      </c>
      <c r="B136" s="300"/>
      <c r="C136" s="300"/>
      <c r="D136" s="300" t="s">
        <v>117</v>
      </c>
      <c r="E136" s="300"/>
      <c r="F136" s="300" t="s">
        <v>118</v>
      </c>
      <c r="G136" s="300"/>
      <c r="H136" s="300"/>
      <c r="I136" s="300"/>
      <c r="J136" s="300" t="s">
        <v>119</v>
      </c>
      <c r="K136" s="300"/>
      <c r="L136" s="300" t="s">
        <v>120</v>
      </c>
      <c r="M136" s="300"/>
      <c r="N136" s="300"/>
      <c r="O136" s="300" t="s">
        <v>95</v>
      </c>
      <c r="P136" s="300"/>
      <c r="Q136" s="184" t="s">
        <v>120</v>
      </c>
      <c r="R136" s="184" t="s">
        <v>95</v>
      </c>
      <c r="S136" s="184" t="s">
        <v>121</v>
      </c>
      <c r="T136" s="223"/>
    </row>
    <row r="137" spans="1:20" ht="15" x14ac:dyDescent="0.25">
      <c r="A137" s="224" t="s">
        <v>122</v>
      </c>
      <c r="B137" s="186" t="s">
        <v>123</v>
      </c>
      <c r="C137" s="186" t="s">
        <v>124</v>
      </c>
      <c r="D137" s="186" t="s">
        <v>148</v>
      </c>
      <c r="E137" s="186" t="s">
        <v>149</v>
      </c>
      <c r="F137" s="186" t="s">
        <v>127</v>
      </c>
      <c r="G137" s="186" t="s">
        <v>150</v>
      </c>
      <c r="H137" s="186" t="s">
        <v>129</v>
      </c>
      <c r="I137" s="186" t="s">
        <v>130</v>
      </c>
      <c r="J137" s="186" t="s">
        <v>131</v>
      </c>
      <c r="K137" s="186" t="s">
        <v>132</v>
      </c>
      <c r="L137" s="186" t="s">
        <v>133</v>
      </c>
      <c r="M137" s="186" t="s">
        <v>134</v>
      </c>
      <c r="N137" s="186" t="s">
        <v>135</v>
      </c>
      <c r="O137" s="186" t="s">
        <v>136</v>
      </c>
      <c r="P137" s="186" t="s">
        <v>137</v>
      </c>
      <c r="Q137" s="149"/>
      <c r="R137" s="149"/>
      <c r="S137" s="149"/>
      <c r="T137" s="223"/>
    </row>
    <row r="138" spans="1:20" ht="15" x14ac:dyDescent="0.25">
      <c r="A138" s="301" t="s">
        <v>201</v>
      </c>
      <c r="B138" s="294"/>
      <c r="C138" s="186" t="s">
        <v>243</v>
      </c>
      <c r="D138" s="186">
        <v>0</v>
      </c>
      <c r="E138" s="186">
        <v>1</v>
      </c>
      <c r="F138" s="186">
        <v>4</v>
      </c>
      <c r="G138" s="186">
        <v>1.2</v>
      </c>
      <c r="H138" s="186">
        <v>2</v>
      </c>
      <c r="I138" s="186">
        <v>3.4</v>
      </c>
      <c r="J138" s="186">
        <v>0</v>
      </c>
      <c r="K138" s="186">
        <v>0</v>
      </c>
      <c r="L138" s="186">
        <v>2.2000000000000002</v>
      </c>
      <c r="M138" s="186">
        <v>0</v>
      </c>
      <c r="N138" s="186">
        <v>156</v>
      </c>
      <c r="O138" s="186">
        <v>0</v>
      </c>
      <c r="P138" s="186">
        <v>0</v>
      </c>
      <c r="Q138" s="149"/>
      <c r="R138" s="149">
        <f>P138</f>
        <v>0</v>
      </c>
      <c r="S138" s="149"/>
      <c r="T138" s="223"/>
    </row>
    <row r="139" spans="1:20" ht="15" x14ac:dyDescent="0.25">
      <c r="A139" s="307"/>
      <c r="B139" s="295"/>
      <c r="C139" s="186" t="s">
        <v>244</v>
      </c>
      <c r="D139" s="186">
        <v>0</v>
      </c>
      <c r="E139" s="186">
        <v>1</v>
      </c>
      <c r="F139" s="186">
        <v>4</v>
      </c>
      <c r="G139" s="186">
        <v>1.2</v>
      </c>
      <c r="H139" s="186">
        <v>2</v>
      </c>
      <c r="I139" s="186">
        <v>3.4</v>
      </c>
      <c r="J139" s="186">
        <v>0</v>
      </c>
      <c r="K139" s="186">
        <v>0</v>
      </c>
      <c r="L139" s="186">
        <v>2.2000000000000002</v>
      </c>
      <c r="M139" s="186">
        <v>0</v>
      </c>
      <c r="N139" s="186">
        <v>150</v>
      </c>
      <c r="O139" s="186">
        <v>0</v>
      </c>
      <c r="P139" s="186">
        <v>0</v>
      </c>
      <c r="Q139" s="149"/>
      <c r="R139" s="149"/>
      <c r="S139" s="149"/>
      <c r="T139" s="223"/>
    </row>
    <row r="140" spans="1:20" ht="15" x14ac:dyDescent="0.25">
      <c r="A140" s="307"/>
      <c r="B140" s="295"/>
      <c r="C140" s="186" t="s">
        <v>245</v>
      </c>
      <c r="D140" s="186">
        <v>0</v>
      </c>
      <c r="E140" s="186">
        <v>1</v>
      </c>
      <c r="F140" s="186">
        <v>4</v>
      </c>
      <c r="G140" s="186">
        <v>1.2</v>
      </c>
      <c r="H140" s="186">
        <v>2</v>
      </c>
      <c r="I140" s="186">
        <v>3.4</v>
      </c>
      <c r="J140" s="186">
        <v>0</v>
      </c>
      <c r="K140" s="186">
        <v>0</v>
      </c>
      <c r="L140" s="186">
        <v>2.2000000000000002</v>
      </c>
      <c r="M140" s="186">
        <v>0</v>
      </c>
      <c r="N140" s="186">
        <v>54</v>
      </c>
      <c r="O140" s="186">
        <v>0</v>
      </c>
      <c r="P140" s="186">
        <v>0</v>
      </c>
      <c r="Q140" s="149"/>
      <c r="R140" s="149"/>
      <c r="S140" s="149"/>
      <c r="T140" s="223"/>
    </row>
    <row r="141" spans="1:20" ht="15" x14ac:dyDescent="0.25">
      <c r="A141" s="307"/>
      <c r="B141" s="295"/>
      <c r="C141" s="186" t="s">
        <v>246</v>
      </c>
      <c r="D141" s="186">
        <v>0</v>
      </c>
      <c r="E141" s="186">
        <v>1</v>
      </c>
      <c r="F141" s="186">
        <v>4</v>
      </c>
      <c r="G141" s="186">
        <v>1.2</v>
      </c>
      <c r="H141" s="186">
        <v>2</v>
      </c>
      <c r="I141" s="186">
        <v>3.4</v>
      </c>
      <c r="J141" s="186">
        <v>0</v>
      </c>
      <c r="K141" s="186">
        <v>0</v>
      </c>
      <c r="L141" s="186">
        <v>2.2000000000000002</v>
      </c>
      <c r="M141" s="186">
        <v>0</v>
      </c>
      <c r="N141" s="186">
        <v>60</v>
      </c>
      <c r="O141" s="186">
        <v>0</v>
      </c>
      <c r="P141" s="186">
        <v>0</v>
      </c>
      <c r="Q141" s="149"/>
      <c r="R141" s="149"/>
      <c r="S141" s="149"/>
      <c r="T141" s="223"/>
    </row>
    <row r="142" spans="1:20" ht="15" x14ac:dyDescent="0.25">
      <c r="A142" s="307"/>
      <c r="B142" s="295"/>
      <c r="C142" s="186" t="s">
        <v>247</v>
      </c>
      <c r="D142" s="186">
        <v>0</v>
      </c>
      <c r="E142" s="186">
        <v>1</v>
      </c>
      <c r="F142" s="186">
        <v>4</v>
      </c>
      <c r="G142" s="186">
        <v>1.2</v>
      </c>
      <c r="H142" s="186">
        <v>2</v>
      </c>
      <c r="I142" s="186">
        <v>3.4</v>
      </c>
      <c r="J142" s="186">
        <v>0</v>
      </c>
      <c r="K142" s="186">
        <v>0</v>
      </c>
      <c r="L142" s="186">
        <v>2.2000000000000002</v>
      </c>
      <c r="M142" s="186">
        <v>0</v>
      </c>
      <c r="N142" s="186">
        <v>60</v>
      </c>
      <c r="O142" s="186">
        <v>0</v>
      </c>
      <c r="P142" s="186">
        <v>0</v>
      </c>
      <c r="Q142" s="149"/>
      <c r="R142" s="149"/>
      <c r="S142" s="149"/>
      <c r="T142" s="223"/>
    </row>
    <row r="143" spans="1:20" ht="15" x14ac:dyDescent="0.25">
      <c r="A143" s="307"/>
      <c r="B143" s="295"/>
      <c r="C143" s="186" t="s">
        <v>248</v>
      </c>
      <c r="D143" s="186">
        <v>0</v>
      </c>
      <c r="E143" s="186">
        <v>1</v>
      </c>
      <c r="F143" s="186">
        <v>4</v>
      </c>
      <c r="G143" s="186">
        <v>1.2</v>
      </c>
      <c r="H143" s="186">
        <v>2</v>
      </c>
      <c r="I143" s="186">
        <v>3.4</v>
      </c>
      <c r="J143" s="186">
        <v>0</v>
      </c>
      <c r="K143" s="186">
        <v>0</v>
      </c>
      <c r="L143" s="186">
        <v>2.2000000000000002</v>
      </c>
      <c r="M143" s="186">
        <v>0</v>
      </c>
      <c r="N143" s="186">
        <v>63</v>
      </c>
      <c r="O143" s="186">
        <v>0</v>
      </c>
      <c r="P143" s="186">
        <v>0</v>
      </c>
      <c r="Q143" s="149"/>
      <c r="R143" s="149"/>
      <c r="S143" s="149"/>
      <c r="T143" s="223"/>
    </row>
    <row r="144" spans="1:20" ht="15" x14ac:dyDescent="0.25">
      <c r="A144" s="307"/>
      <c r="B144" s="295"/>
      <c r="C144" s="186" t="s">
        <v>249</v>
      </c>
      <c r="D144" s="186">
        <v>0</v>
      </c>
      <c r="E144" s="186">
        <v>1</v>
      </c>
      <c r="F144" s="186">
        <v>4</v>
      </c>
      <c r="G144" s="186">
        <v>1.2</v>
      </c>
      <c r="H144" s="186">
        <v>2</v>
      </c>
      <c r="I144" s="186">
        <v>3.4</v>
      </c>
      <c r="J144" s="186">
        <v>0</v>
      </c>
      <c r="K144" s="186">
        <v>0</v>
      </c>
      <c r="L144" s="186">
        <v>2.2000000000000002</v>
      </c>
      <c r="M144" s="186">
        <v>0</v>
      </c>
      <c r="N144" s="186">
        <v>62</v>
      </c>
      <c r="O144" s="186">
        <v>0</v>
      </c>
      <c r="P144" s="186">
        <v>0</v>
      </c>
      <c r="Q144" s="149"/>
      <c r="R144" s="149"/>
      <c r="S144" s="149"/>
      <c r="T144" s="223"/>
    </row>
    <row r="145" spans="1:20" ht="15" x14ac:dyDescent="0.25">
      <c r="A145" s="307"/>
      <c r="B145" s="295"/>
      <c r="C145" s="186" t="s">
        <v>250</v>
      </c>
      <c r="D145" s="186">
        <v>0</v>
      </c>
      <c r="E145" s="186">
        <v>1</v>
      </c>
      <c r="F145" s="186">
        <v>4</v>
      </c>
      <c r="G145" s="186">
        <v>1.2</v>
      </c>
      <c r="H145" s="186">
        <v>2</v>
      </c>
      <c r="I145" s="186">
        <v>3.4</v>
      </c>
      <c r="J145" s="186">
        <v>0</v>
      </c>
      <c r="K145" s="186">
        <v>0</v>
      </c>
      <c r="L145" s="186">
        <v>2.2000000000000002</v>
      </c>
      <c r="M145" s="186">
        <v>0</v>
      </c>
      <c r="N145" s="186">
        <v>56</v>
      </c>
      <c r="O145" s="186">
        <v>0</v>
      </c>
      <c r="P145" s="186">
        <v>0</v>
      </c>
      <c r="Q145" s="149"/>
      <c r="R145" s="149"/>
      <c r="S145" s="149"/>
      <c r="T145" s="223"/>
    </row>
    <row r="146" spans="1:20" ht="15" x14ac:dyDescent="0.25">
      <c r="A146" s="307"/>
      <c r="B146" s="295"/>
      <c r="C146" s="186" t="s">
        <v>251</v>
      </c>
      <c r="D146" s="186">
        <v>0</v>
      </c>
      <c r="E146" s="186">
        <v>1</v>
      </c>
      <c r="F146" s="186">
        <v>4</v>
      </c>
      <c r="G146" s="186">
        <v>1.2</v>
      </c>
      <c r="H146" s="186">
        <v>2</v>
      </c>
      <c r="I146" s="186">
        <v>3.4</v>
      </c>
      <c r="J146" s="186">
        <v>0</v>
      </c>
      <c r="K146" s="186">
        <v>0</v>
      </c>
      <c r="L146" s="186">
        <v>2.2000000000000002</v>
      </c>
      <c r="M146" s="186">
        <v>0</v>
      </c>
      <c r="N146" s="186">
        <v>52</v>
      </c>
      <c r="O146" s="186">
        <v>0</v>
      </c>
      <c r="P146" s="186">
        <v>0</v>
      </c>
      <c r="Q146" s="149"/>
      <c r="R146" s="149"/>
      <c r="S146" s="149"/>
      <c r="T146" s="223"/>
    </row>
    <row r="147" spans="1:20" ht="15" x14ac:dyDescent="0.25">
      <c r="A147" s="307"/>
      <c r="B147" s="295"/>
      <c r="C147" s="186" t="s">
        <v>252</v>
      </c>
      <c r="D147" s="186">
        <v>0</v>
      </c>
      <c r="E147" s="186">
        <v>1</v>
      </c>
      <c r="F147" s="186">
        <v>4</v>
      </c>
      <c r="G147" s="186">
        <v>1.2</v>
      </c>
      <c r="H147" s="186">
        <v>2</v>
      </c>
      <c r="I147" s="186">
        <v>3.4</v>
      </c>
      <c r="J147" s="186">
        <v>0</v>
      </c>
      <c r="K147" s="186">
        <v>0</v>
      </c>
      <c r="L147" s="186">
        <v>2.2000000000000002</v>
      </c>
      <c r="M147" s="186">
        <v>0</v>
      </c>
      <c r="N147" s="186">
        <v>55</v>
      </c>
      <c r="O147" s="186">
        <v>0</v>
      </c>
      <c r="P147" s="186">
        <v>0</v>
      </c>
      <c r="Q147" s="149"/>
      <c r="R147" s="149"/>
      <c r="S147" s="149"/>
      <c r="T147" s="223"/>
    </row>
    <row r="148" spans="1:20" ht="15" x14ac:dyDescent="0.25">
      <c r="A148" s="307"/>
      <c r="B148" s="295"/>
      <c r="C148" s="186" t="s">
        <v>253</v>
      </c>
      <c r="D148" s="186">
        <v>0</v>
      </c>
      <c r="E148" s="186">
        <v>1</v>
      </c>
      <c r="F148" s="186">
        <v>4</v>
      </c>
      <c r="G148" s="186">
        <v>1.2</v>
      </c>
      <c r="H148" s="186">
        <v>2</v>
      </c>
      <c r="I148" s="186">
        <v>3.4</v>
      </c>
      <c r="J148" s="186">
        <v>0</v>
      </c>
      <c r="K148" s="186">
        <v>0</v>
      </c>
      <c r="L148" s="186">
        <v>2.2000000000000002</v>
      </c>
      <c r="M148" s="186">
        <v>0</v>
      </c>
      <c r="N148" s="186">
        <v>49</v>
      </c>
      <c r="O148" s="186">
        <v>0</v>
      </c>
      <c r="P148" s="186">
        <v>0</v>
      </c>
      <c r="Q148" s="149"/>
      <c r="R148" s="149"/>
      <c r="S148" s="149"/>
      <c r="T148" s="223"/>
    </row>
    <row r="149" spans="1:20" ht="15" x14ac:dyDescent="0.25">
      <c r="A149" s="307"/>
      <c r="B149" s="295"/>
      <c r="C149" s="186" t="s">
        <v>254</v>
      </c>
      <c r="D149" s="186">
        <v>0</v>
      </c>
      <c r="E149" s="186">
        <v>1</v>
      </c>
      <c r="F149" s="186">
        <v>4</v>
      </c>
      <c r="G149" s="186">
        <v>1.2</v>
      </c>
      <c r="H149" s="186">
        <v>2</v>
      </c>
      <c r="I149" s="186">
        <v>3.4</v>
      </c>
      <c r="J149" s="186">
        <v>0</v>
      </c>
      <c r="K149" s="186">
        <v>0</v>
      </c>
      <c r="L149" s="186">
        <v>2.2000000000000002</v>
      </c>
      <c r="M149" s="186">
        <v>0</v>
      </c>
      <c r="N149" s="186">
        <v>47</v>
      </c>
      <c r="O149" s="186">
        <v>0</v>
      </c>
      <c r="P149" s="186">
        <v>0</v>
      </c>
      <c r="Q149" s="149"/>
      <c r="R149" s="149"/>
      <c r="S149" s="149"/>
      <c r="T149" s="223"/>
    </row>
    <row r="150" spans="1:20" ht="15" x14ac:dyDescent="0.25">
      <c r="A150" s="307"/>
      <c r="B150" s="295"/>
      <c r="C150" s="186" t="s">
        <v>255</v>
      </c>
      <c r="D150" s="186">
        <v>0</v>
      </c>
      <c r="E150" s="186">
        <v>1</v>
      </c>
      <c r="F150" s="186">
        <v>4</v>
      </c>
      <c r="G150" s="186">
        <v>1.2</v>
      </c>
      <c r="H150" s="186">
        <v>2</v>
      </c>
      <c r="I150" s="186">
        <v>3.4</v>
      </c>
      <c r="J150" s="186">
        <v>0</v>
      </c>
      <c r="K150" s="186">
        <v>0</v>
      </c>
      <c r="L150" s="186">
        <v>2.2000000000000002</v>
      </c>
      <c r="M150" s="186">
        <v>0</v>
      </c>
      <c r="N150" s="186">
        <v>45</v>
      </c>
      <c r="O150" s="186">
        <v>0</v>
      </c>
      <c r="P150" s="186">
        <v>0</v>
      </c>
      <c r="Q150" s="149"/>
      <c r="R150" s="149"/>
      <c r="S150" s="149"/>
      <c r="T150" s="223"/>
    </row>
    <row r="151" spans="1:20" ht="15" x14ac:dyDescent="0.25">
      <c r="A151" s="307"/>
      <c r="B151" s="295"/>
      <c r="C151" s="186" t="s">
        <v>256</v>
      </c>
      <c r="D151" s="186">
        <v>0</v>
      </c>
      <c r="E151" s="186">
        <v>1</v>
      </c>
      <c r="F151" s="186">
        <v>4</v>
      </c>
      <c r="G151" s="186">
        <v>1.2</v>
      </c>
      <c r="H151" s="186">
        <v>2</v>
      </c>
      <c r="I151" s="186">
        <v>3.4</v>
      </c>
      <c r="J151" s="186">
        <v>0</v>
      </c>
      <c r="K151" s="186">
        <v>0</v>
      </c>
      <c r="L151" s="186">
        <v>2.2000000000000002</v>
      </c>
      <c r="M151" s="186">
        <v>0</v>
      </c>
      <c r="N151" s="253">
        <v>47</v>
      </c>
      <c r="O151" s="186">
        <v>0</v>
      </c>
      <c r="P151" s="186">
        <v>0</v>
      </c>
      <c r="Q151" s="149"/>
      <c r="R151" s="149"/>
      <c r="S151" s="149"/>
      <c r="T151" s="223"/>
    </row>
    <row r="152" spans="1:20" ht="15" x14ac:dyDescent="0.25">
      <c r="A152" s="307"/>
      <c r="B152" s="295"/>
      <c r="C152" s="186" t="s">
        <v>257</v>
      </c>
      <c r="D152" s="186">
        <v>0</v>
      </c>
      <c r="E152" s="186">
        <v>1</v>
      </c>
      <c r="F152" s="186">
        <v>4</v>
      </c>
      <c r="G152" s="186">
        <v>1.2</v>
      </c>
      <c r="H152" s="186">
        <v>2</v>
      </c>
      <c r="I152" s="186">
        <v>3.4</v>
      </c>
      <c r="J152" s="186">
        <v>0</v>
      </c>
      <c r="K152" s="186">
        <v>0</v>
      </c>
      <c r="L152" s="186">
        <v>2.2000000000000002</v>
      </c>
      <c r="M152" s="186">
        <v>0</v>
      </c>
      <c r="N152" s="186">
        <v>5</v>
      </c>
      <c r="O152" s="186">
        <v>0</v>
      </c>
      <c r="P152" s="186">
        <v>0</v>
      </c>
      <c r="Q152" s="149"/>
      <c r="R152" s="149"/>
      <c r="S152" s="149"/>
      <c r="T152" s="223"/>
    </row>
    <row r="153" spans="1:20" ht="15" x14ac:dyDescent="0.25">
      <c r="A153" s="307"/>
      <c r="B153" s="295"/>
      <c r="C153" s="186" t="s">
        <v>258</v>
      </c>
      <c r="D153" s="186">
        <v>0</v>
      </c>
      <c r="E153" s="186">
        <v>1</v>
      </c>
      <c r="F153" s="186">
        <v>4</v>
      </c>
      <c r="G153" s="186">
        <v>1.2</v>
      </c>
      <c r="H153" s="186">
        <v>2</v>
      </c>
      <c r="I153" s="186">
        <v>3.4</v>
      </c>
      <c r="J153" s="186">
        <v>0</v>
      </c>
      <c r="K153" s="186">
        <v>0</v>
      </c>
      <c r="L153" s="186">
        <v>2.2000000000000002</v>
      </c>
      <c r="M153" s="186">
        <v>0</v>
      </c>
      <c r="N153" s="186">
        <v>11</v>
      </c>
      <c r="O153" s="186">
        <v>0</v>
      </c>
      <c r="P153" s="186">
        <v>0</v>
      </c>
      <c r="Q153" s="149"/>
      <c r="R153" s="149"/>
      <c r="S153" s="149"/>
      <c r="T153" s="223"/>
    </row>
    <row r="154" spans="1:20" ht="15" x14ac:dyDescent="0.25">
      <c r="A154" s="307"/>
      <c r="B154" s="295"/>
      <c r="C154" s="186" t="s">
        <v>259</v>
      </c>
      <c r="D154" s="186">
        <v>0</v>
      </c>
      <c r="E154" s="186">
        <v>1</v>
      </c>
      <c r="F154" s="186">
        <v>4</v>
      </c>
      <c r="G154" s="186">
        <v>1.2</v>
      </c>
      <c r="H154" s="186">
        <v>2</v>
      </c>
      <c r="I154" s="186">
        <v>3.4</v>
      </c>
      <c r="J154" s="186">
        <v>0</v>
      </c>
      <c r="K154" s="186">
        <v>0</v>
      </c>
      <c r="L154" s="186">
        <v>2.2000000000000002</v>
      </c>
      <c r="M154" s="186">
        <v>0</v>
      </c>
      <c r="N154" s="186">
        <v>14</v>
      </c>
      <c r="O154" s="186">
        <v>0</v>
      </c>
      <c r="P154" s="186">
        <v>0</v>
      </c>
      <c r="Q154" s="149"/>
      <c r="R154" s="149"/>
      <c r="S154" s="149"/>
      <c r="T154" s="223"/>
    </row>
    <row r="155" spans="1:20" ht="15" x14ac:dyDescent="0.25">
      <c r="A155" s="307"/>
      <c r="B155" s="295"/>
      <c r="C155" s="186" t="s">
        <v>260</v>
      </c>
      <c r="D155" s="186">
        <v>0</v>
      </c>
      <c r="E155" s="186">
        <v>1</v>
      </c>
      <c r="F155" s="186">
        <v>4</v>
      </c>
      <c r="G155" s="186">
        <v>1.2</v>
      </c>
      <c r="H155" s="186">
        <v>2</v>
      </c>
      <c r="I155" s="186">
        <v>3.4</v>
      </c>
      <c r="J155" s="186">
        <v>0</v>
      </c>
      <c r="K155" s="186">
        <v>0</v>
      </c>
      <c r="L155" s="186">
        <v>2.2000000000000002</v>
      </c>
      <c r="M155" s="186">
        <v>0</v>
      </c>
      <c r="N155" s="186">
        <v>16</v>
      </c>
      <c r="O155" s="186">
        <v>0</v>
      </c>
      <c r="P155" s="186">
        <v>0</v>
      </c>
      <c r="Q155" s="149"/>
      <c r="R155" s="149"/>
      <c r="S155" s="149"/>
      <c r="T155" s="223"/>
    </row>
    <row r="156" spans="1:20" ht="15" x14ac:dyDescent="0.25">
      <c r="A156" s="307"/>
      <c r="B156" s="295"/>
      <c r="C156" s="186" t="s">
        <v>261</v>
      </c>
      <c r="D156" s="186">
        <v>0</v>
      </c>
      <c r="E156" s="186">
        <v>1</v>
      </c>
      <c r="F156" s="186">
        <v>4</v>
      </c>
      <c r="G156" s="186">
        <v>1.2</v>
      </c>
      <c r="H156" s="186">
        <v>2</v>
      </c>
      <c r="I156" s="186">
        <v>3.4</v>
      </c>
      <c r="J156" s="186">
        <v>0</v>
      </c>
      <c r="K156" s="186">
        <v>0</v>
      </c>
      <c r="L156" s="186">
        <v>2.2000000000000002</v>
      </c>
      <c r="M156" s="186">
        <v>0</v>
      </c>
      <c r="N156" s="186">
        <v>110</v>
      </c>
      <c r="O156" s="186">
        <v>0</v>
      </c>
      <c r="P156" s="186">
        <v>0</v>
      </c>
      <c r="Q156" s="149"/>
      <c r="R156" s="149"/>
      <c r="S156" s="149"/>
      <c r="T156" s="223"/>
    </row>
    <row r="157" spans="1:20" ht="15" x14ac:dyDescent="0.25">
      <c r="A157" s="307"/>
      <c r="B157" s="295"/>
      <c r="C157" s="186" t="s">
        <v>262</v>
      </c>
      <c r="D157" s="186">
        <v>0</v>
      </c>
      <c r="E157" s="186">
        <v>1</v>
      </c>
      <c r="F157" s="186">
        <v>4</v>
      </c>
      <c r="G157" s="186">
        <v>1.2</v>
      </c>
      <c r="H157" s="186">
        <v>2</v>
      </c>
      <c r="I157" s="186">
        <v>3.4</v>
      </c>
      <c r="J157" s="186">
        <v>0</v>
      </c>
      <c r="K157" s="186">
        <v>0</v>
      </c>
      <c r="L157" s="186">
        <v>2.2000000000000002</v>
      </c>
      <c r="M157" s="186">
        <v>0</v>
      </c>
      <c r="N157" s="186">
        <v>101</v>
      </c>
      <c r="O157" s="186">
        <v>0</v>
      </c>
      <c r="P157" s="186">
        <v>0</v>
      </c>
      <c r="Q157" s="149"/>
      <c r="R157" s="149"/>
      <c r="S157" s="149"/>
      <c r="T157" s="223"/>
    </row>
    <row r="158" spans="1:20" ht="15" x14ac:dyDescent="0.25">
      <c r="A158" s="307"/>
      <c r="B158" s="295"/>
      <c r="C158" s="186" t="s">
        <v>263</v>
      </c>
      <c r="D158" s="186">
        <v>0</v>
      </c>
      <c r="E158" s="186">
        <v>1</v>
      </c>
      <c r="F158" s="186">
        <v>4</v>
      </c>
      <c r="G158" s="186">
        <v>1.2</v>
      </c>
      <c r="H158" s="186">
        <v>2</v>
      </c>
      <c r="I158" s="186">
        <v>3.4</v>
      </c>
      <c r="J158" s="186">
        <v>0</v>
      </c>
      <c r="K158" s="186">
        <v>0</v>
      </c>
      <c r="L158" s="186">
        <v>2.2000000000000002</v>
      </c>
      <c r="M158" s="186">
        <v>0</v>
      </c>
      <c r="N158" s="186">
        <v>93</v>
      </c>
      <c r="O158" s="186">
        <v>0</v>
      </c>
      <c r="P158" s="186">
        <v>0</v>
      </c>
      <c r="Q158" s="149"/>
      <c r="R158" s="149"/>
      <c r="S158" s="149"/>
      <c r="T158" s="223"/>
    </row>
    <row r="159" spans="1:20" ht="15" x14ac:dyDescent="0.25">
      <c r="A159" s="307"/>
      <c r="B159" s="295"/>
      <c r="C159" s="186" t="s">
        <v>264</v>
      </c>
      <c r="D159" s="186">
        <v>0</v>
      </c>
      <c r="E159" s="186">
        <v>1</v>
      </c>
      <c r="F159" s="186">
        <v>4</v>
      </c>
      <c r="G159" s="186">
        <v>1.2</v>
      </c>
      <c r="H159" s="186">
        <v>2</v>
      </c>
      <c r="I159" s="186">
        <v>3.4</v>
      </c>
      <c r="J159" s="186">
        <v>0</v>
      </c>
      <c r="K159" s="186">
        <v>0</v>
      </c>
      <c r="L159" s="186">
        <v>2.2000000000000002</v>
      </c>
      <c r="M159" s="186">
        <v>0</v>
      </c>
      <c r="N159" s="186">
        <v>88</v>
      </c>
      <c r="O159" s="186">
        <v>0</v>
      </c>
      <c r="P159" s="186">
        <v>0</v>
      </c>
      <c r="Q159" s="149"/>
      <c r="R159" s="149"/>
      <c r="S159" s="149"/>
      <c r="T159" s="223"/>
    </row>
    <row r="160" spans="1:20" ht="15" x14ac:dyDescent="0.25">
      <c r="A160" s="307"/>
      <c r="B160" s="295"/>
      <c r="C160" s="186" t="s">
        <v>265</v>
      </c>
      <c r="D160" s="186">
        <v>0</v>
      </c>
      <c r="E160" s="186">
        <v>1</v>
      </c>
      <c r="F160" s="186">
        <v>4</v>
      </c>
      <c r="G160" s="186">
        <v>1.2</v>
      </c>
      <c r="H160" s="186">
        <v>2</v>
      </c>
      <c r="I160" s="186">
        <v>3.4</v>
      </c>
      <c r="J160" s="186">
        <v>0</v>
      </c>
      <c r="K160" s="186">
        <v>0</v>
      </c>
      <c r="L160" s="186">
        <v>2.2000000000000002</v>
      </c>
      <c r="M160" s="186">
        <v>0</v>
      </c>
      <c r="N160" s="186">
        <v>84</v>
      </c>
      <c r="O160" s="186">
        <v>0</v>
      </c>
      <c r="P160" s="186">
        <v>0</v>
      </c>
      <c r="Q160" s="149"/>
      <c r="R160" s="149"/>
      <c r="S160" s="149"/>
      <c r="T160" s="223"/>
    </row>
    <row r="161" spans="1:20" ht="15" x14ac:dyDescent="0.25">
      <c r="A161" s="307"/>
      <c r="B161" s="295"/>
      <c r="C161" s="186" t="s">
        <v>266</v>
      </c>
      <c r="D161" s="186">
        <v>0</v>
      </c>
      <c r="E161" s="186">
        <v>1</v>
      </c>
      <c r="F161" s="186">
        <v>4</v>
      </c>
      <c r="G161" s="186">
        <v>1.2</v>
      </c>
      <c r="H161" s="186">
        <v>2</v>
      </c>
      <c r="I161" s="186">
        <v>3.4</v>
      </c>
      <c r="J161" s="186">
        <v>0</v>
      </c>
      <c r="K161" s="186">
        <v>0</v>
      </c>
      <c r="L161" s="186">
        <v>2.2000000000000002</v>
      </c>
      <c r="M161" s="186">
        <v>0</v>
      </c>
      <c r="N161" s="186">
        <v>74</v>
      </c>
      <c r="O161" s="186">
        <v>0</v>
      </c>
      <c r="P161" s="186">
        <v>0</v>
      </c>
      <c r="Q161" s="149"/>
      <c r="R161" s="149"/>
      <c r="S161" s="149"/>
      <c r="T161" s="223"/>
    </row>
    <row r="162" spans="1:20" ht="15" x14ac:dyDescent="0.25">
      <c r="A162" s="251"/>
      <c r="B162" s="252"/>
      <c r="C162" s="188" t="s">
        <v>140</v>
      </c>
      <c r="D162" s="189">
        <v>1</v>
      </c>
      <c r="E162" s="190"/>
      <c r="F162" s="190">
        <v>4</v>
      </c>
      <c r="G162" s="190">
        <v>0.4</v>
      </c>
      <c r="H162" s="190">
        <v>1.8</v>
      </c>
      <c r="I162" s="190">
        <v>3.4</v>
      </c>
      <c r="J162" s="190">
        <v>0</v>
      </c>
      <c r="K162" s="190"/>
      <c r="L162" s="189">
        <v>5.8</v>
      </c>
      <c r="M162" s="189">
        <v>0</v>
      </c>
      <c r="N162" s="190">
        <v>5.8</v>
      </c>
      <c r="O162" s="190">
        <f>F162-I162</f>
        <v>0.60000000000000009</v>
      </c>
      <c r="P162" s="190">
        <f>(D162*2)*F162-I162</f>
        <v>4.5999999999999996</v>
      </c>
      <c r="Q162" s="189">
        <v>11.57</v>
      </c>
      <c r="R162" s="189">
        <v>0</v>
      </c>
      <c r="S162" s="189">
        <v>11.57</v>
      </c>
      <c r="T162" s="223"/>
    </row>
    <row r="163" spans="1:20" ht="15" x14ac:dyDescent="0.25">
      <c r="A163" s="289" t="s">
        <v>171</v>
      </c>
      <c r="B163" s="290"/>
      <c r="C163" s="214"/>
      <c r="D163" s="194">
        <f>SUM(D162:D162)</f>
        <v>1</v>
      </c>
      <c r="E163" s="194">
        <f>SUM(E162:E162)</f>
        <v>0</v>
      </c>
      <c r="F163" s="214"/>
      <c r="G163" s="214"/>
      <c r="H163" s="214"/>
      <c r="I163" s="214"/>
      <c r="J163" s="214"/>
      <c r="K163" s="214"/>
      <c r="L163" s="214"/>
      <c r="M163" s="191">
        <f t="shared" ref="M163" si="25">E163*F163</f>
        <v>0</v>
      </c>
      <c r="N163" s="214"/>
      <c r="O163" s="214"/>
      <c r="P163" s="214"/>
      <c r="Q163" s="191">
        <v>11.75</v>
      </c>
      <c r="R163" s="191">
        <f>SUM(R162:R162)</f>
        <v>0</v>
      </c>
      <c r="S163" s="191">
        <f>SUM(S162:S162)</f>
        <v>11.57</v>
      </c>
      <c r="T163" s="223"/>
    </row>
    <row r="164" spans="1:20" x14ac:dyDescent="0.25">
      <c r="A164" s="226"/>
      <c r="T164" s="223"/>
    </row>
    <row r="165" spans="1:20" ht="17.399999999999999" x14ac:dyDescent="0.3">
      <c r="A165" s="226"/>
      <c r="D165" s="233" t="s">
        <v>143</v>
      </c>
      <c r="E165" s="234">
        <f>D163+E163</f>
        <v>1</v>
      </c>
      <c r="T165" s="223"/>
    </row>
    <row r="166" spans="1:20" ht="17.399999999999999" x14ac:dyDescent="0.3">
      <c r="A166" s="226"/>
      <c r="D166" s="233" t="s">
        <v>144</v>
      </c>
      <c r="E166" s="234">
        <f>Q163/E165</f>
        <v>11.75</v>
      </c>
      <c r="T166" s="223"/>
    </row>
    <row r="167" spans="1:20" ht="17.399999999999999" x14ac:dyDescent="0.3">
      <c r="A167" s="226"/>
      <c r="D167" s="233" t="s">
        <v>145</v>
      </c>
      <c r="E167" s="234">
        <f>R163/E165</f>
        <v>0</v>
      </c>
      <c r="T167" s="223"/>
    </row>
    <row r="168" spans="1:20" ht="17.399999999999999" x14ac:dyDescent="0.3">
      <c r="A168" s="226"/>
      <c r="D168" s="233" t="s">
        <v>146</v>
      </c>
      <c r="E168" s="234">
        <f>S163/E165</f>
        <v>11.57</v>
      </c>
      <c r="T168" s="223"/>
    </row>
    <row r="169" spans="1:20" ht="14.4" thickBot="1" x14ac:dyDescent="0.3">
      <c r="A169" s="227"/>
      <c r="B169" s="228"/>
      <c r="C169" s="228"/>
      <c r="D169" s="228"/>
      <c r="E169" s="228"/>
      <c r="F169" s="228"/>
      <c r="G169" s="228"/>
      <c r="H169" s="228"/>
      <c r="I169" s="228"/>
      <c r="J169" s="228"/>
      <c r="K169" s="228"/>
      <c r="L169" s="228"/>
      <c r="M169" s="228"/>
      <c r="N169" s="228"/>
      <c r="O169" s="228"/>
      <c r="P169" s="228"/>
      <c r="Q169" s="228"/>
      <c r="R169" s="228"/>
      <c r="S169" s="228"/>
      <c r="T169" s="229"/>
    </row>
    <row r="170" spans="1:20" ht="14.4" thickBot="1" x14ac:dyDescent="0.3"/>
    <row r="171" spans="1:20" x14ac:dyDescent="0.25">
      <c r="A171" s="230"/>
      <c r="B171" s="231"/>
      <c r="C171" s="231"/>
      <c r="D171" s="231"/>
      <c r="E171" s="231"/>
      <c r="F171" s="231"/>
      <c r="G171" s="231"/>
      <c r="H171" s="231"/>
      <c r="I171" s="231"/>
      <c r="J171" s="231"/>
      <c r="K171" s="231"/>
      <c r="L171" s="231"/>
      <c r="M171" s="231"/>
      <c r="N171" s="231"/>
      <c r="O171" s="231"/>
      <c r="P171" s="231"/>
      <c r="Q171" s="231"/>
      <c r="R171" s="231"/>
      <c r="S171" s="231"/>
      <c r="T171" s="222"/>
    </row>
    <row r="172" spans="1:20" x14ac:dyDescent="0.25">
      <c r="A172" s="296" t="str">
        <f>[1]Outlets!B36</f>
        <v>توريد وتركيب وحدة  داتا على الحائط بكل وحدة بالاسلاك حسب الرسومات  ومحمل على البند  العلبة  طراز بيتشينو لايت أو ما يماثله و مواسير الـ P.V.C  من المخرج إلى Junction box  وكذلك أدوات التثبيت والاختبارات حسب الرسومات والمواصفات.</v>
      </c>
      <c r="B172" s="297"/>
      <c r="C172" s="297"/>
      <c r="D172" s="297"/>
      <c r="E172" s="297"/>
      <c r="F172" s="297"/>
      <c r="G172" s="297"/>
      <c r="H172" s="297"/>
      <c r="I172" s="297"/>
      <c r="J172" s="297"/>
      <c r="K172" s="297"/>
      <c r="L172" s="297"/>
      <c r="M172" s="297"/>
      <c r="N172" s="297"/>
      <c r="O172" s="297"/>
      <c r="P172" s="297"/>
      <c r="Q172" s="297"/>
      <c r="R172" s="297"/>
      <c r="S172" s="297"/>
      <c r="T172" s="223"/>
    </row>
    <row r="173" spans="1:20" x14ac:dyDescent="0.25">
      <c r="A173" s="226"/>
      <c r="T173" s="223"/>
    </row>
    <row r="174" spans="1:20" ht="17.399999999999999" x14ac:dyDescent="0.3">
      <c r="A174" s="298"/>
      <c r="B174" s="299"/>
      <c r="C174" s="299"/>
      <c r="D174" s="299"/>
      <c r="E174" s="299"/>
      <c r="F174" s="299"/>
      <c r="G174" s="299"/>
      <c r="H174" s="299"/>
      <c r="I174" s="299"/>
      <c r="J174" s="299"/>
      <c r="K174" s="299"/>
      <c r="L174" s="299"/>
      <c r="M174" s="299"/>
      <c r="N174" s="299"/>
      <c r="O174" s="299"/>
      <c r="P174" s="299"/>
      <c r="Q174" s="299"/>
      <c r="R174" s="299"/>
      <c r="S174" s="299"/>
      <c r="T174" s="223"/>
    </row>
    <row r="175" spans="1:20" ht="15" x14ac:dyDescent="0.25">
      <c r="A175" s="293" t="s">
        <v>116</v>
      </c>
      <c r="B175" s="300"/>
      <c r="C175" s="300"/>
      <c r="D175" s="300" t="s">
        <v>117</v>
      </c>
      <c r="E175" s="300"/>
      <c r="F175" s="300" t="s">
        <v>118</v>
      </c>
      <c r="G175" s="300"/>
      <c r="H175" s="300"/>
      <c r="I175" s="300"/>
      <c r="J175" s="300" t="s">
        <v>119</v>
      </c>
      <c r="K175" s="300"/>
      <c r="L175" s="300" t="s">
        <v>120</v>
      </c>
      <c r="M175" s="300"/>
      <c r="N175" s="300"/>
      <c r="O175" s="300" t="s">
        <v>95</v>
      </c>
      <c r="P175" s="300"/>
      <c r="Q175" s="184" t="s">
        <v>120</v>
      </c>
      <c r="R175" s="184" t="s">
        <v>95</v>
      </c>
      <c r="S175" s="184" t="s">
        <v>121</v>
      </c>
      <c r="T175" s="223"/>
    </row>
    <row r="176" spans="1:20" ht="15" x14ac:dyDescent="0.25">
      <c r="A176" s="224" t="s">
        <v>122</v>
      </c>
      <c r="B176" s="186" t="s">
        <v>123</v>
      </c>
      <c r="C176" s="186" t="s">
        <v>124</v>
      </c>
      <c r="D176" s="186" t="s">
        <v>151</v>
      </c>
      <c r="E176" s="186" t="s">
        <v>152</v>
      </c>
      <c r="F176" s="186" t="s">
        <v>127</v>
      </c>
      <c r="G176" s="186" t="s">
        <v>153</v>
      </c>
      <c r="H176" s="186" t="s">
        <v>129</v>
      </c>
      <c r="I176" s="186" t="s">
        <v>130</v>
      </c>
      <c r="J176" s="186" t="s">
        <v>131</v>
      </c>
      <c r="K176" s="186" t="s">
        <v>132</v>
      </c>
      <c r="L176" s="186" t="s">
        <v>133</v>
      </c>
      <c r="M176" s="186" t="s">
        <v>134</v>
      </c>
      <c r="N176" s="186" t="s">
        <v>135</v>
      </c>
      <c r="O176" s="186" t="s">
        <v>136</v>
      </c>
      <c r="P176" s="186" t="s">
        <v>137</v>
      </c>
      <c r="Q176" s="149"/>
      <c r="R176" s="149"/>
      <c r="S176" s="149"/>
      <c r="T176" s="223"/>
    </row>
    <row r="177" spans="1:20" ht="15" x14ac:dyDescent="0.25">
      <c r="A177" s="293" t="s">
        <v>138</v>
      </c>
      <c r="B177" s="294" t="s">
        <v>139</v>
      </c>
      <c r="C177" s="188" t="s">
        <v>140</v>
      </c>
      <c r="D177" s="189">
        <v>0</v>
      </c>
      <c r="E177" s="190">
        <v>1</v>
      </c>
      <c r="F177" s="190">
        <v>4</v>
      </c>
      <c r="G177" s="190">
        <v>2.5</v>
      </c>
      <c r="H177" s="190">
        <v>1.8</v>
      </c>
      <c r="I177" s="190">
        <v>3.4</v>
      </c>
      <c r="J177" s="190">
        <v>0</v>
      </c>
      <c r="K177" s="190"/>
      <c r="L177" s="189">
        <v>5.8</v>
      </c>
      <c r="M177" s="189">
        <v>0</v>
      </c>
      <c r="N177" s="190">
        <v>2.8</v>
      </c>
      <c r="O177" s="190">
        <f>F177-I177</f>
        <v>0.60000000000000009</v>
      </c>
      <c r="P177" s="190">
        <f>(D177*2)*F177-I177</f>
        <v>-3.4</v>
      </c>
      <c r="Q177" s="189">
        <f>L177+N177</f>
        <v>8.6</v>
      </c>
      <c r="R177" s="189">
        <v>0</v>
      </c>
      <c r="S177" s="189">
        <f>R177+Q177+J177+K177</f>
        <v>8.6</v>
      </c>
      <c r="T177" s="223"/>
    </row>
    <row r="178" spans="1:20" ht="15" x14ac:dyDescent="0.25">
      <c r="A178" s="293"/>
      <c r="B178" s="295"/>
      <c r="C178" s="188" t="s">
        <v>141</v>
      </c>
      <c r="D178" s="189">
        <v>0</v>
      </c>
      <c r="E178" s="190">
        <v>1</v>
      </c>
      <c r="F178" s="190">
        <v>4</v>
      </c>
      <c r="G178" s="190">
        <v>2.5</v>
      </c>
      <c r="H178" s="190">
        <v>1.8</v>
      </c>
      <c r="I178" s="190">
        <v>3.4</v>
      </c>
      <c r="J178" s="190">
        <v>0</v>
      </c>
      <c r="K178" s="190"/>
      <c r="L178" s="189">
        <v>5.8</v>
      </c>
      <c r="M178" s="189">
        <v>0</v>
      </c>
      <c r="N178" s="190">
        <v>7.7</v>
      </c>
      <c r="O178" s="190">
        <f>F178-I178</f>
        <v>0.60000000000000009</v>
      </c>
      <c r="P178" s="190">
        <f>(D178*2)*F178-I178</f>
        <v>-3.4</v>
      </c>
      <c r="Q178" s="189">
        <f t="shared" ref="Q178:Q179" si="26">L178+N178</f>
        <v>13.5</v>
      </c>
      <c r="R178" s="189">
        <v>0</v>
      </c>
      <c r="S178" s="189">
        <f>R178+Q178+J178+K178</f>
        <v>13.5</v>
      </c>
      <c r="T178" s="223"/>
    </row>
    <row r="179" spans="1:20" ht="15" x14ac:dyDescent="0.25">
      <c r="A179" s="225" t="s">
        <v>147</v>
      </c>
      <c r="B179" s="295"/>
      <c r="C179" s="188" t="s">
        <v>142</v>
      </c>
      <c r="D179" s="189">
        <v>0</v>
      </c>
      <c r="E179" s="190">
        <v>1</v>
      </c>
      <c r="F179" s="190">
        <v>4</v>
      </c>
      <c r="G179" s="190">
        <v>2.5</v>
      </c>
      <c r="H179" s="190">
        <v>1.8</v>
      </c>
      <c r="I179" s="190">
        <v>3.4</v>
      </c>
      <c r="J179" s="190">
        <v>0</v>
      </c>
      <c r="K179" s="190"/>
      <c r="L179" s="189">
        <v>5.8</v>
      </c>
      <c r="M179" s="189">
        <f t="shared" ref="M179" si="27">(D179+E179)*F179</f>
        <v>4</v>
      </c>
      <c r="N179" s="190">
        <v>4.5</v>
      </c>
      <c r="O179" s="190">
        <f t="shared" ref="O179" si="28">F179-I179</f>
        <v>0.60000000000000009</v>
      </c>
      <c r="P179" s="190">
        <f t="shared" ref="P179" si="29">(D179*2)*F179-I179</f>
        <v>-3.4</v>
      </c>
      <c r="Q179" s="189">
        <f t="shared" si="26"/>
        <v>10.3</v>
      </c>
      <c r="R179" s="189">
        <v>0</v>
      </c>
      <c r="S179" s="189">
        <f t="shared" ref="S179" si="30">R179+Q179+J179+K179</f>
        <v>10.3</v>
      </c>
      <c r="T179" s="223"/>
    </row>
    <row r="180" spans="1:20" ht="15" x14ac:dyDescent="0.25">
      <c r="A180" s="232"/>
      <c r="B180" s="149"/>
      <c r="C180" s="149"/>
      <c r="D180" s="190">
        <f>SUM(D177:D179)</f>
        <v>0</v>
      </c>
      <c r="E180" s="190">
        <f>SUM(E177:E179)</f>
        <v>3</v>
      </c>
      <c r="F180" s="149"/>
      <c r="G180" s="149"/>
      <c r="H180" s="149"/>
      <c r="I180" s="149"/>
      <c r="J180" s="149"/>
      <c r="K180" s="149"/>
      <c r="L180" s="149"/>
      <c r="M180" s="189">
        <f t="shared" ref="M180" si="31">E180*F180</f>
        <v>0</v>
      </c>
      <c r="N180" s="149"/>
      <c r="O180" s="149"/>
      <c r="P180" s="149"/>
      <c r="Q180" s="189">
        <f>SUM(Q177:Q179)</f>
        <v>32.400000000000006</v>
      </c>
      <c r="R180" s="189">
        <f>SUM(R177:R179)</f>
        <v>0</v>
      </c>
      <c r="S180" s="189">
        <f>SUM(S177:S179)</f>
        <v>32.400000000000006</v>
      </c>
      <c r="T180" s="223"/>
    </row>
    <row r="181" spans="1:20" x14ac:dyDescent="0.25">
      <c r="A181" s="226"/>
      <c r="T181" s="223"/>
    </row>
    <row r="182" spans="1:20" ht="17.399999999999999" x14ac:dyDescent="0.3">
      <c r="A182" s="226"/>
      <c r="D182" s="233" t="s">
        <v>143</v>
      </c>
      <c r="E182" s="234">
        <f>D180+E180</f>
        <v>3</v>
      </c>
      <c r="T182" s="223"/>
    </row>
    <row r="183" spans="1:20" ht="17.399999999999999" x14ac:dyDescent="0.3">
      <c r="A183" s="226"/>
      <c r="D183" s="233" t="s">
        <v>144</v>
      </c>
      <c r="E183" s="234">
        <f>Q180/E182</f>
        <v>10.800000000000002</v>
      </c>
      <c r="T183" s="223"/>
    </row>
    <row r="184" spans="1:20" ht="17.399999999999999" x14ac:dyDescent="0.3">
      <c r="A184" s="226"/>
      <c r="D184" s="233" t="s">
        <v>145</v>
      </c>
      <c r="E184" s="234">
        <f>R180/E182</f>
        <v>0</v>
      </c>
      <c r="T184" s="223"/>
    </row>
    <row r="185" spans="1:20" ht="17.399999999999999" x14ac:dyDescent="0.3">
      <c r="A185" s="226"/>
      <c r="D185" s="233" t="s">
        <v>146</v>
      </c>
      <c r="E185" s="234">
        <f>S180/E182</f>
        <v>10.800000000000002</v>
      </c>
      <c r="T185" s="223"/>
    </row>
    <row r="186" spans="1:20" ht="14.4" thickBot="1" x14ac:dyDescent="0.3">
      <c r="A186" s="227"/>
      <c r="B186" s="228"/>
      <c r="C186" s="228"/>
      <c r="D186" s="228"/>
      <c r="E186" s="228"/>
      <c r="F186" s="228"/>
      <c r="G186" s="228"/>
      <c r="H186" s="228"/>
      <c r="I186" s="228"/>
      <c r="J186" s="228"/>
      <c r="K186" s="228"/>
      <c r="L186" s="228"/>
      <c r="M186" s="228"/>
      <c r="N186" s="228"/>
      <c r="O186" s="228"/>
      <c r="P186" s="228"/>
      <c r="Q186" s="228"/>
      <c r="R186" s="228"/>
      <c r="S186" s="228"/>
      <c r="T186" s="229"/>
    </row>
    <row r="191" spans="1:20" ht="19.8" customHeight="1" x14ac:dyDescent="0.25"/>
  </sheetData>
  <mergeCells count="76">
    <mergeCell ref="A138:A161"/>
    <mergeCell ref="B138:B161"/>
    <mergeCell ref="A1:S1"/>
    <mergeCell ref="A2:S2"/>
    <mergeCell ref="A3:C3"/>
    <mergeCell ref="D3:E3"/>
    <mergeCell ref="F3:I3"/>
    <mergeCell ref="J3:K3"/>
    <mergeCell ref="L3:N3"/>
    <mergeCell ref="O3:P3"/>
    <mergeCell ref="A5:A26"/>
    <mergeCell ref="B5:B26"/>
    <mergeCell ref="A36:S36"/>
    <mergeCell ref="A37:S37"/>
    <mergeCell ref="A38:C38"/>
    <mergeCell ref="D38:E38"/>
    <mergeCell ref="F38:I38"/>
    <mergeCell ref="J38:K38"/>
    <mergeCell ref="L38:N38"/>
    <mergeCell ref="O38:P38"/>
    <mergeCell ref="A27:C27"/>
    <mergeCell ref="A40:A67"/>
    <mergeCell ref="B40:B67"/>
    <mergeCell ref="A101:S101"/>
    <mergeCell ref="A102:S102"/>
    <mergeCell ref="A68:C68"/>
    <mergeCell ref="A77:S77"/>
    <mergeCell ref="A78:S78"/>
    <mergeCell ref="A79:C79"/>
    <mergeCell ref="D79:E79"/>
    <mergeCell ref="F79:I79"/>
    <mergeCell ref="J79:K79"/>
    <mergeCell ref="L79:N79"/>
    <mergeCell ref="O79:P79"/>
    <mergeCell ref="A81:A89"/>
    <mergeCell ref="B81:B89"/>
    <mergeCell ref="A105:A106"/>
    <mergeCell ref="B105:B106"/>
    <mergeCell ref="A116:S116"/>
    <mergeCell ref="A117:S117"/>
    <mergeCell ref="A103:C103"/>
    <mergeCell ref="D103:E103"/>
    <mergeCell ref="F103:I103"/>
    <mergeCell ref="J103:K103"/>
    <mergeCell ref="L103:N103"/>
    <mergeCell ref="D118:E118"/>
    <mergeCell ref="F118:I118"/>
    <mergeCell ref="J118:K118"/>
    <mergeCell ref="L118:N118"/>
    <mergeCell ref="O103:P103"/>
    <mergeCell ref="A177:A178"/>
    <mergeCell ref="B177:B179"/>
    <mergeCell ref="A172:S172"/>
    <mergeCell ref="A174:S174"/>
    <mergeCell ref="A175:C175"/>
    <mergeCell ref="D175:E175"/>
    <mergeCell ref="F175:I175"/>
    <mergeCell ref="J175:K175"/>
    <mergeCell ref="L175:N175"/>
    <mergeCell ref="O175:P175"/>
    <mergeCell ref="A163:B163"/>
    <mergeCell ref="A90:C90"/>
    <mergeCell ref="K30:N31"/>
    <mergeCell ref="J71:L72"/>
    <mergeCell ref="J93:L94"/>
    <mergeCell ref="A107:B107"/>
    <mergeCell ref="A134:S134"/>
    <mergeCell ref="A135:S135"/>
    <mergeCell ref="A136:C136"/>
    <mergeCell ref="D136:E136"/>
    <mergeCell ref="F136:I136"/>
    <mergeCell ref="J136:K136"/>
    <mergeCell ref="L136:N136"/>
    <mergeCell ref="O136:P136"/>
    <mergeCell ref="O118:P118"/>
    <mergeCell ref="A118:C118"/>
  </mergeCells>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8F9BA-34E7-4EE5-A8DD-675DFEB4F993}">
  <dimension ref="A1:X32"/>
  <sheetViews>
    <sheetView rightToLeft="1" zoomScale="80" zoomScaleNormal="80" workbookViewId="0">
      <selection activeCell="S24" sqref="S24"/>
    </sheetView>
  </sheetViews>
  <sheetFormatPr defaultRowHeight="13.8" x14ac:dyDescent="0.25"/>
  <cols>
    <col min="1" max="1" width="15.19921875" style="196" customWidth="1"/>
    <col min="2" max="3" width="8.796875" style="196"/>
    <col min="4" max="4" width="14.296875" style="196" bestFit="1" customWidth="1"/>
    <col min="5" max="5" width="11.69921875" style="196" bestFit="1" customWidth="1"/>
    <col min="6" max="13" width="8.796875" style="196"/>
    <col min="14" max="14" width="10.09765625" style="196" bestFit="1" customWidth="1"/>
    <col min="15" max="19" width="8.796875" style="196"/>
    <col min="20" max="20" width="11.59765625" style="196" bestFit="1" customWidth="1"/>
    <col min="21" max="16384" width="8.796875" style="196"/>
  </cols>
  <sheetData>
    <row r="1" spans="1:24" x14ac:dyDescent="0.25">
      <c r="A1" s="238"/>
      <c r="B1" s="239"/>
      <c r="C1" s="239"/>
      <c r="D1" s="239"/>
      <c r="E1" s="239"/>
      <c r="F1" s="239"/>
      <c r="G1" s="324" t="s">
        <v>154</v>
      </c>
      <c r="H1" s="324"/>
      <c r="I1" s="324"/>
      <c r="J1" s="324"/>
      <c r="K1" s="324"/>
      <c r="L1" s="324"/>
      <c r="M1" s="324"/>
      <c r="N1" s="324"/>
      <c r="O1" s="239"/>
      <c r="P1" s="239"/>
      <c r="Q1" s="239"/>
      <c r="R1" s="239"/>
      <c r="S1" s="239"/>
      <c r="T1" s="239"/>
      <c r="U1" s="239"/>
      <c r="V1" s="239"/>
      <c r="W1" s="239"/>
      <c r="X1" s="240"/>
    </row>
    <row r="2" spans="1:24" ht="15" x14ac:dyDescent="0.25">
      <c r="A2" s="318" t="s">
        <v>116</v>
      </c>
      <c r="B2" s="319"/>
      <c r="C2" s="320" t="s">
        <v>155</v>
      </c>
      <c r="D2" s="320"/>
      <c r="E2" s="320"/>
      <c r="F2" s="320"/>
      <c r="G2" s="320"/>
      <c r="H2" s="320"/>
      <c r="I2" s="320"/>
      <c r="J2" s="321" t="s">
        <v>156</v>
      </c>
      <c r="K2" s="321"/>
      <c r="L2" s="321"/>
      <c r="M2" s="321"/>
      <c r="N2" s="321"/>
      <c r="O2" s="300" t="s">
        <v>119</v>
      </c>
      <c r="P2" s="300"/>
      <c r="Q2" s="311" t="s">
        <v>157</v>
      </c>
      <c r="R2" s="313" t="s">
        <v>120</v>
      </c>
      <c r="S2" s="313"/>
      <c r="T2" s="314" t="s">
        <v>158</v>
      </c>
      <c r="U2" s="195" t="s">
        <v>120</v>
      </c>
      <c r="V2" s="195" t="s">
        <v>95</v>
      </c>
      <c r="W2" s="195" t="s">
        <v>121</v>
      </c>
      <c r="X2" s="242"/>
    </row>
    <row r="3" spans="1:24" ht="43.5" customHeight="1" x14ac:dyDescent="0.25">
      <c r="A3" s="241" t="s">
        <v>159</v>
      </c>
      <c r="B3" s="191" t="s">
        <v>267</v>
      </c>
      <c r="C3" s="192" t="s">
        <v>159</v>
      </c>
      <c r="D3" s="192" t="s">
        <v>161</v>
      </c>
      <c r="E3" s="192" t="s">
        <v>162</v>
      </c>
      <c r="F3" s="192" t="s">
        <v>163</v>
      </c>
      <c r="G3" s="192" t="s">
        <v>164</v>
      </c>
      <c r="H3" s="197" t="s">
        <v>165</v>
      </c>
      <c r="I3" s="198" t="s">
        <v>166</v>
      </c>
      <c r="J3" s="193" t="s">
        <v>164</v>
      </c>
      <c r="K3" s="193" t="s">
        <v>167</v>
      </c>
      <c r="L3" s="193" t="s">
        <v>168</v>
      </c>
      <c r="M3" s="193" t="s">
        <v>169</v>
      </c>
      <c r="N3" s="193" t="s">
        <v>170</v>
      </c>
      <c r="O3" s="186" t="s">
        <v>131</v>
      </c>
      <c r="P3" s="186" t="s">
        <v>132</v>
      </c>
      <c r="Q3" s="312"/>
      <c r="R3" s="194" t="s">
        <v>133</v>
      </c>
      <c r="S3" s="194" t="s">
        <v>135</v>
      </c>
      <c r="T3" s="315"/>
      <c r="U3" s="189"/>
      <c r="V3" s="189"/>
      <c r="W3" s="189"/>
      <c r="X3" s="242"/>
    </row>
    <row r="4" spans="1:24" ht="17.399999999999999" x14ac:dyDescent="0.25">
      <c r="A4" s="243" t="s">
        <v>201</v>
      </c>
      <c r="B4" s="202">
        <v>1</v>
      </c>
      <c r="C4" s="189">
        <v>4</v>
      </c>
      <c r="D4" s="189">
        <v>3.4</v>
      </c>
      <c r="E4" s="189">
        <v>10</v>
      </c>
      <c r="F4" s="189">
        <v>2.5</v>
      </c>
      <c r="G4" s="189">
        <v>2.2000000000000002</v>
      </c>
      <c r="H4" s="150">
        <v>1.8</v>
      </c>
      <c r="I4" s="189">
        <v>1.4</v>
      </c>
      <c r="J4" s="189">
        <v>11</v>
      </c>
      <c r="K4" s="189">
        <v>0</v>
      </c>
      <c r="L4" s="189">
        <v>0</v>
      </c>
      <c r="M4" s="189">
        <v>0</v>
      </c>
      <c r="N4" s="189">
        <v>0</v>
      </c>
      <c r="O4" s="189">
        <v>0</v>
      </c>
      <c r="P4" s="189">
        <v>0</v>
      </c>
      <c r="Q4" s="189">
        <v>0</v>
      </c>
      <c r="R4" s="189">
        <f>(C4-G4)*J4*2+(C4-H4)</f>
        <v>41.8</v>
      </c>
      <c r="S4" s="189">
        <v>190</v>
      </c>
      <c r="T4" s="189"/>
      <c r="U4" s="189">
        <f>R4+S4+Q4</f>
        <v>231.8</v>
      </c>
      <c r="V4" s="189">
        <f>T4</f>
        <v>0</v>
      </c>
      <c r="W4" s="189">
        <f>U4+V4</f>
        <v>231.8</v>
      </c>
      <c r="X4" s="242"/>
    </row>
    <row r="5" spans="1:24" x14ac:dyDescent="0.25">
      <c r="A5" s="325" t="s">
        <v>171</v>
      </c>
      <c r="B5" s="326"/>
      <c r="C5" s="191"/>
      <c r="D5" s="191"/>
      <c r="E5" s="191"/>
      <c r="F5" s="191"/>
      <c r="G5" s="191"/>
      <c r="H5" s="191"/>
      <c r="I5" s="191"/>
      <c r="J5" s="191">
        <f>SUM(J4:J4)</f>
        <v>11</v>
      </c>
      <c r="K5" s="191"/>
      <c r="L5" s="191"/>
      <c r="M5" s="191"/>
      <c r="N5" s="191"/>
      <c r="O5" s="191">
        <f>SUM(O4:O4)</f>
        <v>0</v>
      </c>
      <c r="P5" s="191">
        <f>SUM(P4:P4)</f>
        <v>0</v>
      </c>
      <c r="Q5" s="191"/>
      <c r="R5" s="191">
        <f t="shared" ref="R5:W5" si="0">SUM(R4:R4)</f>
        <v>41.8</v>
      </c>
      <c r="S5" s="191">
        <f t="shared" si="0"/>
        <v>190</v>
      </c>
      <c r="T5" s="191">
        <f t="shared" si="0"/>
        <v>0</v>
      </c>
      <c r="U5" s="191">
        <f t="shared" si="0"/>
        <v>231.8</v>
      </c>
      <c r="V5" s="191">
        <f t="shared" si="0"/>
        <v>0</v>
      </c>
      <c r="W5" s="191">
        <f t="shared" si="0"/>
        <v>231.8</v>
      </c>
      <c r="X5" s="244" t="s">
        <v>171</v>
      </c>
    </row>
    <row r="6" spans="1:24" x14ac:dyDescent="0.25">
      <c r="A6" s="245"/>
      <c r="I6" s="196">
        <f>SUM(J5:N5)</f>
        <v>11</v>
      </c>
      <c r="J6" s="309" t="s">
        <v>172</v>
      </c>
      <c r="K6" s="309"/>
      <c r="L6" s="309"/>
      <c r="M6" s="309"/>
      <c r="N6" s="309"/>
      <c r="O6" s="309"/>
      <c r="X6" s="242"/>
    </row>
    <row r="7" spans="1:24" x14ac:dyDescent="0.25">
      <c r="A7" s="245"/>
      <c r="X7" s="242"/>
    </row>
    <row r="8" spans="1:24" x14ac:dyDescent="0.25">
      <c r="A8" s="245"/>
      <c r="B8" s="189">
        <f>U5/I6</f>
        <v>21.072727272727274</v>
      </c>
      <c r="C8" s="322" t="s">
        <v>173</v>
      </c>
      <c r="D8" s="323"/>
      <c r="E8" s="323"/>
      <c r="F8" s="323"/>
      <c r="G8" s="323"/>
      <c r="H8" s="323"/>
      <c r="I8" s="246"/>
      <c r="X8" s="242"/>
    </row>
    <row r="9" spans="1:24" x14ac:dyDescent="0.25">
      <c r="A9" s="245"/>
      <c r="C9" s="309"/>
      <c r="D9" s="309"/>
      <c r="E9" s="309"/>
      <c r="F9" s="309"/>
      <c r="G9" s="309"/>
      <c r="H9" s="309"/>
      <c r="X9" s="242"/>
    </row>
    <row r="10" spans="1:24" x14ac:dyDescent="0.25">
      <c r="A10" s="245"/>
      <c r="B10" s="189">
        <f>V5/I6</f>
        <v>0</v>
      </c>
      <c r="C10" s="310" t="s">
        <v>174</v>
      </c>
      <c r="D10" s="310"/>
      <c r="E10" s="310"/>
      <c r="F10" s="310"/>
      <c r="G10" s="310"/>
      <c r="H10" s="310"/>
      <c r="X10" s="242"/>
    </row>
    <row r="11" spans="1:24" x14ac:dyDescent="0.25">
      <c r="A11" s="245"/>
      <c r="C11" s="309"/>
      <c r="D11" s="309"/>
      <c r="E11" s="309"/>
      <c r="F11" s="309"/>
      <c r="G11" s="309"/>
      <c r="H11" s="309"/>
      <c r="X11" s="242"/>
    </row>
    <row r="12" spans="1:24" x14ac:dyDescent="0.25">
      <c r="A12" s="245"/>
      <c r="B12" s="189">
        <f>W5/I6</f>
        <v>21.072727272727274</v>
      </c>
      <c r="C12" s="310" t="s">
        <v>175</v>
      </c>
      <c r="D12" s="310"/>
      <c r="E12" s="310"/>
      <c r="F12" s="310"/>
      <c r="G12" s="310"/>
      <c r="H12" s="310"/>
      <c r="X12" s="242"/>
    </row>
    <row r="13" spans="1:24" ht="14.4" thickBot="1" x14ac:dyDescent="0.3">
      <c r="A13" s="247"/>
      <c r="B13" s="248"/>
      <c r="C13" s="248"/>
      <c r="D13" s="248"/>
      <c r="E13" s="248"/>
      <c r="F13" s="248"/>
      <c r="G13" s="248"/>
      <c r="H13" s="248"/>
      <c r="I13" s="248"/>
      <c r="J13" s="248"/>
      <c r="K13" s="248"/>
      <c r="L13" s="248"/>
      <c r="M13" s="248"/>
      <c r="N13" s="248"/>
      <c r="O13" s="248"/>
      <c r="P13" s="248"/>
      <c r="Q13" s="248"/>
      <c r="R13" s="248"/>
      <c r="S13" s="248"/>
      <c r="T13" s="248"/>
      <c r="U13" s="248"/>
      <c r="V13" s="248"/>
      <c r="W13" s="248"/>
      <c r="X13" s="249"/>
    </row>
    <row r="18" spans="1:24" ht="14.4" thickBot="1" x14ac:dyDescent="0.3"/>
    <row r="19" spans="1:24" x14ac:dyDescent="0.25">
      <c r="A19" s="238"/>
      <c r="B19" s="239"/>
      <c r="C19" s="239"/>
      <c r="D19" s="239"/>
      <c r="E19" s="239"/>
      <c r="F19" s="239"/>
      <c r="G19" s="239"/>
      <c r="H19" s="239"/>
      <c r="I19" s="239"/>
      <c r="J19" s="239"/>
      <c r="K19" s="239"/>
      <c r="L19" s="239"/>
      <c r="M19" s="239"/>
      <c r="N19" s="239"/>
      <c r="O19" s="239"/>
      <c r="P19" s="239"/>
      <c r="Q19" s="239"/>
      <c r="R19" s="239"/>
      <c r="S19" s="239"/>
      <c r="T19" s="239"/>
      <c r="U19" s="239"/>
      <c r="V19" s="239"/>
      <c r="W19" s="239"/>
      <c r="X19" s="240"/>
    </row>
    <row r="20" spans="1:24" x14ac:dyDescent="0.25">
      <c r="A20" s="245"/>
      <c r="H20" s="317" t="s">
        <v>176</v>
      </c>
      <c r="I20" s="317"/>
      <c r="J20" s="317"/>
      <c r="K20" s="317"/>
      <c r="L20" s="317"/>
      <c r="M20" s="317"/>
      <c r="N20" s="317"/>
      <c r="O20" s="317"/>
      <c r="X20" s="242"/>
    </row>
    <row r="21" spans="1:24" ht="15" x14ac:dyDescent="0.25">
      <c r="A21" s="318" t="s">
        <v>116</v>
      </c>
      <c r="B21" s="319"/>
      <c r="C21" s="320" t="s">
        <v>155</v>
      </c>
      <c r="D21" s="320"/>
      <c r="E21" s="320"/>
      <c r="F21" s="320"/>
      <c r="G21" s="320"/>
      <c r="H21" s="320"/>
      <c r="I21" s="320"/>
      <c r="J21" s="321" t="s">
        <v>156</v>
      </c>
      <c r="K21" s="321"/>
      <c r="L21" s="321"/>
      <c r="M21" s="321"/>
      <c r="N21" s="321"/>
      <c r="O21" s="300" t="s">
        <v>119</v>
      </c>
      <c r="P21" s="300"/>
      <c r="Q21" s="311" t="s">
        <v>157</v>
      </c>
      <c r="R21" s="313" t="s">
        <v>120</v>
      </c>
      <c r="S21" s="313"/>
      <c r="T21" s="314" t="s">
        <v>158</v>
      </c>
      <c r="U21" s="195" t="s">
        <v>120</v>
      </c>
      <c r="V21" s="195" t="s">
        <v>95</v>
      </c>
      <c r="W21" s="195" t="s">
        <v>121</v>
      </c>
      <c r="X21" s="242"/>
    </row>
    <row r="22" spans="1:24" ht="27.6" x14ac:dyDescent="0.25">
      <c r="A22" s="241" t="s">
        <v>159</v>
      </c>
      <c r="B22" s="191" t="s">
        <v>160</v>
      </c>
      <c r="C22" s="192" t="s">
        <v>159</v>
      </c>
      <c r="D22" s="192" t="s">
        <v>161</v>
      </c>
      <c r="E22" s="192" t="s">
        <v>162</v>
      </c>
      <c r="F22" s="192" t="s">
        <v>163</v>
      </c>
      <c r="G22" s="198" t="s">
        <v>177</v>
      </c>
      <c r="H22" s="197" t="s">
        <v>165</v>
      </c>
      <c r="I22" s="198" t="s">
        <v>166</v>
      </c>
      <c r="J22" s="199" t="s">
        <v>178</v>
      </c>
      <c r="K22" s="193" t="s">
        <v>167</v>
      </c>
      <c r="L22" s="193" t="s">
        <v>168</v>
      </c>
      <c r="M22" s="193" t="s">
        <v>169</v>
      </c>
      <c r="N22" s="193" t="s">
        <v>170</v>
      </c>
      <c r="O22" s="186" t="s">
        <v>131</v>
      </c>
      <c r="P22" s="186" t="s">
        <v>132</v>
      </c>
      <c r="Q22" s="312"/>
      <c r="R22" s="194" t="s">
        <v>133</v>
      </c>
      <c r="S22" s="194" t="s">
        <v>135</v>
      </c>
      <c r="T22" s="315"/>
      <c r="U22" s="189"/>
      <c r="V22" s="189"/>
      <c r="W22" s="189"/>
      <c r="X22" s="242"/>
    </row>
    <row r="23" spans="1:24" ht="17.399999999999999" x14ac:dyDescent="0.25">
      <c r="A23" s="243" t="s">
        <v>201</v>
      </c>
      <c r="B23" s="202">
        <v>1</v>
      </c>
      <c r="C23" s="189">
        <v>4</v>
      </c>
      <c r="D23" s="189">
        <v>3.4</v>
      </c>
      <c r="E23" s="189">
        <v>10</v>
      </c>
      <c r="F23" s="189">
        <v>2.5</v>
      </c>
      <c r="G23" s="189">
        <v>2.2000000000000002</v>
      </c>
      <c r="H23" s="150">
        <v>1.8</v>
      </c>
      <c r="I23" s="189">
        <v>1.4</v>
      </c>
      <c r="J23" s="189">
        <v>0</v>
      </c>
      <c r="K23" s="189">
        <v>0</v>
      </c>
      <c r="L23" s="189">
        <f>113+113+11+1</f>
        <v>238</v>
      </c>
      <c r="M23" s="189">
        <v>0</v>
      </c>
      <c r="N23" s="189">
        <v>0</v>
      </c>
      <c r="O23" s="189">
        <v>0</v>
      </c>
      <c r="P23" s="189">
        <v>0</v>
      </c>
      <c r="Q23" s="189">
        <v>0</v>
      </c>
      <c r="R23" s="189">
        <f>(C23-F23)*N23*2+(C23-G23)*J23*2+(C23-H23)+(C23-I23)*K23*2</f>
        <v>2.2000000000000002</v>
      </c>
      <c r="S23" s="189">
        <v>920</v>
      </c>
      <c r="T23" s="189">
        <f>(C23-D23)*L23*2</f>
        <v>285.60000000000002</v>
      </c>
      <c r="U23" s="189">
        <f>R23+S23+Q23</f>
        <v>922.2</v>
      </c>
      <c r="V23" s="189">
        <f>T23</f>
        <v>285.60000000000002</v>
      </c>
      <c r="W23" s="189">
        <f>U23+V23</f>
        <v>1207.8000000000002</v>
      </c>
      <c r="X23" s="242"/>
    </row>
    <row r="24" spans="1:24" x14ac:dyDescent="0.25">
      <c r="A24" s="241"/>
      <c r="B24" s="191"/>
      <c r="C24" s="191"/>
      <c r="D24" s="191"/>
      <c r="E24" s="191"/>
      <c r="F24" s="191"/>
      <c r="G24" s="191"/>
      <c r="H24" s="191"/>
      <c r="I24" s="191"/>
      <c r="J24" s="191">
        <f>SUM(J23:J23)</f>
        <v>0</v>
      </c>
      <c r="K24" s="191">
        <f>SUM(K23:K23)</f>
        <v>0</v>
      </c>
      <c r="L24" s="191">
        <f>SUM(L23:L23)</f>
        <v>238</v>
      </c>
      <c r="M24" s="191">
        <f>SUM(M23:M23)</f>
        <v>0</v>
      </c>
      <c r="N24" s="191">
        <f>SUM(N23:N23)</f>
        <v>0</v>
      </c>
      <c r="O24" s="191"/>
      <c r="P24" s="191"/>
      <c r="Q24" s="191">
        <f t="shared" ref="Q24:W24" si="1">SUM(Q23:Q23)</f>
        <v>0</v>
      </c>
      <c r="R24" s="191">
        <f t="shared" si="1"/>
        <v>2.2000000000000002</v>
      </c>
      <c r="S24" s="191">
        <f t="shared" si="1"/>
        <v>920</v>
      </c>
      <c r="T24" s="191">
        <f t="shared" si="1"/>
        <v>285.60000000000002</v>
      </c>
      <c r="U24" s="191">
        <f t="shared" si="1"/>
        <v>922.2</v>
      </c>
      <c r="V24" s="191">
        <f t="shared" si="1"/>
        <v>285.60000000000002</v>
      </c>
      <c r="W24" s="191">
        <f t="shared" si="1"/>
        <v>1207.8000000000002</v>
      </c>
      <c r="X24" s="244" t="s">
        <v>171</v>
      </c>
    </row>
    <row r="25" spans="1:24" x14ac:dyDescent="0.25">
      <c r="A25" s="245"/>
      <c r="I25" s="189">
        <f>SUM(J24:N24)</f>
        <v>238</v>
      </c>
      <c r="J25" s="316" t="s">
        <v>172</v>
      </c>
      <c r="K25" s="316"/>
      <c r="L25" s="316"/>
      <c r="M25" s="316"/>
      <c r="N25" s="316"/>
      <c r="O25" s="316"/>
      <c r="X25" s="242"/>
    </row>
    <row r="26" spans="1:24" x14ac:dyDescent="0.25">
      <c r="A26" s="245"/>
      <c r="X26" s="242"/>
    </row>
    <row r="27" spans="1:24" x14ac:dyDescent="0.25">
      <c r="A27" s="245"/>
      <c r="B27" s="189">
        <f>U24/I25</f>
        <v>3.8747899159663866</v>
      </c>
      <c r="C27" s="310" t="s">
        <v>173</v>
      </c>
      <c r="D27" s="310"/>
      <c r="E27" s="310"/>
      <c r="F27" s="310"/>
      <c r="G27" s="310"/>
      <c r="H27" s="310"/>
      <c r="I27" s="246"/>
      <c r="X27" s="242"/>
    </row>
    <row r="28" spans="1:24" x14ac:dyDescent="0.25">
      <c r="A28" s="245"/>
      <c r="C28" s="309"/>
      <c r="D28" s="309"/>
      <c r="E28" s="309"/>
      <c r="F28" s="309"/>
      <c r="G28" s="309"/>
      <c r="H28" s="309"/>
      <c r="X28" s="242"/>
    </row>
    <row r="29" spans="1:24" x14ac:dyDescent="0.25">
      <c r="A29" s="245"/>
      <c r="B29" s="189">
        <f>V24/I25</f>
        <v>1.2000000000000002</v>
      </c>
      <c r="C29" s="310" t="s">
        <v>174</v>
      </c>
      <c r="D29" s="310"/>
      <c r="E29" s="310"/>
      <c r="F29" s="310"/>
      <c r="G29" s="310"/>
      <c r="H29" s="310"/>
      <c r="X29" s="242"/>
    </row>
    <row r="30" spans="1:24" x14ac:dyDescent="0.25">
      <c r="A30" s="245"/>
      <c r="C30" s="309"/>
      <c r="D30" s="309"/>
      <c r="E30" s="309"/>
      <c r="F30" s="309"/>
      <c r="G30" s="309"/>
      <c r="H30" s="309"/>
      <c r="X30" s="242"/>
    </row>
    <row r="31" spans="1:24" x14ac:dyDescent="0.25">
      <c r="A31" s="245"/>
      <c r="B31" s="189">
        <f>W24/I25</f>
        <v>5.0747899159663872</v>
      </c>
      <c r="C31" s="310" t="s">
        <v>175</v>
      </c>
      <c r="D31" s="310"/>
      <c r="E31" s="310"/>
      <c r="F31" s="310"/>
      <c r="G31" s="310"/>
      <c r="H31" s="310"/>
      <c r="X31" s="242"/>
    </row>
    <row r="32" spans="1:24" ht="14.4" thickBot="1" x14ac:dyDescent="0.3">
      <c r="A32" s="247"/>
      <c r="B32" s="248"/>
      <c r="C32" s="248"/>
      <c r="D32" s="248"/>
      <c r="E32" s="248"/>
      <c r="F32" s="248"/>
      <c r="G32" s="248"/>
      <c r="H32" s="248"/>
      <c r="I32" s="248"/>
      <c r="J32" s="248"/>
      <c r="K32" s="248"/>
      <c r="L32" s="248"/>
      <c r="M32" s="248"/>
      <c r="N32" s="248"/>
      <c r="O32" s="248"/>
      <c r="P32" s="248"/>
      <c r="Q32" s="248"/>
      <c r="R32" s="248"/>
      <c r="S32" s="248"/>
      <c r="T32" s="248"/>
      <c r="U32" s="248"/>
      <c r="V32" s="248"/>
      <c r="W32" s="248"/>
      <c r="X32" s="249"/>
    </row>
  </sheetData>
  <mergeCells count="29">
    <mergeCell ref="G1:N1"/>
    <mergeCell ref="A2:B2"/>
    <mergeCell ref="C2:I2"/>
    <mergeCell ref="J2:N2"/>
    <mergeCell ref="A5:B5"/>
    <mergeCell ref="T2:T3"/>
    <mergeCell ref="J6:O6"/>
    <mergeCell ref="C8:H8"/>
    <mergeCell ref="C9:H9"/>
    <mergeCell ref="O2:P2"/>
    <mergeCell ref="Q2:Q3"/>
    <mergeCell ref="A21:B21"/>
    <mergeCell ref="C21:I21"/>
    <mergeCell ref="J21:N21"/>
    <mergeCell ref="O21:P21"/>
    <mergeCell ref="R2:S2"/>
    <mergeCell ref="C10:H10"/>
    <mergeCell ref="R21:S21"/>
    <mergeCell ref="T21:T22"/>
    <mergeCell ref="J25:O25"/>
    <mergeCell ref="C27:H27"/>
    <mergeCell ref="C11:H11"/>
    <mergeCell ref="C12:H12"/>
    <mergeCell ref="H20:O20"/>
    <mergeCell ref="C28:H28"/>
    <mergeCell ref="C29:H29"/>
    <mergeCell ref="C30:H30"/>
    <mergeCell ref="C31:H31"/>
    <mergeCell ref="Q21:Q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ELV Works</vt:lpstr>
      <vt:lpstr>devices</vt:lpstr>
      <vt:lpstr>OUTLET</vt:lpstr>
      <vt:lpstr>LC-AVG-L</vt:lpstr>
      <vt:lpstr>F.A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elsaeid</dc:creator>
  <cp:lastModifiedBy>elsaeid gamal</cp:lastModifiedBy>
  <dcterms:created xsi:type="dcterms:W3CDTF">2015-06-05T18:17:20Z</dcterms:created>
  <dcterms:modified xsi:type="dcterms:W3CDTF">2023-09-18T14:29:34Z</dcterms:modified>
</cp:coreProperties>
</file>