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5" yWindow="-15" windowWidth="28860" windowHeight="7275"/>
  </bookViews>
  <sheets>
    <sheet name="TMR0 - PIC Timer Calculator" sheetId="1" r:id="rId1"/>
  </sheets>
  <definedNames>
    <definedName name="Frequency">'TMR0 - PIC Timer Calculator'!$O$15</definedName>
    <definedName name="Interval">'TMR0 - PIC Timer Calculator'!$O$22</definedName>
    <definedName name="OSC">'TMR0 - PIC Timer Calculator'!$K$5</definedName>
    <definedName name="PostScaler">'TMR0 - PIC Timer Calculator'!$O$23</definedName>
    <definedName name="PreScaler">'TMR0 - PIC Timer Calculator'!$O$16</definedName>
    <definedName name="Result">'TMR0 - PIC Timer Calculator'!$O$24</definedName>
    <definedName name="SourceClockDivider">'TMR0 - PIC Timer Calculator'!$O$17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1"/>
  <c r="R30" l="1"/>
  <c r="P18"/>
  <c r="P20" s="1"/>
  <c r="O24" s="1"/>
  <c r="P26" s="1"/>
  <c r="O59"/>
  <c r="O58" s="1"/>
  <c r="O57" s="1"/>
  <c r="O56" s="1"/>
  <c r="O55" s="1"/>
  <c r="O54" s="1"/>
  <c r="O53" s="1"/>
  <c r="O52" s="1"/>
  <c r="O51" s="1"/>
  <c r="O50" s="1"/>
  <c r="O49" s="1"/>
  <c r="O48" s="1"/>
  <c r="O47" s="1"/>
  <c r="O46" s="1"/>
  <c r="O45" s="1"/>
  <c r="N59"/>
  <c r="N58" s="1"/>
  <c r="N57" s="1"/>
  <c r="N56" s="1"/>
  <c r="N55" s="1"/>
  <c r="N54" s="1"/>
  <c r="N53" s="1"/>
  <c r="N52" s="1"/>
  <c r="N51" s="1"/>
  <c r="N50" s="1"/>
  <c r="N49" s="1"/>
  <c r="N48" s="1"/>
  <c r="N47" s="1"/>
  <c r="N46" s="1"/>
  <c r="N45" s="1"/>
  <c r="B4"/>
  <c r="B5" s="1"/>
  <c r="B24" l="1"/>
  <c r="B19"/>
  <c r="C26"/>
  <c r="D26" s="1"/>
  <c r="G26"/>
  <c r="H26" s="1"/>
  <c r="B6"/>
  <c r="E18" s="1"/>
  <c r="F18" s="1"/>
  <c r="B18"/>
  <c r="B25"/>
  <c r="B20"/>
  <c r="B26"/>
  <c r="B23"/>
  <c r="B22"/>
  <c r="B21"/>
  <c r="S22"/>
  <c r="P25"/>
  <c r="P24"/>
  <c r="O30" s="1"/>
  <c r="I26" l="1"/>
  <c r="E26"/>
  <c r="C24"/>
  <c r="D24" s="1"/>
  <c r="G24"/>
  <c r="H24" s="1"/>
  <c r="I24"/>
  <c r="E24"/>
  <c r="G23"/>
  <c r="H23" s="1"/>
  <c r="C23"/>
  <c r="D23" s="1"/>
  <c r="E23"/>
  <c r="F23" s="1"/>
  <c r="I23"/>
  <c r="I19"/>
  <c r="C19"/>
  <c r="D19" s="1"/>
  <c r="G19"/>
  <c r="H19" s="1"/>
  <c r="E19"/>
  <c r="F19" s="1"/>
  <c r="G22"/>
  <c r="H22" s="1"/>
  <c r="E22"/>
  <c r="F22" s="1"/>
  <c r="C22"/>
  <c r="D22" s="1"/>
  <c r="I22"/>
  <c r="G21"/>
  <c r="H21" s="1"/>
  <c r="E21"/>
  <c r="F21" s="1"/>
  <c r="I21"/>
  <c r="C21"/>
  <c r="D21" s="1"/>
  <c r="G18"/>
  <c r="H18" s="1"/>
  <c r="I18"/>
  <c r="B17"/>
  <c r="C18"/>
  <c r="D18" s="1"/>
  <c r="I25"/>
  <c r="E25"/>
  <c r="F26" s="1"/>
  <c r="C25"/>
  <c r="D25" s="1"/>
  <c r="G25"/>
  <c r="H25" s="1"/>
  <c r="C20"/>
  <c r="D20" s="1"/>
  <c r="G20"/>
  <c r="H20" s="1"/>
  <c r="E20"/>
  <c r="F20" s="1"/>
  <c r="I20"/>
  <c r="I17" l="1"/>
  <c r="G17"/>
  <c r="H17" s="1"/>
  <c r="B16"/>
  <c r="E17"/>
  <c r="F17" s="1"/>
  <c r="C17"/>
  <c r="D17" s="1"/>
  <c r="F24"/>
  <c r="F25"/>
  <c r="C16" l="1"/>
  <c r="D16" s="1"/>
  <c r="I16"/>
  <c r="G16"/>
  <c r="H16" s="1"/>
  <c r="E16"/>
  <c r="F16" s="1"/>
  <c r="B15"/>
  <c r="G15" l="1"/>
  <c r="H15" s="1"/>
  <c r="I15"/>
  <c r="C15"/>
  <c r="D15" s="1"/>
  <c r="E15"/>
  <c r="F15" s="1"/>
  <c r="B14"/>
  <c r="G14" l="1"/>
  <c r="H14" s="1"/>
  <c r="C14"/>
  <c r="D14" s="1"/>
  <c r="E14"/>
  <c r="F14" s="1"/>
  <c r="I14"/>
  <c r="B13"/>
  <c r="E13" l="1"/>
  <c r="F13" s="1"/>
  <c r="G13"/>
  <c r="H13" s="1"/>
  <c r="I13"/>
  <c r="C13"/>
  <c r="D13" s="1"/>
  <c r="B12"/>
  <c r="C12" l="1"/>
  <c r="D12" s="1"/>
  <c r="E12"/>
  <c r="F12" s="1"/>
  <c r="G12"/>
  <c r="H12" s="1"/>
  <c r="I12"/>
  <c r="B11"/>
  <c r="G11" l="1"/>
  <c r="H11" s="1"/>
  <c r="I11"/>
  <c r="E11"/>
  <c r="F11" s="1"/>
  <c r="C11"/>
  <c r="D11" s="1"/>
</calcChain>
</file>

<file path=xl/sharedStrings.xml><?xml version="1.0" encoding="utf-8"?>
<sst xmlns="http://schemas.openxmlformats.org/spreadsheetml/2006/main" count="52" uniqueCount="51">
  <si>
    <r>
      <rPr>
        <b/>
        <sz val="12"/>
        <color indexed="8"/>
        <rFont val="Calibri"/>
        <family val="2"/>
      </rPr>
      <t>Legend: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color indexed="8"/>
        <rFont val="Courier"/>
        <family val="3"/>
      </rPr>
      <t>Sec</t>
    </r>
    <r>
      <rPr>
        <sz val="10"/>
        <color indexed="8"/>
        <rFont val="Courier"/>
        <family val="3"/>
      </rPr>
      <t xml:space="preserve">  = Seconds
</t>
    </r>
    <r>
      <rPr>
        <b/>
        <sz val="10"/>
        <color indexed="8"/>
        <rFont val="Courier"/>
        <family val="3"/>
      </rPr>
      <t>MSec</t>
    </r>
    <r>
      <rPr>
        <sz val="10"/>
        <color indexed="8"/>
        <rFont val="Courier"/>
        <family val="3"/>
      </rPr>
      <t xml:space="preserve"> = Milliseconds  (Sec x .001)
</t>
    </r>
    <r>
      <rPr>
        <b/>
        <sz val="10"/>
        <color indexed="8"/>
        <rFont val="Courier"/>
        <family val="3"/>
      </rPr>
      <t>uSec</t>
    </r>
    <r>
      <rPr>
        <sz val="10"/>
        <color indexed="8"/>
        <rFont val="Courier"/>
        <family val="3"/>
      </rPr>
      <t xml:space="preserve"> = Microseconds (Sec x .000001)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indexed="8"/>
        <rFont val="Courier"/>
        <family val="3"/>
      </rPr>
      <t xml:space="preserve">MHZ </t>
    </r>
    <r>
      <rPr>
        <sz val="11"/>
        <color indexed="8"/>
        <rFont val="Courier"/>
        <family val="3"/>
      </rPr>
      <t xml:space="preserve"> = Megahertz (Hertz x 1,000,000)
</t>
    </r>
    <r>
      <rPr>
        <b/>
        <sz val="11"/>
        <color indexed="8"/>
        <rFont val="Courier"/>
        <family val="3"/>
      </rPr>
      <t xml:space="preserve">HEX  </t>
    </r>
    <r>
      <rPr>
        <sz val="11"/>
        <color indexed="8"/>
        <rFont val="Courier"/>
        <family val="3"/>
      </rPr>
      <t>= Hexadecimal</t>
    </r>
  </si>
  <si>
    <t>Clock Frequency (MHZ)</t>
  </si>
  <si>
    <t>← Change this value to your clock frequency</t>
  </si>
  <si>
    <t>Clock Cycle Time (Sec)</t>
  </si>
  <si>
    <t>CPU Cycle Time (Sec)</t>
  </si>
  <si>
    <t>CPU Cycle Time (uSec)</t>
  </si>
  <si>
    <t>Delay Desired (Sec)</t>
  </si>
  <si>
    <t>← Change this value to the delay you require</t>
  </si>
  <si>
    <t>8 Bit Counter (Default)</t>
  </si>
  <si>
    <t>Prescaler
Output
Period
(Sec)</t>
  </si>
  <si>
    <t>Interrupt
Period (Sec)
(TMR0L = 0)</t>
  </si>
  <si>
    <t>Interrupts 
Per Sec
(TMR0L = 0)</t>
  </si>
  <si>
    <t>TMR0L
Value to
Achieve
Delay
(Decimal)</t>
  </si>
  <si>
    <t>TMR0L
(Hex)</t>
  </si>
  <si>
    <t>Interrupt
Period (Sec)
(TMR0L &amp;
TMR0H  = 0)</t>
  </si>
  <si>
    <t>Interrupts 
Per Sec
(TMR0L &amp;
TMR0H = 0)</t>
  </si>
  <si>
    <t>TMR0L &amp;
TRM0H
Value to
Achieve
Delay
(Decimal)</t>
  </si>
  <si>
    <t>Prescale 1:32768</t>
  </si>
  <si>
    <t>Enhanced 8bit timer</t>
  </si>
  <si>
    <t>v0.9a</t>
  </si>
  <si>
    <t>Prescale 1:16384</t>
  </si>
  <si>
    <t>Prescale 1:8192</t>
  </si>
  <si>
    <t>Prescale 1:4096</t>
  </si>
  <si>
    <t>Prescale 1:2048</t>
  </si>
  <si>
    <t>Clock Mhz</t>
  </si>
  <si>
    <t>Prescale 1:1024</t>
  </si>
  <si>
    <t>Clock PreScaler</t>
  </si>
  <si>
    <t>← Change this value to desired PreScaler</t>
  </si>
  <si>
    <t>Prescale 1:512</t>
  </si>
  <si>
    <t>Source Divider</t>
  </si>
  <si>
    <t>Prescale 1:256</t>
  </si>
  <si>
    <t>←Pulses per second</t>
  </si>
  <si>
    <t>Prescale 1:128</t>
  </si>
  <si>
    <t>Prescale 1:64</t>
  </si>
  <si>
    <t>Prescaler Output Period (sec)</t>
  </si>
  <si>
    <t>Prescale 1:32</t>
  </si>
  <si>
    <t>Prescale 1:16</t>
  </si>
  <si>
    <t>Desired Time (s)</t>
  </si>
  <si>
    <t>←Calculated actual interval</t>
  </si>
  <si>
    <t>Prescale 1:8</t>
  </si>
  <si>
    <t>Clock PostScaler</t>
  </si>
  <si>
    <t>← Change this value to desired PostScaler</t>
  </si>
  <si>
    <t>Prescale 1:4</t>
  </si>
  <si>
    <t>Result</t>
  </si>
  <si>
    <t>← Must be less than FF</t>
  </si>
  <si>
    <t>Prescale 1:2</t>
  </si>
  <si>
    <t>In your code use this in decimal, or</t>
  </si>
  <si>
    <t>Prescale 1:1</t>
  </si>
  <si>
    <t>use this hex value</t>
  </si>
  <si>
    <t>You can adapt/test your own register setting. Enter your adaption/test in decimal notation below</t>
  </si>
  <si>
    <t>←Your adapted interval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</si>
</sst>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.00000"/>
    <numFmt numFmtId="166" formatCode="0.0000000"/>
    <numFmt numFmtId="167" formatCode="0.00000000"/>
    <numFmt numFmtId="168" formatCode="0.000"/>
  </numFmts>
  <fonts count="17">
    <font>
      <sz val="11"/>
      <color theme="1"/>
      <name val="Calibri"/>
      <family val="2"/>
      <scheme val="minor"/>
    </font>
    <font>
      <sz val="11"/>
      <color indexed="8"/>
      <name val="Courier"/>
      <family val="3"/>
    </font>
    <font>
      <sz val="10"/>
      <color indexed="8"/>
      <name val="Courier"/>
      <family val="3"/>
    </font>
    <font>
      <b/>
      <sz val="12"/>
      <color indexed="8"/>
      <name val="Calibri"/>
      <family val="2"/>
    </font>
    <font>
      <b/>
      <sz val="10"/>
      <color indexed="8"/>
      <name val="Courier"/>
      <family val="3"/>
    </font>
    <font>
      <b/>
      <sz val="11"/>
      <color indexed="8"/>
      <name val="Courier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7" fillId="2" borderId="0" applyNumberFormat="0" applyBorder="0" applyAlignment="0" applyProtection="0"/>
    <xf numFmtId="164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3" borderId="8" applyNumberFormat="0" applyAlignment="0" applyProtection="0"/>
    <xf numFmtId="0" fontId="6" fillId="4" borderId="9" applyNumberFormat="0" applyFont="0" applyAlignment="0" applyProtection="0"/>
    <xf numFmtId="0" fontId="16" fillId="14" borderId="0" applyNumberFormat="0" applyBorder="0" applyAlignment="0" applyProtection="0"/>
  </cellStyleXfs>
  <cellXfs count="63">
    <xf numFmtId="0" fontId="0" fillId="0" borderId="0" xfId="0"/>
    <xf numFmtId="2" fontId="0" fillId="0" borderId="0" xfId="0" applyNumberFormat="1"/>
    <xf numFmtId="0" fontId="0" fillId="5" borderId="0" xfId="0" applyFill="1"/>
    <xf numFmtId="0" fontId="11" fillId="0" borderId="0" xfId="0" applyFont="1"/>
    <xf numFmtId="0" fontId="9" fillId="0" borderId="0" xfId="3" applyAlignment="1" applyProtection="1">
      <alignment wrapText="1"/>
    </xf>
    <xf numFmtId="167" fontId="0" fillId="0" borderId="0" xfId="0" applyNumberFormat="1"/>
    <xf numFmtId="167" fontId="0" fillId="5" borderId="0" xfId="0" applyNumberFormat="1" applyFill="1"/>
    <xf numFmtId="0" fontId="12" fillId="6" borderId="1" xfId="0" applyFont="1" applyFill="1" applyBorder="1" applyAlignment="1">
      <alignment horizontal="center" wrapText="1"/>
    </xf>
    <xf numFmtId="2" fontId="12" fillId="6" borderId="1" xfId="0" applyNumberFormat="1" applyFont="1" applyFill="1" applyBorder="1" applyAlignment="1">
      <alignment horizontal="center" wrapText="1"/>
    </xf>
    <xf numFmtId="167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" fontId="0" fillId="7" borderId="1" xfId="0" applyNumberFormat="1" applyFill="1" applyBorder="1" applyAlignment="1">
      <alignment horizontal="right"/>
    </xf>
    <xf numFmtId="0" fontId="12" fillId="8" borderId="1" xfId="0" applyFont="1" applyFill="1" applyBorder="1" applyAlignment="1">
      <alignment horizontal="center" wrapText="1"/>
    </xf>
    <xf numFmtId="2" fontId="12" fillId="8" borderId="1" xfId="0" applyNumberFormat="1" applyFont="1" applyFill="1" applyBorder="1" applyAlignment="1">
      <alignment horizontal="center" wrapText="1"/>
    </xf>
    <xf numFmtId="167" fontId="0" fillId="7" borderId="2" xfId="0" applyNumberFormat="1" applyFont="1" applyFill="1" applyBorder="1" applyAlignment="1">
      <alignment horizontal="right"/>
    </xf>
    <xf numFmtId="167" fontId="0" fillId="9" borderId="1" xfId="0" applyNumberFormat="1" applyFill="1" applyBorder="1" applyAlignment="1">
      <alignment horizontal="right"/>
    </xf>
    <xf numFmtId="167" fontId="0" fillId="9" borderId="2" xfId="0" applyNumberFormat="1" applyFill="1" applyBorder="1" applyAlignment="1">
      <alignment horizontal="right"/>
    </xf>
    <xf numFmtId="0" fontId="12" fillId="6" borderId="2" xfId="0" applyFont="1" applyFill="1" applyBorder="1" applyAlignment="1">
      <alignment horizontal="center" wrapText="1"/>
    </xf>
    <xf numFmtId="0" fontId="13" fillId="9" borderId="2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0" xfId="0" applyNumberFormat="1"/>
    <xf numFmtId="0" fontId="0" fillId="0" borderId="0" xfId="0"/>
    <xf numFmtId="0" fontId="11" fillId="0" borderId="0" xfId="0" applyFont="1" applyAlignment="1">
      <alignment horizontal="right"/>
    </xf>
    <xf numFmtId="0" fontId="0" fillId="0" borderId="0" xfId="0" applyFont="1"/>
    <xf numFmtId="1" fontId="6" fillId="0" borderId="0" xfId="2" applyNumberFormat="1" applyFont="1"/>
    <xf numFmtId="168" fontId="0" fillId="0" borderId="0" xfId="0" applyNumberFormat="1"/>
    <xf numFmtId="0" fontId="14" fillId="3" borderId="8" xfId="4" applyFont="1" applyAlignment="1">
      <alignment horizontal="right"/>
    </xf>
    <xf numFmtId="166" fontId="0" fillId="0" borderId="0" xfId="0" applyNumberFormat="1"/>
    <xf numFmtId="0" fontId="0" fillId="0" borderId="0" xfId="0" applyAlignment="1">
      <alignment horizontal="right"/>
    </xf>
    <xf numFmtId="168" fontId="7" fillId="2" borderId="9" xfId="1" applyNumberFormat="1" applyBorder="1"/>
    <xf numFmtId="0" fontId="14" fillId="4" borderId="9" xfId="5" applyFont="1" applyAlignment="1">
      <alignment horizontal="right"/>
    </xf>
    <xf numFmtId="0" fontId="0" fillId="0" borderId="0" xfId="0" quotePrefix="1"/>
    <xf numFmtId="1" fontId="7" fillId="2" borderId="9" xfId="1" applyNumberFormat="1" applyBorder="1"/>
    <xf numFmtId="0" fontId="0" fillId="13" borderId="3" xfId="0" applyFill="1" applyBorder="1"/>
    <xf numFmtId="0" fontId="0" fillId="13" borderId="4" xfId="0" applyFill="1" applyBorder="1"/>
    <xf numFmtId="0" fontId="11" fillId="13" borderId="4" xfId="0" applyFont="1" applyFill="1" applyBorder="1"/>
    <xf numFmtId="0" fontId="0" fillId="13" borderId="10" xfId="0" applyFill="1" applyBorder="1"/>
    <xf numFmtId="0" fontId="0" fillId="13" borderId="11" xfId="0" applyFill="1" applyBorder="1"/>
    <xf numFmtId="0" fontId="11" fillId="13" borderId="0" xfId="0" applyFont="1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15" xfId="0" applyFill="1" applyBorder="1"/>
    <xf numFmtId="0" fontId="11" fillId="13" borderId="0" xfId="0" applyFont="1" applyFill="1" applyBorder="1" applyAlignment="1">
      <alignment horizontal="right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8" fillId="11" borderId="6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2" fontId="0" fillId="12" borderId="0" xfId="0" applyNumberFormat="1" applyFill="1" applyBorder="1" applyAlignment="1">
      <alignment horizontal="left" wrapText="1"/>
    </xf>
    <xf numFmtId="0" fontId="16" fillId="14" borderId="0" xfId="6" applyAlignment="1">
      <alignment horizontal="right"/>
    </xf>
    <xf numFmtId="0" fontId="16" fillId="14" borderId="0" xfId="6"/>
  </cellXfs>
  <cellStyles count="7">
    <cellStyle name="Accent6" xfId="1" builtinId="49"/>
    <cellStyle name="Comma" xfId="2" builtinId="3"/>
    <cellStyle name="Good" xfId="6" builtinId="26"/>
    <cellStyle name="Hyperlink" xfId="3" builtinId="8"/>
    <cellStyle name="Input" xfId="4" builtinId="20"/>
    <cellStyle name="Normal" xfId="0" builtinId="0"/>
    <cellStyle name="Note" xfId="5" builtinId="1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T60"/>
  <sheetViews>
    <sheetView tabSelected="1" topLeftCell="J11" zoomScale="160" zoomScaleNormal="160" workbookViewId="0">
      <selection activeCell="P26" sqref="P26"/>
    </sheetView>
  </sheetViews>
  <sheetFormatPr defaultRowHeight="15"/>
  <cols>
    <col min="1" max="1" width="29.140625" bestFit="1" customWidth="1"/>
    <col min="2" max="2" width="13.85546875" customWidth="1"/>
    <col min="3" max="3" width="16" customWidth="1"/>
    <col min="4" max="4" width="12.85546875" style="1" customWidth="1"/>
    <col min="5" max="6" width="12.7109375" style="1" customWidth="1"/>
    <col min="7" max="7" width="16.28515625" style="1" customWidth="1"/>
    <col min="8" max="8" width="12.7109375" customWidth="1"/>
    <col min="9" max="9" width="10.85546875" customWidth="1"/>
    <col min="11" max="11" width="5.5703125" customWidth="1"/>
    <col min="12" max="13" width="3.28515625" customWidth="1"/>
    <col min="14" max="14" width="20.42578125" customWidth="1"/>
    <col min="15" max="15" width="27.7109375" customWidth="1"/>
    <col min="16" max="16" width="20.42578125" customWidth="1"/>
    <col min="17" max="17" width="0.85546875" customWidth="1"/>
    <col min="18" max="18" width="14.85546875" customWidth="1"/>
    <col min="19" max="19" width="13.140625" bestFit="1" customWidth="1"/>
    <col min="20" max="20" width="12.85546875" customWidth="1"/>
  </cols>
  <sheetData>
    <row r="2" spans="1:20" ht="15" customHeight="1">
      <c r="A2" s="26"/>
      <c r="B2" s="26"/>
      <c r="C2" s="26"/>
      <c r="F2" s="60" t="s">
        <v>0</v>
      </c>
      <c r="G2" s="60"/>
      <c r="H2" s="60"/>
      <c r="I2" s="60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>
      <c r="A3" s="3" t="s">
        <v>1</v>
      </c>
      <c r="B3" s="2">
        <v>16</v>
      </c>
      <c r="C3" s="52" t="s">
        <v>2</v>
      </c>
      <c r="D3" s="52"/>
      <c r="E3" s="52"/>
      <c r="F3" s="60"/>
      <c r="G3" s="60"/>
      <c r="H3" s="60"/>
      <c r="I3" s="60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1:20" ht="15.75" customHeight="1">
      <c r="A4" s="3" t="s">
        <v>3</v>
      </c>
      <c r="B4" s="5">
        <f>1/(B3*1000000)</f>
        <v>6.2499999999999997E-8</v>
      </c>
      <c r="C4" s="26"/>
      <c r="F4" s="60"/>
      <c r="G4" s="60"/>
      <c r="H4" s="60"/>
      <c r="I4" s="60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>
      <c r="A5" s="3" t="s">
        <v>4</v>
      </c>
      <c r="B5" s="5">
        <f>B4*OSC</f>
        <v>2.4999999999999999E-7</v>
      </c>
      <c r="C5" s="26"/>
      <c r="F5" s="60"/>
      <c r="G5" s="60"/>
      <c r="H5" s="60"/>
      <c r="I5" s="60"/>
      <c r="J5" s="26"/>
      <c r="K5" s="3">
        <v>4</v>
      </c>
      <c r="L5" s="26"/>
      <c r="M5" s="26"/>
      <c r="N5" s="26"/>
      <c r="O5" s="26"/>
      <c r="P5" s="26"/>
      <c r="Q5" s="26"/>
      <c r="R5" s="26"/>
      <c r="S5" s="26"/>
      <c r="T5" s="26"/>
    </row>
    <row r="6" spans="1:20">
      <c r="A6" s="3" t="s">
        <v>5</v>
      </c>
      <c r="B6" s="5">
        <f>B5*1000000</f>
        <v>0.25</v>
      </c>
      <c r="C6" s="26"/>
      <c r="F6" s="60"/>
      <c r="G6" s="60"/>
      <c r="H6" s="60"/>
      <c r="I6" s="60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0">
      <c r="A7" s="3" t="s">
        <v>6</v>
      </c>
      <c r="B7" s="6">
        <v>0.1</v>
      </c>
      <c r="C7" s="52" t="s">
        <v>7</v>
      </c>
      <c r="D7" s="52"/>
      <c r="E7" s="52"/>
      <c r="F7" s="60"/>
      <c r="G7" s="60"/>
      <c r="H7" s="60"/>
      <c r="I7" s="60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 spans="1:20" ht="15.75" thickBot="1">
      <c r="A8" s="3"/>
      <c r="B8" s="5"/>
      <c r="C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ht="15.75" thickBot="1">
      <c r="A9" s="3"/>
      <c r="B9" s="26"/>
      <c r="C9" s="50" t="s">
        <v>8</v>
      </c>
      <c r="D9" s="58"/>
      <c r="E9" s="58"/>
      <c r="F9" s="59"/>
      <c r="G9" s="56"/>
      <c r="H9" s="56"/>
      <c r="I9" s="57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 spans="1:20" ht="95.25" thickBot="1">
      <c r="A10" s="3"/>
      <c r="B10" s="22" t="s">
        <v>9</v>
      </c>
      <c r="C10" s="21" t="s">
        <v>10</v>
      </c>
      <c r="D10" s="7" t="s">
        <v>11</v>
      </c>
      <c r="E10" s="8" t="s">
        <v>12</v>
      </c>
      <c r="F10" s="8" t="s">
        <v>13</v>
      </c>
      <c r="G10" s="16" t="s">
        <v>14</v>
      </c>
      <c r="H10" s="16" t="s">
        <v>15</v>
      </c>
      <c r="I10" s="17" t="s">
        <v>16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 spans="1:20">
      <c r="A11" s="3" t="s">
        <v>17</v>
      </c>
      <c r="B11" s="19">
        <f t="shared" ref="B11:B17" si="0">B12*2</f>
        <v>8.1919999999999996E-3</v>
      </c>
      <c r="C11" s="9">
        <f t="shared" ref="C11:C17" si="1">B11*256</f>
        <v>2.0971519999999999</v>
      </c>
      <c r="D11" s="10">
        <f t="shared" ref="D11:D17" si="2">1/C11</f>
        <v>0.476837158203125</v>
      </c>
      <c r="E11" s="23">
        <f t="shared" ref="E11:E16" si="3">IF(($B$7/B11)&gt;255,"N/A",(255-$B$7/B11))</f>
        <v>242.79296875</v>
      </c>
      <c r="F11" s="15" t="str">
        <f t="shared" ref="F11:F17" si="4">IF(E11&lt;&gt;"N/A",DEC2HEX(E11,2),"N/A")</f>
        <v>F2</v>
      </c>
      <c r="G11" s="12">
        <f t="shared" ref="G11:G17" si="5">B11*65536</f>
        <v>536.87091199999998</v>
      </c>
      <c r="H11" s="11">
        <f t="shared" ref="H11:H17" si="6">1/G11</f>
        <v>1.862645149230957E-3</v>
      </c>
      <c r="I11" s="10">
        <f t="shared" ref="I11:I17" si="7">IF($B$7/B11&gt;65535,"N/A",65535-$B$7/B11)</f>
        <v>65522.79296875</v>
      </c>
      <c r="J11" s="26"/>
      <c r="K11" s="25"/>
      <c r="L11" s="26"/>
      <c r="M11" s="26"/>
      <c r="N11" s="50" t="s">
        <v>18</v>
      </c>
      <c r="O11" s="51"/>
      <c r="P11" s="51"/>
      <c r="Q11" s="51"/>
      <c r="R11" s="51"/>
      <c r="S11" s="51"/>
      <c r="T11" s="36" t="s">
        <v>19</v>
      </c>
    </row>
    <row r="12" spans="1:20">
      <c r="A12" s="3" t="s">
        <v>20</v>
      </c>
      <c r="B12" s="19">
        <f t="shared" si="0"/>
        <v>4.0959999999999998E-3</v>
      </c>
      <c r="C12" s="9">
        <f t="shared" si="1"/>
        <v>1.048576</v>
      </c>
      <c r="D12" s="10">
        <f t="shared" si="2"/>
        <v>0.95367431640625</v>
      </c>
      <c r="E12" s="23">
        <f t="shared" si="3"/>
        <v>230.5859375</v>
      </c>
      <c r="F12" s="15" t="str">
        <f t="shared" si="4"/>
        <v>E6</v>
      </c>
      <c r="G12" s="12">
        <f t="shared" si="5"/>
        <v>268.43545599999999</v>
      </c>
      <c r="H12" s="11">
        <f t="shared" si="6"/>
        <v>3.7252902984619141E-3</v>
      </c>
      <c r="I12" s="10">
        <f t="shared" si="7"/>
        <v>65510.5859375</v>
      </c>
      <c r="J12" s="26"/>
      <c r="K12" s="25"/>
      <c r="L12" s="26"/>
      <c r="M12" s="26"/>
      <c r="N12" s="26"/>
      <c r="O12" s="26"/>
      <c r="P12" s="26"/>
      <c r="Q12" s="26"/>
      <c r="R12" s="26"/>
      <c r="S12" s="26"/>
      <c r="T12" s="26"/>
    </row>
    <row r="13" spans="1:20">
      <c r="A13" s="3" t="s">
        <v>21</v>
      </c>
      <c r="B13" s="19">
        <f t="shared" si="0"/>
        <v>2.0479999999999999E-3</v>
      </c>
      <c r="C13" s="9">
        <f t="shared" si="1"/>
        <v>0.52428799999999998</v>
      </c>
      <c r="D13" s="10">
        <f t="shared" si="2"/>
        <v>1.9073486328125</v>
      </c>
      <c r="E13" s="23">
        <f t="shared" si="3"/>
        <v>206.171875</v>
      </c>
      <c r="F13" s="15" t="str">
        <f t="shared" si="4"/>
        <v>CE</v>
      </c>
      <c r="G13" s="12">
        <f t="shared" si="5"/>
        <v>134.21772799999999</v>
      </c>
      <c r="H13" s="11">
        <f t="shared" si="6"/>
        <v>7.4505805969238281E-3</v>
      </c>
      <c r="I13" s="10">
        <f t="shared" si="7"/>
        <v>65486.171875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spans="1:20">
      <c r="A14" s="3" t="s">
        <v>22</v>
      </c>
      <c r="B14" s="19">
        <f t="shared" si="0"/>
        <v>1.024E-3</v>
      </c>
      <c r="C14" s="9">
        <f t="shared" si="1"/>
        <v>0.26214399999999999</v>
      </c>
      <c r="D14" s="10">
        <f t="shared" si="2"/>
        <v>3.814697265625</v>
      </c>
      <c r="E14" s="23">
        <f t="shared" si="3"/>
        <v>157.34375</v>
      </c>
      <c r="F14" s="15" t="str">
        <f t="shared" si="4"/>
        <v>9D</v>
      </c>
      <c r="G14" s="12">
        <f t="shared" si="5"/>
        <v>67.108863999999997</v>
      </c>
      <c r="H14" s="11">
        <f t="shared" si="6"/>
        <v>1.4901161193847656E-2</v>
      </c>
      <c r="I14" s="10">
        <f t="shared" si="7"/>
        <v>65437.34375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spans="1:20">
      <c r="A15" s="3" t="s">
        <v>23</v>
      </c>
      <c r="B15" s="19">
        <f t="shared" si="0"/>
        <v>5.1199999999999998E-4</v>
      </c>
      <c r="C15" s="9">
        <f t="shared" si="1"/>
        <v>0.13107199999999999</v>
      </c>
      <c r="D15" s="10">
        <f t="shared" si="2"/>
        <v>7.62939453125</v>
      </c>
      <c r="E15" s="23">
        <f t="shared" si="3"/>
        <v>59.687499999999972</v>
      </c>
      <c r="F15" s="15" t="str">
        <f t="shared" si="4"/>
        <v>3B</v>
      </c>
      <c r="G15" s="12">
        <f t="shared" si="5"/>
        <v>33.554431999999998</v>
      </c>
      <c r="H15" s="11">
        <f t="shared" si="6"/>
        <v>2.9802322387695313E-2</v>
      </c>
      <c r="I15" s="10">
        <f t="shared" si="7"/>
        <v>65339.6875</v>
      </c>
      <c r="J15" s="26"/>
      <c r="K15" s="26"/>
      <c r="L15" s="26"/>
      <c r="M15" s="26"/>
      <c r="N15" s="3" t="s">
        <v>24</v>
      </c>
      <c r="O15" s="31">
        <v>16</v>
      </c>
      <c r="P15" s="26"/>
      <c r="Q15" s="26"/>
      <c r="R15" s="52" t="s">
        <v>2</v>
      </c>
      <c r="S15" s="52"/>
      <c r="T15" s="52"/>
    </row>
    <row r="16" spans="1:20">
      <c r="A16" s="3" t="s">
        <v>25</v>
      </c>
      <c r="B16" s="19">
        <f t="shared" si="0"/>
        <v>2.5599999999999999E-4</v>
      </c>
      <c r="C16" s="9">
        <f t="shared" si="1"/>
        <v>6.5535999999999997E-2</v>
      </c>
      <c r="D16" s="10">
        <f t="shared" si="2"/>
        <v>15.2587890625</v>
      </c>
      <c r="E16" s="23" t="str">
        <f t="shared" si="3"/>
        <v>N/A</v>
      </c>
      <c r="F16" s="15" t="str">
        <f t="shared" si="4"/>
        <v>N/A</v>
      </c>
      <c r="G16" s="12">
        <f t="shared" si="5"/>
        <v>16.777215999999999</v>
      </c>
      <c r="H16" s="11">
        <f t="shared" si="6"/>
        <v>5.9604644775390625E-2</v>
      </c>
      <c r="I16" s="10">
        <f t="shared" si="7"/>
        <v>65144.375</v>
      </c>
      <c r="J16" s="26"/>
      <c r="K16" s="26"/>
      <c r="L16" s="26"/>
      <c r="M16" s="26"/>
      <c r="N16" s="3" t="s">
        <v>26</v>
      </c>
      <c r="O16" s="31">
        <v>256</v>
      </c>
      <c r="P16" s="3"/>
      <c r="Q16" s="26"/>
      <c r="R16" s="52" t="s">
        <v>27</v>
      </c>
      <c r="S16" s="52"/>
      <c r="T16" s="52"/>
    </row>
    <row r="17" spans="1:20">
      <c r="A17" s="3" t="s">
        <v>28</v>
      </c>
      <c r="B17" s="19">
        <f t="shared" si="0"/>
        <v>1.2799999999999999E-4</v>
      </c>
      <c r="C17" s="9">
        <f t="shared" si="1"/>
        <v>3.2767999999999999E-2</v>
      </c>
      <c r="D17" s="10">
        <f t="shared" si="2"/>
        <v>30.517578125</v>
      </c>
      <c r="E17" s="23" t="str">
        <f>IF(($B$7/B17)&gt;255,"N/A",(255-$B$7/B17))</f>
        <v>N/A</v>
      </c>
      <c r="F17" s="15" t="str">
        <f t="shared" si="4"/>
        <v>N/A</v>
      </c>
      <c r="G17" s="12">
        <f t="shared" si="5"/>
        <v>8.3886079999999996</v>
      </c>
      <c r="H17" s="11">
        <f t="shared" si="6"/>
        <v>0.11920928955078125</v>
      </c>
      <c r="I17" s="10">
        <f t="shared" si="7"/>
        <v>64753.75</v>
      </c>
      <c r="J17" s="26"/>
      <c r="K17" s="26"/>
      <c r="L17" s="26"/>
      <c r="M17" s="26"/>
      <c r="N17" s="3" t="s">
        <v>29</v>
      </c>
      <c r="O17" s="31">
        <v>4</v>
      </c>
      <c r="P17" s="3"/>
      <c r="Q17" s="26"/>
      <c r="R17" s="26"/>
      <c r="S17" s="26"/>
      <c r="T17" s="26"/>
    </row>
    <row r="18" spans="1:20">
      <c r="A18" s="3" t="s">
        <v>30</v>
      </c>
      <c r="B18" s="19">
        <f>$B$5*256</f>
        <v>6.3999999999999997E-5</v>
      </c>
      <c r="C18" s="9">
        <f>B18*256</f>
        <v>1.6383999999999999E-2</v>
      </c>
      <c r="D18" s="10">
        <f>1/C18</f>
        <v>61.03515625</v>
      </c>
      <c r="E18" s="24" t="str">
        <f>IF(B6/B18&gt;255,"N/A",255-B6/B18)</f>
        <v>N/A</v>
      </c>
      <c r="F18" s="15" t="str">
        <f t="shared" ref="F18:F23" si="8">IF(E18&lt;&gt;"N/A",DEC2HEX(E18,2),"N/A")</f>
        <v>N/A</v>
      </c>
      <c r="G18" s="12">
        <f>B18*65536</f>
        <v>4.1943039999999998</v>
      </c>
      <c r="H18" s="11">
        <f>1/G18</f>
        <v>0.2384185791015625</v>
      </c>
      <c r="I18" s="10">
        <f>IF($B$7/B18&gt;65535,"N/A",65535-$B$7/B18)</f>
        <v>63972.5</v>
      </c>
      <c r="J18" s="26"/>
      <c r="K18" s="26"/>
      <c r="L18" s="26"/>
      <c r="M18" s="26"/>
      <c r="N18" s="26"/>
      <c r="O18" s="3"/>
      <c r="P18" s="29">
        <f>O15/O16/O17*1000000</f>
        <v>15625</v>
      </c>
      <c r="Q18" s="26"/>
      <c r="R18" s="3" t="s">
        <v>31</v>
      </c>
      <c r="S18" s="26"/>
      <c r="T18" s="26"/>
    </row>
    <row r="19" spans="1:20">
      <c r="A19" s="3" t="s">
        <v>32</v>
      </c>
      <c r="B19" s="20">
        <f>B5*128</f>
        <v>3.1999999999999999E-5</v>
      </c>
      <c r="C19" s="12">
        <f t="shared" ref="C19:C25" si="9">B19*256</f>
        <v>8.1919999999999996E-3</v>
      </c>
      <c r="D19" s="13">
        <f t="shared" ref="D19:D26" si="10">1/C19</f>
        <v>122.0703125</v>
      </c>
      <c r="E19" s="24" t="str">
        <f>IF(B7/B19&gt;255,"N/A",255-B7/B19)</f>
        <v>N/A</v>
      </c>
      <c r="F19" s="15" t="str">
        <f t="shared" si="8"/>
        <v>N/A</v>
      </c>
      <c r="G19" s="12">
        <f t="shared" ref="G19:G25" si="11">B19*65536</f>
        <v>2.0971519999999999</v>
      </c>
      <c r="H19" s="14">
        <f t="shared" ref="H19:H26" si="12">1/G19</f>
        <v>0.476837158203125</v>
      </c>
      <c r="I19" s="13">
        <f>IF(B7/B19&gt;65535,"N/A",65535-B7/B19)</f>
        <v>62410</v>
      </c>
      <c r="J19" s="26"/>
      <c r="K19" s="26"/>
      <c r="L19" s="26"/>
      <c r="M19" s="26"/>
      <c r="N19" s="26"/>
      <c r="O19" s="3"/>
      <c r="P19" s="3"/>
      <c r="Q19" s="26"/>
      <c r="R19" s="26"/>
      <c r="S19" s="26"/>
      <c r="T19" s="26"/>
    </row>
    <row r="20" spans="1:20">
      <c r="A20" s="3" t="s">
        <v>33</v>
      </c>
      <c r="B20" s="20">
        <f>B5*64</f>
        <v>1.5999999999999999E-5</v>
      </c>
      <c r="C20" s="12">
        <f t="shared" si="9"/>
        <v>4.0959999999999998E-3</v>
      </c>
      <c r="D20" s="13">
        <f t="shared" si="10"/>
        <v>244.140625</v>
      </c>
      <c r="E20" s="24" t="str">
        <f>IF(B7/B20&gt;255,"N/A",255-B7/B20)</f>
        <v>N/A</v>
      </c>
      <c r="F20" s="15" t="str">
        <f t="shared" si="8"/>
        <v>N/A</v>
      </c>
      <c r="G20" s="12">
        <f t="shared" si="11"/>
        <v>1.048576</v>
      </c>
      <c r="H20" s="14">
        <f t="shared" si="12"/>
        <v>0.95367431640625</v>
      </c>
      <c r="I20" s="13">
        <f>IF(B7/B20&gt;65535,"N/A",65535-B7/B20)</f>
        <v>59285</v>
      </c>
      <c r="J20" s="26"/>
      <c r="K20" s="26"/>
      <c r="L20" s="26"/>
      <c r="M20" s="26"/>
      <c r="N20" s="3" t="s">
        <v>34</v>
      </c>
      <c r="O20" s="3"/>
      <c r="P20" s="28">
        <f>1/P18</f>
        <v>6.3999999999999997E-5</v>
      </c>
      <c r="Q20" s="26"/>
      <c r="R20" s="26"/>
      <c r="S20" s="26"/>
      <c r="T20" s="26"/>
    </row>
    <row r="21" spans="1:20">
      <c r="A21" s="3" t="s">
        <v>35</v>
      </c>
      <c r="B21" s="20">
        <f>B5*32</f>
        <v>7.9999999999999996E-6</v>
      </c>
      <c r="C21" s="12">
        <f t="shared" si="9"/>
        <v>2.0479999999999999E-3</v>
      </c>
      <c r="D21" s="13">
        <f t="shared" si="10"/>
        <v>488.28125</v>
      </c>
      <c r="E21" s="24" t="str">
        <f>IF(B7/B21&gt;255,"N/A",255-B7/B21)</f>
        <v>N/A</v>
      </c>
      <c r="F21" s="15" t="str">
        <f t="shared" si="8"/>
        <v>N/A</v>
      </c>
      <c r="G21" s="12">
        <f t="shared" si="11"/>
        <v>0.52428799999999998</v>
      </c>
      <c r="H21" s="14">
        <f t="shared" si="12"/>
        <v>1.9073486328125</v>
      </c>
      <c r="I21" s="13">
        <f>IF(B7/B21&gt;65535,"N/A",65535-B7/B21)</f>
        <v>53035</v>
      </c>
      <c r="J21" s="26"/>
      <c r="K21" s="26"/>
      <c r="L21" s="26"/>
      <c r="M21" s="26"/>
      <c r="N21" s="26"/>
      <c r="O21" s="3"/>
      <c r="P21" s="3"/>
      <c r="Q21" s="26"/>
      <c r="R21" s="26"/>
      <c r="S21" s="26"/>
      <c r="T21" s="26"/>
    </row>
    <row r="22" spans="1:20">
      <c r="A22" s="3" t="s">
        <v>36</v>
      </c>
      <c r="B22" s="20">
        <f>B5*16</f>
        <v>3.9999999999999998E-6</v>
      </c>
      <c r="C22" s="12">
        <f t="shared" si="9"/>
        <v>1.024E-3</v>
      </c>
      <c r="D22" s="13">
        <f t="shared" si="10"/>
        <v>976.5625</v>
      </c>
      <c r="E22" s="24" t="str">
        <f>IF(B7/B22&gt;255,"N/A",255-B7/B22)</f>
        <v>N/A</v>
      </c>
      <c r="F22" s="15" t="str">
        <f t="shared" si="8"/>
        <v>N/A</v>
      </c>
      <c r="G22" s="12">
        <f t="shared" si="11"/>
        <v>0.26214399999999999</v>
      </c>
      <c r="H22" s="14">
        <f t="shared" si="12"/>
        <v>3.814697265625</v>
      </c>
      <c r="I22" s="13">
        <f>IF(B7/B22&gt;65535,"N/A",65535-B7/B22)</f>
        <v>40535</v>
      </c>
      <c r="J22" s="26"/>
      <c r="K22" s="26"/>
      <c r="L22" s="26"/>
      <c r="M22" s="26"/>
      <c r="N22" s="3" t="s">
        <v>37</v>
      </c>
      <c r="O22" s="34">
        <v>0.01</v>
      </c>
      <c r="P22" s="61" t="str">
        <f>CONCATENATE(O22*1000,"ms")</f>
        <v>10ms</v>
      </c>
      <c r="Q22" s="26"/>
      <c r="R22" s="26"/>
      <c r="S22" s="62">
        <f>1/(((Frequency*1000)/SourceClockDivider)/PreScaler/PostScaler/(Result+1))</f>
        <v>10.048</v>
      </c>
      <c r="T22" s="3" t="s">
        <v>38</v>
      </c>
    </row>
    <row r="23" spans="1:20">
      <c r="A23" s="3" t="s">
        <v>39</v>
      </c>
      <c r="B23" s="20">
        <f>B5*8</f>
        <v>1.9999999999999999E-6</v>
      </c>
      <c r="C23" s="12">
        <f t="shared" si="9"/>
        <v>5.1199999999999998E-4</v>
      </c>
      <c r="D23" s="13">
        <f t="shared" si="10"/>
        <v>1953.125</v>
      </c>
      <c r="E23" s="24" t="str">
        <f>IF(B7/B23&gt;255,"N/A",255-B7/B23)</f>
        <v>N/A</v>
      </c>
      <c r="F23" s="15" t="str">
        <f t="shared" si="8"/>
        <v>N/A</v>
      </c>
      <c r="G23" s="12">
        <f t="shared" si="11"/>
        <v>0.13107199999999999</v>
      </c>
      <c r="H23" s="14">
        <f t="shared" si="12"/>
        <v>7.62939453125</v>
      </c>
      <c r="I23" s="13">
        <f>IF(B7/B23&gt;65535,"N/A",65535-B7/B23)</f>
        <v>15534.999999999993</v>
      </c>
      <c r="J23" s="26"/>
      <c r="K23" s="26"/>
      <c r="L23" s="26"/>
      <c r="M23" s="26"/>
      <c r="N23" s="3" t="s">
        <v>40</v>
      </c>
      <c r="O23" s="31">
        <v>1</v>
      </c>
      <c r="P23" s="3"/>
      <c r="Q23" s="26"/>
      <c r="R23" s="52" t="s">
        <v>41</v>
      </c>
      <c r="S23" s="52"/>
      <c r="T23" s="52"/>
    </row>
    <row r="24" spans="1:20">
      <c r="A24" s="3" t="s">
        <v>42</v>
      </c>
      <c r="B24" s="20">
        <f>B5*4</f>
        <v>9.9999999999999995E-7</v>
      </c>
      <c r="C24" s="12">
        <f t="shared" si="9"/>
        <v>2.5599999999999999E-4</v>
      </c>
      <c r="D24" s="13">
        <f t="shared" si="10"/>
        <v>3906.25</v>
      </c>
      <c r="E24" s="24" t="str">
        <f>IF(B7/B24&gt;255,"N/A",255-B7/B24)</f>
        <v>N/A</v>
      </c>
      <c r="F24" s="15" t="str">
        <f>IF(E24&lt;&gt;"N/A",DEC2HEX(E2121,2),"N/A")</f>
        <v>N/A</v>
      </c>
      <c r="G24" s="12">
        <f t="shared" si="11"/>
        <v>6.5535999999999997E-2</v>
      </c>
      <c r="H24" s="14">
        <f t="shared" si="12"/>
        <v>15.2587890625</v>
      </c>
      <c r="I24" s="13" t="str">
        <f>IF(B7/B24&gt;65535,"N/A",65535-B7/B24)</f>
        <v>N/A</v>
      </c>
      <c r="J24" s="26"/>
      <c r="K24" s="26"/>
      <c r="L24" s="26"/>
      <c r="M24" s="26"/>
      <c r="N24" s="3" t="s">
        <v>43</v>
      </c>
      <c r="O24" s="26">
        <f>INT( O22/P20/O23)</f>
        <v>156</v>
      </c>
      <c r="P24" s="33" t="str">
        <f>CONCATENATE("0x",DEC2HEX(Result))</f>
        <v>0x9C</v>
      </c>
      <c r="Q24" s="26"/>
      <c r="R24" s="3" t="s">
        <v>44</v>
      </c>
      <c r="S24" s="26"/>
      <c r="T24" s="26"/>
    </row>
    <row r="25" spans="1:20">
      <c r="A25" s="3" t="s">
        <v>45</v>
      </c>
      <c r="B25" s="20">
        <f>B5*2</f>
        <v>4.9999999999999998E-7</v>
      </c>
      <c r="C25" s="12">
        <f t="shared" si="9"/>
        <v>1.2799999999999999E-4</v>
      </c>
      <c r="D25" s="13">
        <f t="shared" si="10"/>
        <v>7812.5</v>
      </c>
      <c r="E25" s="24" t="str">
        <f>IF(B7/B25&gt;255,"N/A",255-B7/B25)</f>
        <v>N/A</v>
      </c>
      <c r="F25" s="15" t="str">
        <f>IF(E24&lt;&gt;"N/A",DEC2HEX(E24,2),"N/A")</f>
        <v>N/A</v>
      </c>
      <c r="G25" s="12">
        <f t="shared" si="11"/>
        <v>3.2767999999999999E-2</v>
      </c>
      <c r="H25" s="14">
        <f t="shared" si="12"/>
        <v>30.517578125</v>
      </c>
      <c r="I25" s="13" t="str">
        <f>IF(B7/B25&gt;65535,"N/A",65535-B7/B25)</f>
        <v>N/A</v>
      </c>
      <c r="J25" s="26"/>
      <c r="K25" s="26"/>
      <c r="L25" s="26"/>
      <c r="M25" s="26"/>
      <c r="N25" s="26"/>
      <c r="O25" s="27" t="s">
        <v>46</v>
      </c>
      <c r="P25" s="35">
        <f>Result*256</f>
        <v>39936</v>
      </c>
      <c r="Q25" s="26"/>
      <c r="R25" s="26"/>
      <c r="S25" s="26"/>
      <c r="T25" s="26"/>
    </row>
    <row r="26" spans="1:20">
      <c r="A26" s="3" t="s">
        <v>47</v>
      </c>
      <c r="B26" s="18">
        <f>B5</f>
        <v>2.4999999999999999E-7</v>
      </c>
      <c r="C26" s="12">
        <f>B5*256</f>
        <v>6.3999999999999997E-5</v>
      </c>
      <c r="D26" s="13">
        <f t="shared" si="10"/>
        <v>15625</v>
      </c>
      <c r="E26" s="24" t="str">
        <f>IF(B7/B26&gt;255,"N/A",255-B7/B26)</f>
        <v>N/A</v>
      </c>
      <c r="F26" s="15" t="str">
        <f>IF(E25&lt;&gt;"N/A",DEC2HEX(E25,2),"N/A")</f>
        <v>N/A</v>
      </c>
      <c r="G26" s="12">
        <f>B5*65536</f>
        <v>1.6383999999999999E-2</v>
      </c>
      <c r="H26" s="14">
        <f t="shared" si="12"/>
        <v>61.03515625</v>
      </c>
      <c r="I26" s="13" t="str">
        <f>IF(B7/B26&gt;65535,"N/A",65535-B7/B26)</f>
        <v>N/A</v>
      </c>
      <c r="J26" s="26"/>
      <c r="K26" s="26"/>
      <c r="L26" s="26"/>
      <c r="M26" s="26"/>
      <c r="N26" s="26"/>
      <c r="O26" s="27" t="s">
        <v>48</v>
      </c>
      <c r="P26" s="35" t="str">
        <f>CONCATENATE("0x",DEC2HEX( Result),"00")</f>
        <v>0x9C00</v>
      </c>
      <c r="Q26" s="26"/>
      <c r="R26" s="26"/>
      <c r="S26" s="26"/>
      <c r="T26" s="26"/>
    </row>
    <row r="27" spans="1:20" ht="15.75" thickBot="1">
      <c r="A27" s="26"/>
      <c r="B27" s="26"/>
      <c r="C27" s="26"/>
      <c r="H27" s="26"/>
      <c r="I27" s="26"/>
      <c r="J27" s="26"/>
      <c r="K27" s="26"/>
      <c r="L27" s="26"/>
      <c r="M27" s="26"/>
      <c r="N27" s="26"/>
      <c r="O27" s="32"/>
      <c r="P27" s="30"/>
      <c r="Q27" s="26"/>
      <c r="R27" s="30"/>
      <c r="S27" s="26"/>
      <c r="T27" s="26"/>
    </row>
    <row r="28" spans="1:20" ht="18.75" customHeight="1" thickBot="1">
      <c r="A28" s="26"/>
      <c r="B28" s="53"/>
      <c r="C28" s="54"/>
      <c r="D28" s="54"/>
      <c r="E28" s="54"/>
      <c r="F28" s="54"/>
      <c r="G28" s="54"/>
      <c r="H28" s="54"/>
      <c r="I28" s="55"/>
      <c r="J28" s="26"/>
      <c r="K28" s="26"/>
      <c r="L28" s="26"/>
      <c r="M28" s="38"/>
      <c r="N28" s="39"/>
      <c r="O28" s="40"/>
      <c r="P28" s="39"/>
      <c r="Q28" s="39"/>
      <c r="R28" s="39"/>
      <c r="S28" s="40"/>
      <c r="T28" s="41"/>
    </row>
    <row r="29" spans="1:20">
      <c r="A29" s="26"/>
      <c r="B29" s="26"/>
      <c r="C29" s="26"/>
      <c r="H29" s="26"/>
      <c r="I29" s="26"/>
      <c r="J29" s="26"/>
      <c r="K29" s="26"/>
      <c r="L29" s="26"/>
      <c r="M29" s="42"/>
      <c r="N29" s="43" t="s">
        <v>49</v>
      </c>
      <c r="O29" s="44"/>
      <c r="P29" s="44"/>
      <c r="Q29" s="44"/>
      <c r="R29" s="44"/>
      <c r="S29" s="44"/>
      <c r="T29" s="45"/>
    </row>
    <row r="30" spans="1:20">
      <c r="A30" s="26"/>
      <c r="B30" s="26"/>
      <c r="C30" s="26"/>
      <c r="H30" s="26"/>
      <c r="I30" s="26"/>
      <c r="J30" s="26"/>
      <c r="K30" s="26"/>
      <c r="L30" s="26"/>
      <c r="M30" s="42"/>
      <c r="N30" s="44"/>
      <c r="O30" s="49" t="str">
        <f>CONCATENATE("Your test value for [",P24,"] d",Result)</f>
        <v>Your test value for [0x9C] d156</v>
      </c>
      <c r="P30" s="37">
        <v>177</v>
      </c>
      <c r="Q30" s="44"/>
      <c r="R30" s="44" t="str">
        <f>CONCATENATE(INT(1/(((Frequency*1000)/SourceClockDivider)/PreScaler/PostScaler/(P30+1))),"ms")</f>
        <v>11ms</v>
      </c>
      <c r="S30" s="43" t="s">
        <v>50</v>
      </c>
      <c r="T30" s="45"/>
    </row>
    <row r="31" spans="1:20">
      <c r="A31" s="26"/>
      <c r="B31" s="26"/>
      <c r="C31" s="26"/>
      <c r="H31" s="26"/>
      <c r="I31" s="26"/>
      <c r="J31" s="26"/>
      <c r="K31" s="26"/>
      <c r="L31" s="26"/>
      <c r="M31" s="42"/>
      <c r="N31" s="44"/>
      <c r="O31" s="44"/>
      <c r="P31" s="44"/>
      <c r="Q31" s="44"/>
      <c r="R31" s="44"/>
      <c r="S31" s="44"/>
      <c r="T31" s="45"/>
    </row>
    <row r="32" spans="1:20" ht="15.75" thickBot="1">
      <c r="A32" s="26"/>
      <c r="B32" s="26"/>
      <c r="C32" s="26"/>
      <c r="H32" s="26"/>
      <c r="I32" s="26"/>
      <c r="J32" s="26"/>
      <c r="K32" s="26"/>
      <c r="L32" s="26"/>
      <c r="M32" s="46"/>
      <c r="N32" s="47"/>
      <c r="O32" s="47"/>
      <c r="P32" s="47"/>
      <c r="Q32" s="47"/>
      <c r="R32" s="47"/>
      <c r="S32" s="47"/>
      <c r="T32" s="48"/>
    </row>
    <row r="34" spans="1:15">
      <c r="A34" s="4"/>
      <c r="B34" s="26"/>
      <c r="C34" s="26"/>
      <c r="H34" s="26"/>
      <c r="I34" s="26"/>
      <c r="J34" s="26"/>
      <c r="K34" s="26"/>
      <c r="L34" s="26"/>
      <c r="M34" s="26"/>
      <c r="N34" s="26"/>
      <c r="O34" s="26"/>
    </row>
    <row r="45" spans="1:15">
      <c r="A45" s="26"/>
      <c r="B45" s="26"/>
      <c r="C45" s="26"/>
      <c r="H45" s="26"/>
      <c r="I45" s="26"/>
      <c r="J45" s="26"/>
      <c r="K45" s="26"/>
      <c r="L45" s="26"/>
      <c r="M45" s="26"/>
      <c r="N45" s="26">
        <f t="shared" ref="N45:N58" si="13">N46*2</f>
        <v>32768</v>
      </c>
      <c r="O45" s="26">
        <f t="shared" ref="O45:O58" si="14">O46+1</f>
        <v>16</v>
      </c>
    </row>
    <row r="46" spans="1:15">
      <c r="A46" s="26"/>
      <c r="B46" s="26"/>
      <c r="C46" s="26"/>
      <c r="H46" s="26"/>
      <c r="I46" s="26"/>
      <c r="J46" s="26"/>
      <c r="K46" s="26"/>
      <c r="L46" s="26"/>
      <c r="M46" s="26"/>
      <c r="N46" s="26">
        <f t="shared" si="13"/>
        <v>16384</v>
      </c>
      <c r="O46" s="26">
        <f t="shared" si="14"/>
        <v>15</v>
      </c>
    </row>
    <row r="47" spans="1:15">
      <c r="A47" s="26"/>
      <c r="B47" s="26"/>
      <c r="C47" s="26"/>
      <c r="H47" s="26"/>
      <c r="I47" s="26"/>
      <c r="J47" s="26"/>
      <c r="K47" s="26"/>
      <c r="L47" s="26"/>
      <c r="M47" s="26"/>
      <c r="N47" s="26">
        <f t="shared" si="13"/>
        <v>8192</v>
      </c>
      <c r="O47" s="26">
        <f t="shared" si="14"/>
        <v>14</v>
      </c>
    </row>
    <row r="48" spans="1:15">
      <c r="A48" s="26"/>
      <c r="B48" s="26"/>
      <c r="C48" s="26"/>
      <c r="H48" s="26"/>
      <c r="I48" s="26"/>
      <c r="J48" s="26"/>
      <c r="K48" s="26"/>
      <c r="L48" s="26"/>
      <c r="M48" s="26"/>
      <c r="N48" s="26">
        <f t="shared" si="13"/>
        <v>4096</v>
      </c>
      <c r="O48" s="26">
        <f t="shared" si="14"/>
        <v>13</v>
      </c>
    </row>
    <row r="49" spans="14:15">
      <c r="N49" s="26">
        <f t="shared" si="13"/>
        <v>2048</v>
      </c>
      <c r="O49" s="26">
        <f t="shared" si="14"/>
        <v>12</v>
      </c>
    </row>
    <row r="50" spans="14:15">
      <c r="N50" s="26">
        <f t="shared" si="13"/>
        <v>1024</v>
      </c>
      <c r="O50" s="26">
        <f t="shared" si="14"/>
        <v>11</v>
      </c>
    </row>
    <row r="51" spans="14:15">
      <c r="N51" s="26">
        <f t="shared" si="13"/>
        <v>512</v>
      </c>
      <c r="O51" s="26">
        <f t="shared" si="14"/>
        <v>10</v>
      </c>
    </row>
    <row r="52" spans="14:15">
      <c r="N52" s="26">
        <f t="shared" si="13"/>
        <v>256</v>
      </c>
      <c r="O52" s="26">
        <f t="shared" si="14"/>
        <v>9</v>
      </c>
    </row>
    <row r="53" spans="14:15">
      <c r="N53" s="26">
        <f t="shared" si="13"/>
        <v>128</v>
      </c>
      <c r="O53" s="26">
        <f t="shared" si="14"/>
        <v>8</v>
      </c>
    </row>
    <row r="54" spans="14:15">
      <c r="N54" s="26">
        <f t="shared" si="13"/>
        <v>64</v>
      </c>
      <c r="O54" s="26">
        <f t="shared" si="14"/>
        <v>7</v>
      </c>
    </row>
    <row r="55" spans="14:15">
      <c r="N55" s="26">
        <f t="shared" si="13"/>
        <v>32</v>
      </c>
      <c r="O55" s="26">
        <f t="shared" si="14"/>
        <v>6</v>
      </c>
    </row>
    <row r="56" spans="14:15">
      <c r="N56" s="26">
        <f t="shared" si="13"/>
        <v>16</v>
      </c>
      <c r="O56" s="26">
        <f t="shared" si="14"/>
        <v>5</v>
      </c>
    </row>
    <row r="57" spans="14:15">
      <c r="N57" s="26">
        <f t="shared" si="13"/>
        <v>8</v>
      </c>
      <c r="O57" s="26">
        <f t="shared" si="14"/>
        <v>4</v>
      </c>
    </row>
    <row r="58" spans="14:15">
      <c r="N58" s="26">
        <f t="shared" si="13"/>
        <v>4</v>
      </c>
      <c r="O58" s="26">
        <f t="shared" si="14"/>
        <v>3</v>
      </c>
    </row>
    <row r="59" spans="14:15">
      <c r="N59" s="26">
        <f>N60*2</f>
        <v>2</v>
      </c>
      <c r="O59" s="26">
        <f>O60+1</f>
        <v>2</v>
      </c>
    </row>
    <row r="60" spans="14:15">
      <c r="N60" s="26">
        <v>1</v>
      </c>
      <c r="O60" s="26">
        <v>1</v>
      </c>
    </row>
  </sheetData>
  <mergeCells count="10">
    <mergeCell ref="N11:S11"/>
    <mergeCell ref="R15:T15"/>
    <mergeCell ref="B28:I28"/>
    <mergeCell ref="C3:E3"/>
    <mergeCell ref="C7:E7"/>
    <mergeCell ref="G9:I9"/>
    <mergeCell ref="C9:F9"/>
    <mergeCell ref="F2:I7"/>
    <mergeCell ref="R16:T16"/>
    <mergeCell ref="R23:T23"/>
  </mergeCells>
  <conditionalFormatting sqref="I11:I26">
    <cfRule type="cellIs" dxfId="14" priority="17" stopIfTrue="1" operator="lessThan">
      <formula>0</formula>
    </cfRule>
  </conditionalFormatting>
  <conditionalFormatting sqref="P24">
    <cfRule type="expression" dxfId="13" priority="11" stopIfTrue="1">
      <formula>O22/P20/O23&lt;1</formula>
    </cfRule>
    <cfRule type="expression" dxfId="12" priority="12" stopIfTrue="1">
      <formula>( O22/P20/O23)&gt;256</formula>
    </cfRule>
  </conditionalFormatting>
  <conditionalFormatting sqref="P25">
    <cfRule type="expression" dxfId="11" priority="10" stopIfTrue="1">
      <formula>O22/P20/O23&lt;1</formula>
    </cfRule>
    <cfRule type="expression" dxfId="10" priority="13" stopIfTrue="1">
      <formula>( O22/P20/O23)&gt;256</formula>
    </cfRule>
  </conditionalFormatting>
  <conditionalFormatting sqref="P26">
    <cfRule type="expression" dxfId="9" priority="9" stopIfTrue="1">
      <formula>O22/P20/O23&lt;1</formula>
    </cfRule>
    <cfRule type="expression" dxfId="8" priority="14" stopIfTrue="1">
      <formula>( O22/P20/O23)&gt;256</formula>
    </cfRule>
  </conditionalFormatting>
  <conditionalFormatting sqref="O23">
    <cfRule type="expression" dxfId="7" priority="7" stopIfTrue="1">
      <formula>N20/O18/N21&lt;1</formula>
    </cfRule>
    <cfRule type="expression" dxfId="6" priority="8" stopIfTrue="1">
      <formula>( N20/O18/N21)&gt;256</formula>
    </cfRule>
  </conditionalFormatting>
  <conditionalFormatting sqref="O16">
    <cfRule type="expression" dxfId="5" priority="5" stopIfTrue="1">
      <formula>N12/O10/N13&lt;1</formula>
    </cfRule>
    <cfRule type="expression" dxfId="4" priority="6" stopIfTrue="1">
      <formula>( N12/O10/N13)&gt;256</formula>
    </cfRule>
  </conditionalFormatting>
  <conditionalFormatting sqref="O17">
    <cfRule type="expression" dxfId="3" priority="3" stopIfTrue="1">
      <formula>N13/O11/N14&lt;1</formula>
    </cfRule>
    <cfRule type="expression" dxfId="2" priority="4" stopIfTrue="1">
      <formula>( N13/O11/N14)&gt;256</formula>
    </cfRule>
  </conditionalFormatting>
  <conditionalFormatting sqref="O15">
    <cfRule type="expression" dxfId="1" priority="1" stopIfTrue="1">
      <formula>N11/O9/N12&lt;1</formula>
    </cfRule>
    <cfRule type="expression" dxfId="0" priority="2" stopIfTrue="1">
      <formula>( N11/O9/N12)&gt;256</formula>
    </cfRule>
  </conditionalFormatting>
  <dataValidations count="2">
    <dataValidation type="list" showInputMessage="1" showErrorMessage="1" sqref="O16">
      <formula1>$N$45:$N$60</formula1>
    </dataValidation>
    <dataValidation type="list" showInputMessage="1" showErrorMessage="1" sqref="O23">
      <formula1>$O$45:$O$60</formula1>
    </dataValidation>
  </dataValidations>
  <printOptions horizontalCentered="1" verticalCentered="1"/>
  <pageMargins left="0.7" right="0.7" top="0.75" bottom="0.75" header="0.3" footer="0.3"/>
  <pageSetup scale="74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TMR0 - PIC Timer Calculator</vt:lpstr>
      <vt:lpstr>Frequency</vt:lpstr>
      <vt:lpstr>Interval</vt:lpstr>
      <vt:lpstr>OSC</vt:lpstr>
      <vt:lpstr>PostScaler</vt:lpstr>
      <vt:lpstr>PreScaler</vt:lpstr>
      <vt:lpstr>Result</vt:lpstr>
      <vt:lpstr>SourceClockDivider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PIC timer calculator</dc:title>
  <dc:subject>PIC  timer calculator</dc:subject>
  <dc:creator>David Nienhiser / W9GF</dc:creator>
  <cp:keywords>PIC TIMER CALCULATOR</cp:keywords>
  <dc:description>Version 2.0 - April 2020</dc:description>
  <cp:lastModifiedBy>admin</cp:lastModifiedBy>
  <cp:revision/>
  <dcterms:created xsi:type="dcterms:W3CDTF">2008-04-08T17:54:34Z</dcterms:created>
  <dcterms:modified xsi:type="dcterms:W3CDTF">2021-01-26T13:47:02Z</dcterms:modified>
  <cp:category/>
  <cp:contentStatus/>
</cp:coreProperties>
</file>